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4.xml" ContentType="application/vnd.openxmlformats-officedocument.drawing+xml"/>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comments1.xml" ContentType="application/vnd.openxmlformats-officedocument.spreadsheetml.comments+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5.xml" ContentType="application/vnd.openxmlformats-officedocument.drawing+xml"/>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6.xml" ContentType="application/vnd.openxmlformats-officedocument.drawing+xml"/>
  <Override PartName="/xl/embeddings/oleObject17.bin" ContentType="application/vnd.openxmlformats-officedocument.oleObject"/>
  <Override PartName="/xl/embeddings/oleObject18.bin" ContentType="application/vnd.openxmlformats-officedocument.oleObject"/>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7.xml" ContentType="application/vnd.openxmlformats-officedocument.drawing+xml"/>
  <Override PartName="/xl/embeddings/oleObject19.bin" ContentType="application/vnd.openxmlformats-officedocument.oleObject"/>
  <Override PartName="/xl/embeddings/oleObject20.bin" ContentType="application/vnd.openxmlformats-officedocument.oleObject"/>
  <Override PartName="/xl/comments2.xml" ContentType="application/vnd.openxmlformats-officedocument.spreadsheetml.comment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8.xml" ContentType="application/vnd.openxmlformats-officedocument.drawing+xml"/>
  <Override PartName="/xl/embeddings/oleObject21.bin" ContentType="application/vnd.openxmlformats-officedocument.oleObject"/>
  <Override PartName="/xl/embeddings/oleObject22.bin" ContentType="application/vnd.openxmlformats-officedocument.oleObject"/>
  <Override PartName="/xl/comments3.xml" ContentType="application/vnd.openxmlformats-officedocument.spreadsheetml.comments+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9.xml" ContentType="application/vnd.openxmlformats-officedocument.drawing+xml"/>
  <Override PartName="/xl/embeddings/oleObject23.bin" ContentType="application/vnd.openxmlformats-officedocument.oleObject"/>
  <Override PartName="/xl/embeddings/oleObject24.bin" ContentType="application/vnd.openxmlformats-officedocument.oleObject"/>
  <Override PartName="/xl/comments4.xml" ContentType="application/vnd.openxmlformats-officedocument.spreadsheetml.comments+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0.xml" ContentType="application/vnd.openxmlformats-officedocument.drawing+xml"/>
  <Override PartName="/xl/embeddings/oleObject25.bin" ContentType="application/vnd.openxmlformats-officedocument.oleObject"/>
  <Override PartName="/xl/embeddings/oleObject26.bin" ContentType="application/vnd.openxmlformats-officedocument.oleObject"/>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1.xml" ContentType="application/vnd.openxmlformats-officedocument.drawing+xml"/>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12.xml" ContentType="application/vnd.openxmlformats-officedocument.drawing+xml"/>
  <Override PartName="/xl/embeddings/oleObject31.bin" ContentType="application/vnd.openxmlformats-officedocument.oleObject"/>
  <Override PartName="/xl/embeddings/oleObject32.bin" ContentType="application/vnd.openxmlformats-officedocument.oleObject"/>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13.xml" ContentType="application/vnd.openxmlformats-officedocument.drawing+xml"/>
  <Override PartName="/xl/embeddings/oleObject33.bin" ContentType="application/vnd.openxmlformats-officedocument.oleObject"/>
  <Override PartName="/xl/embeddings/oleObject34.bin" ContentType="application/vnd.openxmlformats-officedocument.oleObject"/>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homework\original\"/>
    </mc:Choice>
  </mc:AlternateContent>
  <xr:revisionPtr revIDLastSave="0" documentId="8_{5893C008-D59E-47FD-83D3-0EEFF42192B8}" xr6:coauthVersionLast="47" xr6:coauthVersionMax="47" xr10:uidLastSave="{00000000-0000-0000-0000-000000000000}"/>
  <bookViews>
    <workbookView xWindow="3348" yWindow="3348" windowWidth="17280" windowHeight="8880" firstSheet="1" activeTab="5"/>
  </bookViews>
  <sheets>
    <sheet name="Coil slope intercepts" sheetId="13" r:id="rId1"/>
    <sheet name="Lens 16" sheetId="12" r:id="rId2"/>
    <sheet name="Lens 18" sheetId="11" r:id="rId3"/>
    <sheet name="Lens 17" sheetId="10" r:id="rId4"/>
    <sheet name="Lens 21" sheetId="9" r:id="rId5"/>
    <sheet name="Lens 20" sheetId="8" r:id="rId6"/>
    <sheet name="Lens 22" sheetId="7" r:id="rId7"/>
    <sheet name="Lens 23" sheetId="6" r:id="rId8"/>
    <sheet name="Lens 24" sheetId="5" r:id="rId9"/>
    <sheet name="Lens 25" sheetId="4" r:id="rId10"/>
    <sheet name="Lens 24 retest" sheetId="3" r:id="rId11"/>
    <sheet name="Lens 27" sheetId="2" r:id="rId12"/>
    <sheet name="Lens 28" sheetId="1" r:id="rId13"/>
  </sheets>
  <definedNames>
    <definedName name="_xlnm.Print_Area" localSheetId="1">'Lens 16'!$A$1:$N$48</definedName>
    <definedName name="_xlnm.Print_Area" localSheetId="3">'Lens 17'!$A$1:$N$42</definedName>
    <definedName name="_xlnm.Print_Area" localSheetId="2">'Lens 18'!$A$1:$N$29</definedName>
    <definedName name="_xlnm.Print_Area" localSheetId="5">'Lens 20'!$A$1:$O$48</definedName>
    <definedName name="_xlnm.Print_Area" localSheetId="4">'Lens 21'!$A$1:$N$44</definedName>
    <definedName name="_xlnm.Print_Area" localSheetId="6">'Lens 22'!$A$1:$N$31</definedName>
    <definedName name="_xlnm.Print_Area" localSheetId="7">'Lens 23'!$A$1:$N$27</definedName>
    <definedName name="_xlnm.Print_Area" localSheetId="8">'Lens 24'!$A$1:$N$34</definedName>
    <definedName name="_xlnm.Print_Area" localSheetId="10">'Lens 24 retest'!$A$1:$N$36</definedName>
    <definedName name="_xlnm.Print_Area" localSheetId="9">'Lens 25'!$A$1:$N$34</definedName>
    <definedName name="_xlnm.Print_Area" localSheetId="11">'Lens 27'!$A$1:$N$96</definedName>
    <definedName name="_xlnm.Print_Area" localSheetId="12">'Lens 28'!$A$1:$N$56</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 i="12" l="1"/>
  <c r="F46" i="12"/>
  <c r="F45" i="12"/>
  <c r="F44" i="12"/>
  <c r="F43" i="12"/>
  <c r="F42" i="12"/>
  <c r="F41" i="12"/>
  <c r="F40" i="12"/>
  <c r="F39" i="12"/>
  <c r="F28" i="11"/>
  <c r="F27" i="11"/>
  <c r="F26" i="11"/>
  <c r="F25" i="11"/>
  <c r="F24" i="11"/>
  <c r="F23" i="11"/>
  <c r="F41" i="10"/>
  <c r="F40" i="10"/>
  <c r="F39" i="10"/>
  <c r="F38" i="10"/>
  <c r="F37" i="10"/>
  <c r="F36" i="10"/>
  <c r="F35" i="10"/>
  <c r="F43" i="9"/>
  <c r="F42" i="9"/>
  <c r="F41" i="9"/>
  <c r="F40" i="9"/>
  <c r="F39" i="9"/>
  <c r="F38" i="9"/>
  <c r="F37" i="9"/>
  <c r="F36" i="9"/>
  <c r="F35" i="9"/>
  <c r="F34" i="9"/>
  <c r="F33" i="9"/>
  <c r="G47" i="8"/>
  <c r="G46" i="8"/>
  <c r="G45" i="8"/>
  <c r="G44" i="8"/>
  <c r="G43" i="8"/>
  <c r="G42" i="8"/>
  <c r="G41" i="8"/>
  <c r="G40" i="8"/>
  <c r="G39" i="8"/>
  <c r="G38" i="8"/>
  <c r="G37" i="8"/>
  <c r="E43" i="9"/>
  <c r="E42" i="9"/>
  <c r="E41" i="9"/>
  <c r="E40" i="9"/>
  <c r="E39" i="9"/>
  <c r="E38" i="9"/>
  <c r="E37" i="9"/>
  <c r="E36" i="9"/>
  <c r="E35" i="9"/>
  <c r="E34" i="9"/>
  <c r="E33" i="9"/>
  <c r="F47" i="8"/>
  <c r="F46" i="8"/>
  <c r="F45" i="8"/>
  <c r="F44" i="8"/>
  <c r="F43" i="8"/>
  <c r="F42" i="8"/>
  <c r="F41" i="8"/>
  <c r="F40" i="8"/>
  <c r="F39" i="8"/>
  <c r="F38" i="8"/>
  <c r="F37" i="8"/>
  <c r="E41" i="10"/>
  <c r="E40" i="10"/>
  <c r="E39" i="10"/>
  <c r="E38" i="10"/>
  <c r="E37" i="10"/>
  <c r="E36" i="10"/>
  <c r="E35" i="10"/>
  <c r="E28" i="11"/>
  <c r="E27" i="11"/>
  <c r="E26" i="11"/>
  <c r="E25" i="11"/>
  <c r="E24" i="11"/>
  <c r="E23" i="11"/>
  <c r="E47" i="12"/>
  <c r="E46" i="12"/>
  <c r="E45" i="12"/>
  <c r="E44" i="12"/>
  <c r="E43" i="12"/>
  <c r="E42" i="12"/>
  <c r="E41" i="12"/>
  <c r="E40" i="12"/>
  <c r="E39" i="12"/>
  <c r="G15" i="13"/>
  <c r="W13" i="13" s="1"/>
  <c r="F15" i="13"/>
  <c r="V11" i="13" s="1"/>
  <c r="N14" i="13"/>
  <c r="E15" i="13"/>
  <c r="M14" i="13"/>
  <c r="D15" i="13"/>
  <c r="L14" i="13"/>
  <c r="C15" i="13"/>
  <c r="S13" i="13" s="1"/>
  <c r="B15" i="13"/>
  <c r="R13" i="13" s="1"/>
  <c r="J14" i="13"/>
  <c r="N13" i="13"/>
  <c r="M13" i="13"/>
  <c r="L13" i="13"/>
  <c r="J13" i="13"/>
  <c r="N12" i="13"/>
  <c r="M12" i="13"/>
  <c r="L12" i="13"/>
  <c r="J12" i="13"/>
  <c r="O11" i="13"/>
  <c r="N11" i="13"/>
  <c r="M11" i="13"/>
  <c r="L11" i="13"/>
  <c r="J11" i="13"/>
  <c r="N10" i="13"/>
  <c r="M10" i="13"/>
  <c r="L10" i="13"/>
  <c r="J10" i="13"/>
  <c r="N9" i="13"/>
  <c r="M9" i="13"/>
  <c r="L9" i="13"/>
  <c r="K9" i="13"/>
  <c r="J9" i="13"/>
  <c r="N8" i="13"/>
  <c r="M8" i="13"/>
  <c r="L8" i="13"/>
  <c r="J8" i="13"/>
  <c r="O7" i="13"/>
  <c r="N7" i="13"/>
  <c r="M7" i="13"/>
  <c r="L7" i="13"/>
  <c r="J7" i="13"/>
  <c r="N6" i="13"/>
  <c r="M6" i="13"/>
  <c r="L6" i="13"/>
  <c r="J6" i="13"/>
  <c r="N5" i="13"/>
  <c r="M5" i="13"/>
  <c r="L5" i="13"/>
  <c r="J5" i="13"/>
  <c r="N4" i="13"/>
  <c r="M4" i="13"/>
  <c r="L4" i="13"/>
  <c r="J4" i="13"/>
  <c r="N3" i="13"/>
  <c r="V14" i="13"/>
  <c r="U14" i="13"/>
  <c r="T14" i="13"/>
  <c r="S14" i="13"/>
  <c r="V13" i="13"/>
  <c r="U13" i="13"/>
  <c r="T13" i="13"/>
  <c r="W12" i="13"/>
  <c r="U12" i="13"/>
  <c r="T12" i="13"/>
  <c r="R12" i="13"/>
  <c r="W11" i="13"/>
  <c r="U11" i="13"/>
  <c r="T11" i="13"/>
  <c r="R11" i="13"/>
  <c r="V10" i="13"/>
  <c r="U10" i="13"/>
  <c r="T10" i="13"/>
  <c r="S9" i="13"/>
  <c r="R9" i="13"/>
  <c r="V8" i="13"/>
  <c r="U8" i="13"/>
  <c r="T8" i="13"/>
  <c r="S8" i="13"/>
  <c r="V7" i="13"/>
  <c r="U7" i="13"/>
  <c r="T7" i="13"/>
  <c r="W6" i="13"/>
  <c r="U6" i="13"/>
  <c r="T6" i="13"/>
  <c r="R6" i="13"/>
  <c r="W5" i="13"/>
  <c r="U5" i="13"/>
  <c r="T5" i="13"/>
  <c r="R5" i="13"/>
  <c r="V4" i="13"/>
  <c r="U4" i="13"/>
  <c r="T4" i="13"/>
  <c r="W3" i="13"/>
  <c r="V3" i="13"/>
  <c r="U3" i="13"/>
  <c r="T3" i="13"/>
  <c r="O3" i="13"/>
  <c r="M3" i="13"/>
  <c r="L3" i="13"/>
  <c r="K3" i="13"/>
  <c r="J3" i="13"/>
  <c r="O8" i="12"/>
  <c r="F8" i="12"/>
  <c r="G2" i="12"/>
  <c r="G1" i="12"/>
  <c r="M11" i="12" s="1"/>
  <c r="N11" i="12" s="1"/>
  <c r="O9" i="12"/>
  <c r="F9" i="12"/>
  <c r="L9" i="12" s="1"/>
  <c r="O10" i="12"/>
  <c r="F10" i="12"/>
  <c r="L10" i="12" s="1"/>
  <c r="O11" i="12"/>
  <c r="P11" i="12" s="1"/>
  <c r="F11" i="12"/>
  <c r="O12" i="12"/>
  <c r="F12" i="12"/>
  <c r="O13" i="12"/>
  <c r="F13" i="12"/>
  <c r="M13" i="12"/>
  <c r="N13" i="12" s="1"/>
  <c r="O14" i="12"/>
  <c r="F14" i="12"/>
  <c r="O15" i="12"/>
  <c r="F15" i="12"/>
  <c r="O16" i="12"/>
  <c r="F16" i="12"/>
  <c r="L16" i="12" s="1"/>
  <c r="O17" i="12"/>
  <c r="F17" i="12"/>
  <c r="O18" i="12"/>
  <c r="F18" i="12"/>
  <c r="M18" i="12" s="1"/>
  <c r="N18" i="12" s="1"/>
  <c r="P18" i="12" s="1"/>
  <c r="O19" i="12"/>
  <c r="P19" i="12" s="1"/>
  <c r="F19" i="12"/>
  <c r="M19" i="12"/>
  <c r="N19" i="12" s="1"/>
  <c r="O20" i="12"/>
  <c r="F20" i="12"/>
  <c r="M20" i="12" s="1"/>
  <c r="N20" i="12" s="1"/>
  <c r="O21" i="12"/>
  <c r="F21" i="12"/>
  <c r="O22" i="12"/>
  <c r="F22" i="12"/>
  <c r="O23" i="12"/>
  <c r="F23" i="12"/>
  <c r="O24" i="12"/>
  <c r="F24" i="12"/>
  <c r="M24" i="12" s="1"/>
  <c r="N24" i="12" s="1"/>
  <c r="P24" i="12" s="1"/>
  <c r="O25" i="12"/>
  <c r="F25" i="12"/>
  <c r="O26" i="12"/>
  <c r="F26" i="12"/>
  <c r="M26" i="12" s="1"/>
  <c r="N26" i="12" s="1"/>
  <c r="P26" i="12" s="1"/>
  <c r="O27" i="12"/>
  <c r="F27" i="12"/>
  <c r="O28" i="12"/>
  <c r="F28" i="12"/>
  <c r="M28" i="12" s="1"/>
  <c r="N28" i="12" s="1"/>
  <c r="O29" i="12"/>
  <c r="F29" i="12"/>
  <c r="O30" i="12"/>
  <c r="F30" i="12"/>
  <c r="G21" i="12"/>
  <c r="H21" i="12"/>
  <c r="I21" i="12"/>
  <c r="L21" i="12"/>
  <c r="G22" i="12"/>
  <c r="H22" i="12"/>
  <c r="I22" i="12"/>
  <c r="K22" i="12"/>
  <c r="G23" i="12"/>
  <c r="H23" i="12"/>
  <c r="L23" i="12"/>
  <c r="G24" i="12"/>
  <c r="H24" i="12"/>
  <c r="I24" i="12"/>
  <c r="K24" i="12"/>
  <c r="G9" i="12"/>
  <c r="H9" i="12"/>
  <c r="I9" i="12"/>
  <c r="G10" i="12"/>
  <c r="H10" i="12"/>
  <c r="I10" i="12"/>
  <c r="K10" i="12"/>
  <c r="G29" i="12"/>
  <c r="H29" i="12"/>
  <c r="I29" i="12" s="1"/>
  <c r="L29" i="12"/>
  <c r="G30" i="12"/>
  <c r="H30" i="12"/>
  <c r="I30" i="12"/>
  <c r="K30" i="12"/>
  <c r="A48" i="12"/>
  <c r="K8" i="12"/>
  <c r="K12" i="12"/>
  <c r="K13" i="12"/>
  <c r="K14" i="12"/>
  <c r="K15" i="12"/>
  <c r="K16" i="12"/>
  <c r="K17" i="12"/>
  <c r="K18" i="12"/>
  <c r="K19" i="12"/>
  <c r="K20" i="12"/>
  <c r="K26" i="12"/>
  <c r="K27" i="12"/>
  <c r="K28" i="12"/>
  <c r="K31" i="12"/>
  <c r="G19" i="12"/>
  <c r="H19" i="12"/>
  <c r="I19" i="12" s="1"/>
  <c r="L19" i="12"/>
  <c r="G20" i="12"/>
  <c r="I20" i="12" s="1"/>
  <c r="H20" i="12"/>
  <c r="L20" i="12"/>
  <c r="G25" i="12"/>
  <c r="H25" i="12"/>
  <c r="I25" i="12" s="1"/>
  <c r="L25" i="12"/>
  <c r="G26" i="12"/>
  <c r="H26" i="12"/>
  <c r="I26" i="12"/>
  <c r="G27" i="12"/>
  <c r="H27" i="12"/>
  <c r="L27" i="12"/>
  <c r="G28" i="12"/>
  <c r="H28" i="12"/>
  <c r="I28" i="12"/>
  <c r="L28" i="12"/>
  <c r="F7" i="12"/>
  <c r="G18" i="12"/>
  <c r="H18" i="12"/>
  <c r="I18" i="12" s="1"/>
  <c r="L17" i="12"/>
  <c r="G17" i="12"/>
  <c r="H17" i="12"/>
  <c r="G16" i="12"/>
  <c r="H16" i="12"/>
  <c r="I16" i="12" s="1"/>
  <c r="L15" i="12"/>
  <c r="G15" i="12"/>
  <c r="H15" i="12"/>
  <c r="L14" i="12"/>
  <c r="G14" i="12"/>
  <c r="H14" i="12"/>
  <c r="I14" i="12"/>
  <c r="L13" i="12"/>
  <c r="G13" i="12"/>
  <c r="H13" i="12"/>
  <c r="L12" i="12"/>
  <c r="G12" i="12"/>
  <c r="H12" i="12"/>
  <c r="I12" i="12"/>
  <c r="L11" i="12"/>
  <c r="G11" i="12"/>
  <c r="I11" i="12" s="1"/>
  <c r="H11" i="12"/>
  <c r="L8" i="12"/>
  <c r="G8" i="12"/>
  <c r="H8" i="12"/>
  <c r="I8" i="12" s="1"/>
  <c r="G7" i="12"/>
  <c r="H7" i="12"/>
  <c r="I7" i="12" s="1"/>
  <c r="O8" i="10"/>
  <c r="F8" i="10"/>
  <c r="F31" i="10" s="1"/>
  <c r="G2" i="10"/>
  <c r="G1" i="10"/>
  <c r="M9" i="10" s="1"/>
  <c r="N9" i="10" s="1"/>
  <c r="O9" i="10"/>
  <c r="P9" i="10" s="1"/>
  <c r="F9" i="10"/>
  <c r="O10" i="10"/>
  <c r="F10" i="10"/>
  <c r="O11" i="10"/>
  <c r="F11" i="10"/>
  <c r="O12" i="10"/>
  <c r="F12" i="10"/>
  <c r="O13" i="10"/>
  <c r="F13" i="10"/>
  <c r="L13" i="10" s="1"/>
  <c r="O14" i="10"/>
  <c r="F14" i="10"/>
  <c r="O15" i="10"/>
  <c r="F15" i="10"/>
  <c r="L15" i="10" s="1"/>
  <c r="O16" i="10"/>
  <c r="F16" i="10"/>
  <c r="M16" i="10"/>
  <c r="N16" i="10" s="1"/>
  <c r="P16" i="10" s="1"/>
  <c r="O17" i="10"/>
  <c r="P17" i="10" s="1"/>
  <c r="F17" i="10"/>
  <c r="M17" i="10"/>
  <c r="N17" i="10" s="1"/>
  <c r="O18" i="10"/>
  <c r="F18" i="10"/>
  <c r="O19" i="10"/>
  <c r="F19" i="10"/>
  <c r="M19" i="10"/>
  <c r="N19" i="10" s="1"/>
  <c r="P19" i="10" s="1"/>
  <c r="O20" i="10"/>
  <c r="F20" i="10"/>
  <c r="O21" i="10"/>
  <c r="F21" i="10"/>
  <c r="L21" i="10" s="1"/>
  <c r="M21" i="10"/>
  <c r="N21" i="10" s="1"/>
  <c r="P21" i="10" s="1"/>
  <c r="O22" i="10"/>
  <c r="F22" i="10"/>
  <c r="L22" i="10" s="1"/>
  <c r="O23" i="10"/>
  <c r="F23" i="10"/>
  <c r="L23" i="10" s="1"/>
  <c r="O24" i="10"/>
  <c r="F24" i="10"/>
  <c r="M24" i="10" s="1"/>
  <c r="N24" i="10" s="1"/>
  <c r="P24" i="10" s="1"/>
  <c r="O25" i="10"/>
  <c r="F25" i="10"/>
  <c r="O26" i="10"/>
  <c r="F26" i="10"/>
  <c r="O27" i="10"/>
  <c r="F27" i="10"/>
  <c r="O28" i="10"/>
  <c r="F28" i="10"/>
  <c r="O29" i="10"/>
  <c r="F29" i="10"/>
  <c r="L29" i="10" s="1"/>
  <c r="O30" i="10"/>
  <c r="F30" i="10"/>
  <c r="O31" i="10"/>
  <c r="F7" i="10"/>
  <c r="A42" i="10"/>
  <c r="K8" i="10"/>
  <c r="K31" i="10" s="1"/>
  <c r="K9" i="10"/>
  <c r="K10" i="10"/>
  <c r="K11" i="10"/>
  <c r="K12" i="10"/>
  <c r="K13" i="10"/>
  <c r="K14" i="10"/>
  <c r="K16" i="10"/>
  <c r="K17" i="10"/>
  <c r="K18" i="10"/>
  <c r="K19" i="10"/>
  <c r="K20" i="10"/>
  <c r="K22" i="10"/>
  <c r="K23" i="10"/>
  <c r="K24" i="10"/>
  <c r="K25" i="10"/>
  <c r="K26" i="10"/>
  <c r="K27" i="10"/>
  <c r="K28" i="10"/>
  <c r="K30" i="10"/>
  <c r="L30" i="10"/>
  <c r="G30" i="10"/>
  <c r="I30" i="10" s="1"/>
  <c r="H30" i="10"/>
  <c r="G29" i="10"/>
  <c r="I29" i="10" s="1"/>
  <c r="H29" i="10"/>
  <c r="L28" i="10"/>
  <c r="G28" i="10"/>
  <c r="I28" i="10" s="1"/>
  <c r="H28" i="10"/>
  <c r="L27" i="10"/>
  <c r="G27" i="10"/>
  <c r="I27" i="10" s="1"/>
  <c r="H27" i="10"/>
  <c r="L26" i="10"/>
  <c r="G26" i="10"/>
  <c r="I26" i="10" s="1"/>
  <c r="H26" i="10"/>
  <c r="L25" i="10"/>
  <c r="G25" i="10"/>
  <c r="I25" i="10" s="1"/>
  <c r="H25" i="10"/>
  <c r="G24" i="10"/>
  <c r="I24" i="10" s="1"/>
  <c r="H24" i="10"/>
  <c r="G23" i="10"/>
  <c r="H23" i="10"/>
  <c r="I23" i="10"/>
  <c r="G22" i="10"/>
  <c r="H22" i="10"/>
  <c r="I22" i="10"/>
  <c r="G21" i="10"/>
  <c r="H21" i="10"/>
  <c r="I21" i="10"/>
  <c r="L20" i="10"/>
  <c r="G20" i="10"/>
  <c r="H20" i="10"/>
  <c r="I20" i="10" s="1"/>
  <c r="L19" i="10"/>
  <c r="G19" i="10"/>
  <c r="H19" i="10"/>
  <c r="I19" i="10"/>
  <c r="G18" i="10"/>
  <c r="H18" i="10"/>
  <c r="I18" i="10" s="1"/>
  <c r="L17" i="10"/>
  <c r="G17" i="10"/>
  <c r="H17" i="10"/>
  <c r="I17" i="10"/>
  <c r="L16" i="10"/>
  <c r="G16" i="10"/>
  <c r="H16" i="10"/>
  <c r="I16" i="10" s="1"/>
  <c r="G15" i="10"/>
  <c r="I15" i="10" s="1"/>
  <c r="H15" i="10"/>
  <c r="L14" i="10"/>
  <c r="G14" i="10"/>
  <c r="I14" i="10" s="1"/>
  <c r="H14" i="10"/>
  <c r="G13" i="10"/>
  <c r="I13" i="10" s="1"/>
  <c r="H13" i="10"/>
  <c r="L12" i="10"/>
  <c r="G12" i="10"/>
  <c r="I12" i="10" s="1"/>
  <c r="H12" i="10"/>
  <c r="L11" i="10"/>
  <c r="G11" i="10"/>
  <c r="I11" i="10" s="1"/>
  <c r="H11" i="10"/>
  <c r="L10" i="10"/>
  <c r="G10" i="10"/>
  <c r="I10" i="10" s="1"/>
  <c r="H10" i="10"/>
  <c r="L9" i="10"/>
  <c r="G9" i="10"/>
  <c r="I9" i="10" s="1"/>
  <c r="H9" i="10"/>
  <c r="L8" i="10"/>
  <c r="G8" i="10"/>
  <c r="I8" i="10" s="1"/>
  <c r="H8" i="10"/>
  <c r="G7" i="10"/>
  <c r="I7" i="10" s="1"/>
  <c r="H7" i="10"/>
  <c r="O8" i="11"/>
  <c r="F8" i="11"/>
  <c r="G2" i="11"/>
  <c r="G1" i="11"/>
  <c r="O9" i="11"/>
  <c r="F9" i="11"/>
  <c r="O10" i="11"/>
  <c r="F10" i="11"/>
  <c r="O11" i="11"/>
  <c r="F11" i="11"/>
  <c r="O12" i="11"/>
  <c r="F12" i="11"/>
  <c r="O13" i="11"/>
  <c r="F13" i="11"/>
  <c r="O14" i="11"/>
  <c r="F14" i="11"/>
  <c r="O15" i="11"/>
  <c r="F15" i="11"/>
  <c r="O16" i="11"/>
  <c r="F16" i="11"/>
  <c r="L16" i="11" s="1"/>
  <c r="O17" i="11"/>
  <c r="F17" i="11"/>
  <c r="O18" i="11"/>
  <c r="F18" i="11"/>
  <c r="A29" i="11"/>
  <c r="K8" i="11"/>
  <c r="K9" i="11"/>
  <c r="K10" i="11"/>
  <c r="K11" i="11"/>
  <c r="K12" i="11"/>
  <c r="K13" i="11"/>
  <c r="K14" i="11"/>
  <c r="K15" i="11"/>
  <c r="K16" i="11"/>
  <c r="K17" i="11"/>
  <c r="K18" i="11"/>
  <c r="L18" i="11"/>
  <c r="L17" i="11"/>
  <c r="L15" i="11"/>
  <c r="L14" i="11"/>
  <c r="L12" i="11"/>
  <c r="L10" i="11"/>
  <c r="L9" i="11"/>
  <c r="F7" i="11"/>
  <c r="G18" i="11"/>
  <c r="H18" i="11"/>
  <c r="I18" i="11"/>
  <c r="G17" i="11"/>
  <c r="H17" i="11"/>
  <c r="I17" i="11"/>
  <c r="G16" i="11"/>
  <c r="I16" i="11" s="1"/>
  <c r="H16" i="11"/>
  <c r="G15" i="11"/>
  <c r="H15" i="11"/>
  <c r="I15" i="11" s="1"/>
  <c r="G14" i="11"/>
  <c r="I14" i="11" s="1"/>
  <c r="H14" i="11"/>
  <c r="G13" i="11"/>
  <c r="H13" i="11"/>
  <c r="G12" i="11"/>
  <c r="H12" i="11"/>
  <c r="I12" i="11"/>
  <c r="G11" i="11"/>
  <c r="I11" i="11" s="1"/>
  <c r="H11" i="11"/>
  <c r="G10" i="11"/>
  <c r="I10" i="11" s="1"/>
  <c r="H10" i="11"/>
  <c r="G9" i="11"/>
  <c r="H9" i="11"/>
  <c r="I9" i="11" s="1"/>
  <c r="L8" i="11"/>
  <c r="G8" i="11"/>
  <c r="I8" i="11" s="1"/>
  <c r="H8" i="11"/>
  <c r="G7" i="11"/>
  <c r="I7" i="11" s="1"/>
  <c r="H7" i="11"/>
  <c r="O8" i="8"/>
  <c r="P8" i="8" s="1"/>
  <c r="F8" i="8"/>
  <c r="M8" i="8" s="1"/>
  <c r="N8" i="8" s="1"/>
  <c r="G2" i="8"/>
  <c r="G1" i="8"/>
  <c r="M10" i="8" s="1"/>
  <c r="N10" i="8" s="1"/>
  <c r="P10" i="8" s="1"/>
  <c r="O9" i="8"/>
  <c r="F9" i="8"/>
  <c r="L9" i="8" s="1"/>
  <c r="O10" i="8"/>
  <c r="F10" i="8"/>
  <c r="O11" i="8"/>
  <c r="F11" i="8"/>
  <c r="L11" i="8" s="1"/>
  <c r="M11" i="8"/>
  <c r="N11" i="8" s="1"/>
  <c r="O12" i="8"/>
  <c r="F12" i="8"/>
  <c r="O13" i="8"/>
  <c r="F13" i="8"/>
  <c r="O14" i="8"/>
  <c r="F14" i="8"/>
  <c r="L14" i="8" s="1"/>
  <c r="O15" i="8"/>
  <c r="F15" i="8"/>
  <c r="O16" i="8"/>
  <c r="P16" i="8" s="1"/>
  <c r="F16" i="8"/>
  <c r="M16" i="8"/>
  <c r="N16" i="8" s="1"/>
  <c r="O17" i="8"/>
  <c r="F17" i="8"/>
  <c r="O18" i="8"/>
  <c r="F18" i="8"/>
  <c r="O19" i="8"/>
  <c r="F19" i="8"/>
  <c r="L19" i="8" s="1"/>
  <c r="O20" i="8"/>
  <c r="F20" i="8"/>
  <c r="O21" i="8"/>
  <c r="F21" i="8"/>
  <c r="O22" i="8"/>
  <c r="F22" i="8"/>
  <c r="O23" i="8"/>
  <c r="F23" i="8"/>
  <c r="O24" i="8"/>
  <c r="P24" i="8" s="1"/>
  <c r="F24" i="8"/>
  <c r="M24" i="8"/>
  <c r="N24" i="8" s="1"/>
  <c r="O25" i="8"/>
  <c r="F25" i="8"/>
  <c r="L25" i="8" s="1"/>
  <c r="M25" i="8"/>
  <c r="N25" i="8" s="1"/>
  <c r="P25" i="8" s="1"/>
  <c r="O26" i="8"/>
  <c r="F26" i="8"/>
  <c r="M26" i="8"/>
  <c r="N26" i="8" s="1"/>
  <c r="P26" i="8" s="1"/>
  <c r="O27" i="8"/>
  <c r="F27" i="8"/>
  <c r="L27" i="8" s="1"/>
  <c r="O28" i="8"/>
  <c r="F28" i="8"/>
  <c r="M28" i="8"/>
  <c r="N28" i="8" s="1"/>
  <c r="P28" i="8" s="1"/>
  <c r="O29" i="8"/>
  <c r="F29" i="8"/>
  <c r="M29" i="8" s="1"/>
  <c r="N29" i="8"/>
  <c r="O30" i="8"/>
  <c r="F30" i="8"/>
  <c r="L30" i="8" s="1"/>
  <c r="M30" i="8"/>
  <c r="N30" i="8" s="1"/>
  <c r="P30" i="8" s="1"/>
  <c r="O31" i="8"/>
  <c r="F31" i="8"/>
  <c r="M31" i="8" s="1"/>
  <c r="N31" i="8"/>
  <c r="P31" i="8" s="1"/>
  <c r="B37" i="8"/>
  <c r="B38" i="8"/>
  <c r="B39" i="8"/>
  <c r="B40" i="8"/>
  <c r="B41" i="8"/>
  <c r="B42" i="8"/>
  <c r="B43" i="8"/>
  <c r="B44" i="8"/>
  <c r="B45" i="8"/>
  <c r="B46" i="8"/>
  <c r="B47" i="8"/>
  <c r="K8" i="8"/>
  <c r="K9" i="8"/>
  <c r="K10" i="8"/>
  <c r="K11" i="8"/>
  <c r="K12" i="8"/>
  <c r="K13" i="8"/>
  <c r="K14" i="8"/>
  <c r="K15" i="8"/>
  <c r="K16" i="8"/>
  <c r="K17" i="8"/>
  <c r="K18" i="8"/>
  <c r="K19" i="8"/>
  <c r="K20" i="8"/>
  <c r="K21" i="8"/>
  <c r="K22" i="8"/>
  <c r="K23" i="8"/>
  <c r="K24" i="8"/>
  <c r="K25" i="8"/>
  <c r="K26" i="8"/>
  <c r="K27" i="8"/>
  <c r="K28" i="8"/>
  <c r="K29" i="8"/>
  <c r="K30" i="8"/>
  <c r="K31" i="8"/>
  <c r="L31" i="8"/>
  <c r="L29" i="8"/>
  <c r="L28" i="8"/>
  <c r="L26" i="8"/>
  <c r="L24" i="8"/>
  <c r="L23" i="8"/>
  <c r="L21" i="8"/>
  <c r="L20" i="8"/>
  <c r="L18" i="8"/>
  <c r="L16" i="8"/>
  <c r="L12" i="8"/>
  <c r="L10" i="8"/>
  <c r="G30" i="8"/>
  <c r="H30" i="8"/>
  <c r="I30" i="8"/>
  <c r="G29" i="8"/>
  <c r="I29" i="8" s="1"/>
  <c r="H29" i="8"/>
  <c r="G27" i="8"/>
  <c r="H27" i="8"/>
  <c r="I27" i="8"/>
  <c r="G25" i="8"/>
  <c r="H25" i="8"/>
  <c r="I25" i="8"/>
  <c r="G23" i="8"/>
  <c r="I23" i="8" s="1"/>
  <c r="H23" i="8"/>
  <c r="G20" i="8"/>
  <c r="H20" i="8"/>
  <c r="I20" i="8" s="1"/>
  <c r="G18" i="8"/>
  <c r="H18" i="8"/>
  <c r="I18" i="8" s="1"/>
  <c r="G15" i="8"/>
  <c r="H15" i="8"/>
  <c r="G13" i="8"/>
  <c r="H13" i="8"/>
  <c r="G11" i="8"/>
  <c r="H11" i="8"/>
  <c r="L8" i="8"/>
  <c r="G8" i="8"/>
  <c r="H8" i="8"/>
  <c r="I8" i="8" s="1"/>
  <c r="G31" i="8"/>
  <c r="I31" i="8" s="1"/>
  <c r="H31" i="8"/>
  <c r="F7" i="8"/>
  <c r="G28" i="8"/>
  <c r="H28" i="8"/>
  <c r="I28" i="8" s="1"/>
  <c r="G26" i="8"/>
  <c r="I26" i="8" s="1"/>
  <c r="H26" i="8"/>
  <c r="G24" i="8"/>
  <c r="I24" i="8" s="1"/>
  <c r="H24" i="8"/>
  <c r="G22" i="8"/>
  <c r="H22" i="8"/>
  <c r="I22" i="8" s="1"/>
  <c r="G21" i="8"/>
  <c r="I21" i="8" s="1"/>
  <c r="H21" i="8"/>
  <c r="G19" i="8"/>
  <c r="H19" i="8"/>
  <c r="I19" i="8"/>
  <c r="G17" i="8"/>
  <c r="H17" i="8"/>
  <c r="I17" i="8" s="1"/>
  <c r="G16" i="8"/>
  <c r="I16" i="8" s="1"/>
  <c r="H16" i="8"/>
  <c r="G14" i="8"/>
  <c r="H14" i="8"/>
  <c r="I14" i="8" s="1"/>
  <c r="G12" i="8"/>
  <c r="H12" i="8"/>
  <c r="I12" i="8"/>
  <c r="G10" i="8"/>
  <c r="H10" i="8"/>
  <c r="G9" i="8"/>
  <c r="I9" i="8" s="1"/>
  <c r="H9" i="8"/>
  <c r="G7" i="8"/>
  <c r="I7" i="8" s="1"/>
  <c r="H7" i="8"/>
  <c r="O8" i="9"/>
  <c r="F8" i="9"/>
  <c r="G2" i="9"/>
  <c r="G1" i="9"/>
  <c r="M28" i="9" s="1"/>
  <c r="N28" i="9" s="1"/>
  <c r="P28" i="9" s="1"/>
  <c r="O9" i="9"/>
  <c r="F9" i="9"/>
  <c r="O10" i="9"/>
  <c r="F10" i="9"/>
  <c r="O11" i="9"/>
  <c r="F11" i="9"/>
  <c r="O12" i="9"/>
  <c r="F12" i="9"/>
  <c r="O13" i="9"/>
  <c r="F13" i="9"/>
  <c r="M13" i="9"/>
  <c r="N13" i="9" s="1"/>
  <c r="O14" i="9"/>
  <c r="F14" i="9"/>
  <c r="O15" i="9"/>
  <c r="F15" i="9"/>
  <c r="O16" i="9"/>
  <c r="F16" i="9"/>
  <c r="O17" i="9"/>
  <c r="F17" i="9"/>
  <c r="O18" i="9"/>
  <c r="F18" i="9"/>
  <c r="M18" i="9" s="1"/>
  <c r="N18" i="9" s="1"/>
  <c r="P18" i="9" s="1"/>
  <c r="O19" i="9"/>
  <c r="F19" i="9"/>
  <c r="L19" i="9" s="1"/>
  <c r="M19" i="9"/>
  <c r="N19" i="9" s="1"/>
  <c r="P19" i="9" s="1"/>
  <c r="O20" i="9"/>
  <c r="F20" i="9"/>
  <c r="M20" i="9"/>
  <c r="N20" i="9" s="1"/>
  <c r="O21" i="9"/>
  <c r="F21" i="9"/>
  <c r="L21" i="9" s="1"/>
  <c r="O22" i="9"/>
  <c r="F22" i="9"/>
  <c r="O23" i="9"/>
  <c r="F23" i="9"/>
  <c r="O24" i="9"/>
  <c r="P24" i="9" s="1"/>
  <c r="F24" i="9"/>
  <c r="L24" i="9" s="1"/>
  <c r="M24" i="9"/>
  <c r="N24" i="9" s="1"/>
  <c r="O25" i="9"/>
  <c r="F25" i="9"/>
  <c r="O26" i="9"/>
  <c r="F26" i="9"/>
  <c r="M26" i="9" s="1"/>
  <c r="N26" i="9" s="1"/>
  <c r="P26" i="9" s="1"/>
  <c r="O27" i="9"/>
  <c r="F27" i="9"/>
  <c r="L27" i="9" s="1"/>
  <c r="O28" i="9"/>
  <c r="F28" i="9"/>
  <c r="F7" i="9"/>
  <c r="F29" i="9" s="1"/>
  <c r="A44" i="9"/>
  <c r="K8" i="9"/>
  <c r="K9" i="9"/>
  <c r="K10" i="9"/>
  <c r="K11" i="9"/>
  <c r="K12" i="9"/>
  <c r="K13" i="9"/>
  <c r="K14" i="9"/>
  <c r="K15" i="9"/>
  <c r="K16" i="9"/>
  <c r="K17" i="9"/>
  <c r="K18" i="9"/>
  <c r="K19" i="9"/>
  <c r="K20" i="9"/>
  <c r="K21" i="9"/>
  <c r="K22" i="9"/>
  <c r="K23" i="9"/>
  <c r="K24" i="9"/>
  <c r="K25" i="9"/>
  <c r="K26" i="9"/>
  <c r="K27" i="9"/>
  <c r="K28" i="9"/>
  <c r="L28" i="9"/>
  <c r="G28" i="9"/>
  <c r="I28" i="9" s="1"/>
  <c r="H28" i="9"/>
  <c r="G27" i="9"/>
  <c r="I27" i="9" s="1"/>
  <c r="H27" i="9"/>
  <c r="L26" i="9"/>
  <c r="G26" i="9"/>
  <c r="H26" i="9"/>
  <c r="G25" i="9"/>
  <c r="I25" i="9" s="1"/>
  <c r="H25" i="9"/>
  <c r="G24" i="9"/>
  <c r="I24" i="9" s="1"/>
  <c r="H24" i="9"/>
  <c r="L23" i="9"/>
  <c r="G23" i="9"/>
  <c r="H23" i="9"/>
  <c r="I23" i="9" s="1"/>
  <c r="L22" i="9"/>
  <c r="G22" i="9"/>
  <c r="H22" i="9"/>
  <c r="G21" i="9"/>
  <c r="H21" i="9"/>
  <c r="I21" i="9"/>
  <c r="L20" i="9"/>
  <c r="G20" i="9"/>
  <c r="I20" i="9" s="1"/>
  <c r="H20" i="9"/>
  <c r="G19" i="9"/>
  <c r="I19" i="9" s="1"/>
  <c r="H19" i="9"/>
  <c r="L18" i="9"/>
  <c r="G18" i="9"/>
  <c r="H18" i="9"/>
  <c r="G17" i="9"/>
  <c r="I17" i="9" s="1"/>
  <c r="H17" i="9"/>
  <c r="L16" i="9"/>
  <c r="G16" i="9"/>
  <c r="H16" i="9"/>
  <c r="L15" i="9"/>
  <c r="G15" i="9"/>
  <c r="H15" i="9"/>
  <c r="I15" i="9" s="1"/>
  <c r="L14" i="9"/>
  <c r="G14" i="9"/>
  <c r="H14" i="9"/>
  <c r="L13" i="9"/>
  <c r="G13" i="9"/>
  <c r="H13" i="9"/>
  <c r="I13" i="9"/>
  <c r="L12" i="9"/>
  <c r="G12" i="9"/>
  <c r="I12" i="9" s="1"/>
  <c r="H12" i="9"/>
  <c r="L11" i="9"/>
  <c r="G11" i="9"/>
  <c r="H11" i="9"/>
  <c r="G9" i="9"/>
  <c r="H9" i="9"/>
  <c r="L8" i="9"/>
  <c r="G8" i="9"/>
  <c r="H8" i="9"/>
  <c r="I8" i="9" s="1"/>
  <c r="G10" i="9"/>
  <c r="I10" i="9" s="1"/>
  <c r="H10" i="9"/>
  <c r="G7" i="9"/>
  <c r="I7" i="9" s="1"/>
  <c r="H7" i="9"/>
  <c r="O8" i="7"/>
  <c r="F8" i="7"/>
  <c r="G2" i="7"/>
  <c r="G1" i="7"/>
  <c r="M13" i="7" s="1"/>
  <c r="N13" i="7" s="1"/>
  <c r="P13" i="7" s="1"/>
  <c r="O9" i="7"/>
  <c r="F9" i="7"/>
  <c r="L9" i="7" s="1"/>
  <c r="O10" i="7"/>
  <c r="F10" i="7"/>
  <c r="O11" i="7"/>
  <c r="F11" i="7"/>
  <c r="O12" i="7"/>
  <c r="F12" i="7"/>
  <c r="L12" i="7" s="1"/>
  <c r="M12" i="7"/>
  <c r="N12" i="7" s="1"/>
  <c r="O13" i="7"/>
  <c r="F13" i="7"/>
  <c r="O14" i="7"/>
  <c r="F14" i="7"/>
  <c r="O15" i="7"/>
  <c r="F15" i="7"/>
  <c r="O16" i="7"/>
  <c r="F16" i="7"/>
  <c r="O17" i="7"/>
  <c r="F17" i="7"/>
  <c r="O18" i="7"/>
  <c r="F18" i="7"/>
  <c r="M18" i="7" s="1"/>
  <c r="N18" i="7" s="1"/>
  <c r="P18" i="7" s="1"/>
  <c r="O19" i="7"/>
  <c r="F19" i="7"/>
  <c r="A31" i="7"/>
  <c r="K17" i="7"/>
  <c r="K16" i="7"/>
  <c r="G10" i="7"/>
  <c r="H10" i="7"/>
  <c r="I10" i="7" s="1"/>
  <c r="K19" i="7"/>
  <c r="K18" i="7"/>
  <c r="K15" i="7"/>
  <c r="K14" i="7"/>
  <c r="K13" i="7"/>
  <c r="K12" i="7"/>
  <c r="K9" i="7"/>
  <c r="K8" i="7"/>
  <c r="L18" i="7"/>
  <c r="G18" i="7"/>
  <c r="I18" i="7" s="1"/>
  <c r="H18" i="7"/>
  <c r="G16" i="7"/>
  <c r="I16" i="7" s="1"/>
  <c r="H16" i="7"/>
  <c r="L13" i="7"/>
  <c r="G13" i="7"/>
  <c r="H13" i="7"/>
  <c r="I13" i="7"/>
  <c r="F7" i="7"/>
  <c r="G19" i="7"/>
  <c r="I19" i="7" s="1"/>
  <c r="H19" i="7"/>
  <c r="L19" i="7"/>
  <c r="G17" i="7"/>
  <c r="I17" i="7" s="1"/>
  <c r="H17" i="7"/>
  <c r="G15" i="7"/>
  <c r="I15" i="7" s="1"/>
  <c r="H15" i="7"/>
  <c r="G14" i="7"/>
  <c r="I14" i="7" s="1"/>
  <c r="H14" i="7"/>
  <c r="G12" i="7"/>
  <c r="H12" i="7"/>
  <c r="I12" i="7" s="1"/>
  <c r="L11" i="7"/>
  <c r="G11" i="7"/>
  <c r="I11" i="7" s="1"/>
  <c r="H11" i="7"/>
  <c r="G9" i="7"/>
  <c r="H9" i="7"/>
  <c r="I9" i="7"/>
  <c r="G8" i="7"/>
  <c r="H8" i="7"/>
  <c r="I8" i="7"/>
  <c r="G7" i="7"/>
  <c r="I7" i="7" s="1"/>
  <c r="H7" i="7"/>
  <c r="O8" i="6"/>
  <c r="F8" i="6"/>
  <c r="G2" i="6"/>
  <c r="G1" i="6"/>
  <c r="M8" i="6"/>
  <c r="N8" i="6"/>
  <c r="O9" i="6"/>
  <c r="F9" i="6"/>
  <c r="M9" i="6"/>
  <c r="N9" i="6" s="1"/>
  <c r="O10" i="6"/>
  <c r="P10" i="6" s="1"/>
  <c r="F10" i="6"/>
  <c r="M10" i="6"/>
  <c r="N10" i="6" s="1"/>
  <c r="O11" i="6"/>
  <c r="F11" i="6"/>
  <c r="O12" i="6"/>
  <c r="F12" i="6"/>
  <c r="M12" i="6"/>
  <c r="N12" i="6" s="1"/>
  <c r="O13" i="6"/>
  <c r="F13" i="6"/>
  <c r="M13" i="6"/>
  <c r="N13" i="6"/>
  <c r="O14" i="6"/>
  <c r="F14" i="6"/>
  <c r="F19" i="6" s="1"/>
  <c r="O15" i="6"/>
  <c r="F15" i="6"/>
  <c r="O16" i="6"/>
  <c r="F16" i="6"/>
  <c r="M16" i="6"/>
  <c r="N16" i="6"/>
  <c r="P16" i="6" s="1"/>
  <c r="O17" i="6"/>
  <c r="F17" i="6"/>
  <c r="L17" i="6" s="1"/>
  <c r="M17" i="6"/>
  <c r="N17" i="6" s="1"/>
  <c r="P17" i="6" s="1"/>
  <c r="O18" i="6"/>
  <c r="P18" i="6" s="1"/>
  <c r="F18" i="6"/>
  <c r="L18" i="6" s="1"/>
  <c r="M18" i="6"/>
  <c r="N18" i="6" s="1"/>
  <c r="F7" i="6"/>
  <c r="K8" i="6"/>
  <c r="K19" i="6" s="1"/>
  <c r="K9" i="6"/>
  <c r="K10" i="6"/>
  <c r="K11" i="6"/>
  <c r="K12" i="6"/>
  <c r="K13" i="6"/>
  <c r="K14" i="6"/>
  <c r="K15" i="6"/>
  <c r="K16" i="6"/>
  <c r="K17" i="6"/>
  <c r="K18" i="6"/>
  <c r="L16" i="6"/>
  <c r="L14" i="6"/>
  <c r="L13" i="6"/>
  <c r="L12" i="6"/>
  <c r="L10" i="6"/>
  <c r="L9" i="6"/>
  <c r="L8" i="6"/>
  <c r="G16" i="6"/>
  <c r="H16" i="6"/>
  <c r="I16" i="6"/>
  <c r="G13" i="6"/>
  <c r="H13" i="6"/>
  <c r="I13" i="6"/>
  <c r="G11" i="6"/>
  <c r="I11" i="6" s="1"/>
  <c r="H11" i="6"/>
  <c r="G8" i="6"/>
  <c r="H8" i="6"/>
  <c r="I8" i="6"/>
  <c r="G18" i="6"/>
  <c r="H18" i="6"/>
  <c r="I18" i="6" s="1"/>
  <c r="G17" i="6"/>
  <c r="H17" i="6"/>
  <c r="I17" i="6" s="1"/>
  <c r="G15" i="6"/>
  <c r="I15" i="6" s="1"/>
  <c r="H15" i="6"/>
  <c r="G14" i="6"/>
  <c r="I14" i="6" s="1"/>
  <c r="H14" i="6"/>
  <c r="G12" i="6"/>
  <c r="I12" i="6" s="1"/>
  <c r="H12" i="6"/>
  <c r="G10" i="6"/>
  <c r="H10" i="6"/>
  <c r="I10" i="6" s="1"/>
  <c r="G9" i="6"/>
  <c r="H9" i="6"/>
  <c r="I9" i="6"/>
  <c r="G7" i="6"/>
  <c r="I7" i="6" s="1"/>
  <c r="H7" i="6"/>
  <c r="O8" i="5"/>
  <c r="F8" i="5"/>
  <c r="G2" i="5"/>
  <c r="G1" i="5"/>
  <c r="O9" i="5"/>
  <c r="F9" i="5"/>
  <c r="M9" i="5"/>
  <c r="N9" i="5" s="1"/>
  <c r="P9" i="5" s="1"/>
  <c r="O10" i="5"/>
  <c r="P10" i="5" s="1"/>
  <c r="F10" i="5"/>
  <c r="L10" i="5" s="1"/>
  <c r="M10" i="5"/>
  <c r="N10" i="5" s="1"/>
  <c r="O11" i="5"/>
  <c r="F11" i="5"/>
  <c r="M11" i="5" s="1"/>
  <c r="N11" i="5"/>
  <c r="P11" i="5" s="1"/>
  <c r="O12" i="5"/>
  <c r="P12" i="5" s="1"/>
  <c r="F12" i="5"/>
  <c r="M12" i="5"/>
  <c r="N12" i="5" s="1"/>
  <c r="O13" i="5"/>
  <c r="F13" i="5"/>
  <c r="O14" i="5"/>
  <c r="F14" i="5"/>
  <c r="L14" i="5" s="1"/>
  <c r="O15" i="5"/>
  <c r="F15" i="5"/>
  <c r="O16" i="5"/>
  <c r="P16" i="5" s="1"/>
  <c r="F16" i="5"/>
  <c r="M16" i="5"/>
  <c r="N16" i="5" s="1"/>
  <c r="O17" i="5"/>
  <c r="P17" i="5" s="1"/>
  <c r="F17" i="5"/>
  <c r="M17" i="5"/>
  <c r="N17" i="5" s="1"/>
  <c r="O18" i="5"/>
  <c r="F18" i="5"/>
  <c r="L18" i="5" s="1"/>
  <c r="O19" i="5"/>
  <c r="P19" i="5" s="1"/>
  <c r="F19" i="5"/>
  <c r="M19" i="5" s="1"/>
  <c r="N19" i="5"/>
  <c r="O20" i="5"/>
  <c r="F20" i="5"/>
  <c r="M20" i="5"/>
  <c r="N20" i="5"/>
  <c r="P20" i="5"/>
  <c r="O21" i="5"/>
  <c r="F21" i="5"/>
  <c r="M21" i="5" s="1"/>
  <c r="N21" i="5" s="1"/>
  <c r="O22" i="5"/>
  <c r="F22" i="5"/>
  <c r="M22" i="5"/>
  <c r="N22" i="5" s="1"/>
  <c r="P22" i="5"/>
  <c r="O23" i="5"/>
  <c r="F23" i="5"/>
  <c r="M23" i="5" s="1"/>
  <c r="N23" i="5" s="1"/>
  <c r="P23" i="5" s="1"/>
  <c r="O24" i="5"/>
  <c r="F24" i="5"/>
  <c r="L24" i="5" s="1"/>
  <c r="M24" i="5"/>
  <c r="N24" i="5" s="1"/>
  <c r="P24" i="5" s="1"/>
  <c r="O25" i="5"/>
  <c r="F25" i="5"/>
  <c r="L25" i="5" s="1"/>
  <c r="A34" i="5"/>
  <c r="K25" i="5"/>
  <c r="K24" i="5"/>
  <c r="K23" i="5"/>
  <c r="L22" i="5"/>
  <c r="K22" i="5"/>
  <c r="K21" i="5"/>
  <c r="L20" i="5"/>
  <c r="K20" i="5"/>
  <c r="L19" i="5"/>
  <c r="K19" i="5"/>
  <c r="K18" i="5"/>
  <c r="L17" i="5"/>
  <c r="K17" i="5"/>
  <c r="L16" i="5"/>
  <c r="K16" i="5"/>
  <c r="K15" i="5"/>
  <c r="K14" i="5"/>
  <c r="K13" i="5"/>
  <c r="L12" i="5"/>
  <c r="K12" i="5"/>
  <c r="L11" i="5"/>
  <c r="K11" i="5"/>
  <c r="K10" i="5"/>
  <c r="L9" i="5"/>
  <c r="K9" i="5"/>
  <c r="G23" i="5"/>
  <c r="H23" i="5"/>
  <c r="I23" i="5"/>
  <c r="G12" i="5"/>
  <c r="I12" i="5" s="1"/>
  <c r="H12" i="5"/>
  <c r="F7" i="5"/>
  <c r="L7" i="5" s="1"/>
  <c r="M7" i="5"/>
  <c r="N7" i="5" s="1"/>
  <c r="G7" i="5"/>
  <c r="I7" i="5" s="1"/>
  <c r="H7" i="5"/>
  <c r="G24" i="5"/>
  <c r="H24" i="5"/>
  <c r="I24" i="5"/>
  <c r="G22" i="5"/>
  <c r="H22" i="5"/>
  <c r="I22" i="5"/>
  <c r="G21" i="5"/>
  <c r="I21" i="5" s="1"/>
  <c r="H21" i="5"/>
  <c r="G20" i="5"/>
  <c r="I20" i="5" s="1"/>
  <c r="H20" i="5"/>
  <c r="G19" i="5"/>
  <c r="H19" i="5"/>
  <c r="I19" i="5"/>
  <c r="G18" i="5"/>
  <c r="H18" i="5"/>
  <c r="I18" i="5" s="1"/>
  <c r="G17" i="5"/>
  <c r="I17" i="5" s="1"/>
  <c r="H17" i="5"/>
  <c r="G16" i="5"/>
  <c r="H16" i="5"/>
  <c r="G15" i="5"/>
  <c r="H15" i="5"/>
  <c r="I15" i="5"/>
  <c r="G14" i="5"/>
  <c r="H14" i="5"/>
  <c r="I14" i="5"/>
  <c r="G13" i="5"/>
  <c r="I13" i="5" s="1"/>
  <c r="H13" i="5"/>
  <c r="G11" i="5"/>
  <c r="I11" i="5" s="1"/>
  <c r="H11" i="5"/>
  <c r="G10" i="5"/>
  <c r="H10" i="5"/>
  <c r="I10" i="5"/>
  <c r="G9" i="5"/>
  <c r="H9" i="5"/>
  <c r="I9" i="5" s="1"/>
  <c r="K8" i="5"/>
  <c r="G8" i="5"/>
  <c r="H8" i="5"/>
  <c r="I8" i="5"/>
  <c r="G25" i="5"/>
  <c r="I25" i="5" s="1"/>
  <c r="H25" i="5"/>
  <c r="O8" i="3"/>
  <c r="F8" i="3"/>
  <c r="G2" i="3"/>
  <c r="G1" i="3"/>
  <c r="O9" i="3"/>
  <c r="F9" i="3"/>
  <c r="O10" i="3"/>
  <c r="F10" i="3"/>
  <c r="O11" i="3"/>
  <c r="F11" i="3"/>
  <c r="O12" i="3"/>
  <c r="F12" i="3"/>
  <c r="O13" i="3"/>
  <c r="F13" i="3"/>
  <c r="L13" i="3" s="1"/>
  <c r="O14" i="3"/>
  <c r="F14" i="3"/>
  <c r="M14" i="3"/>
  <c r="N14" i="3" s="1"/>
  <c r="P14" i="3" s="1"/>
  <c r="O15" i="3"/>
  <c r="F15" i="3"/>
  <c r="L15" i="3" s="1"/>
  <c r="O16" i="3"/>
  <c r="F16" i="3"/>
  <c r="O17" i="3"/>
  <c r="F17" i="3"/>
  <c r="O18" i="3"/>
  <c r="F18" i="3"/>
  <c r="L18" i="3" s="1"/>
  <c r="O19" i="3"/>
  <c r="F19" i="3"/>
  <c r="O20" i="3"/>
  <c r="F20" i="3"/>
  <c r="O21" i="3"/>
  <c r="F21" i="3"/>
  <c r="L21" i="3" s="1"/>
  <c r="O22" i="3"/>
  <c r="F22" i="3"/>
  <c r="L22" i="3" s="1"/>
  <c r="M22" i="3"/>
  <c r="N22" i="3" s="1"/>
  <c r="P22" i="3" s="1"/>
  <c r="A36" i="3"/>
  <c r="K8" i="3"/>
  <c r="K9" i="3"/>
  <c r="K10" i="3"/>
  <c r="K12" i="3"/>
  <c r="K13" i="3"/>
  <c r="K14" i="3"/>
  <c r="K15" i="3"/>
  <c r="K16" i="3"/>
  <c r="K17" i="3"/>
  <c r="K18" i="3"/>
  <c r="K19" i="3"/>
  <c r="K20" i="3"/>
  <c r="K21" i="3"/>
  <c r="K22" i="3"/>
  <c r="G22" i="3"/>
  <c r="H22" i="3"/>
  <c r="I22" i="3"/>
  <c r="G21" i="3"/>
  <c r="H21" i="3"/>
  <c r="I21" i="3"/>
  <c r="L20" i="3"/>
  <c r="G20" i="3"/>
  <c r="H20" i="3"/>
  <c r="I20" i="3"/>
  <c r="G19" i="3"/>
  <c r="H19" i="3"/>
  <c r="I19" i="3"/>
  <c r="G18" i="3"/>
  <c r="H18" i="3"/>
  <c r="I18" i="3"/>
  <c r="L17" i="3"/>
  <c r="G17" i="3"/>
  <c r="H17" i="3"/>
  <c r="I17" i="3"/>
  <c r="L16" i="3"/>
  <c r="G16" i="3"/>
  <c r="H16" i="3"/>
  <c r="I16" i="3"/>
  <c r="G15" i="3"/>
  <c r="H15" i="3"/>
  <c r="I15" i="3"/>
  <c r="L14" i="3"/>
  <c r="G14" i="3"/>
  <c r="H14" i="3"/>
  <c r="I14" i="3"/>
  <c r="G13" i="3"/>
  <c r="H13" i="3"/>
  <c r="I13" i="3"/>
  <c r="L12" i="3"/>
  <c r="G12" i="3"/>
  <c r="H12" i="3"/>
  <c r="I12" i="3"/>
  <c r="G11" i="3"/>
  <c r="H11" i="3"/>
  <c r="I11" i="3"/>
  <c r="L10" i="3"/>
  <c r="G10" i="3"/>
  <c r="H10" i="3"/>
  <c r="I10" i="3"/>
  <c r="L9" i="3"/>
  <c r="G9" i="3"/>
  <c r="H9" i="3"/>
  <c r="I9" i="3"/>
  <c r="F7" i="3"/>
  <c r="L8" i="3"/>
  <c r="G8" i="3"/>
  <c r="I8" i="3" s="1"/>
  <c r="H8" i="3"/>
  <c r="G7" i="3"/>
  <c r="I7" i="3" s="1"/>
  <c r="H7" i="3"/>
  <c r="O8" i="4"/>
  <c r="F8" i="4"/>
  <c r="G2" i="4"/>
  <c r="G1" i="4"/>
  <c r="O9" i="4"/>
  <c r="F9" i="4"/>
  <c r="O10" i="4"/>
  <c r="F10" i="4"/>
  <c r="L10" i="4" s="1"/>
  <c r="O11" i="4"/>
  <c r="F11" i="4"/>
  <c r="O12" i="4"/>
  <c r="F12" i="4"/>
  <c r="O13" i="4"/>
  <c r="F13" i="4"/>
  <c r="L13" i="4" s="1"/>
  <c r="O14" i="4"/>
  <c r="F14" i="4"/>
  <c r="M14" i="4"/>
  <c r="N14" i="4" s="1"/>
  <c r="P14" i="4" s="1"/>
  <c r="O15" i="4"/>
  <c r="F15" i="4"/>
  <c r="O16" i="4"/>
  <c r="F16" i="4"/>
  <c r="O17" i="4"/>
  <c r="F17" i="4"/>
  <c r="O18" i="4"/>
  <c r="F18" i="4"/>
  <c r="L18" i="4" s="1"/>
  <c r="O19" i="4"/>
  <c r="F19" i="4"/>
  <c r="O20" i="4"/>
  <c r="F20" i="4"/>
  <c r="O21" i="4"/>
  <c r="F21" i="4"/>
  <c r="L21" i="4" s="1"/>
  <c r="A33" i="4"/>
  <c r="K21" i="4"/>
  <c r="L20" i="4"/>
  <c r="K20" i="4"/>
  <c r="K19" i="4"/>
  <c r="K18" i="4"/>
  <c r="L17" i="4"/>
  <c r="K17" i="4"/>
  <c r="L16" i="4"/>
  <c r="K16" i="4"/>
  <c r="K15" i="4"/>
  <c r="L14" i="4"/>
  <c r="K14" i="4"/>
  <c r="K13" i="4"/>
  <c r="L12" i="4"/>
  <c r="K12" i="4"/>
  <c r="K11" i="4"/>
  <c r="K10" i="4"/>
  <c r="L9" i="4"/>
  <c r="K9" i="4"/>
  <c r="G18" i="4"/>
  <c r="I18" i="4" s="1"/>
  <c r="H18" i="4"/>
  <c r="G17" i="4"/>
  <c r="H17" i="4"/>
  <c r="I17" i="4"/>
  <c r="G16" i="4"/>
  <c r="H16" i="4"/>
  <c r="I16" i="4" s="1"/>
  <c r="G12" i="4"/>
  <c r="I12" i="4" s="1"/>
  <c r="H12" i="4"/>
  <c r="G10" i="4"/>
  <c r="H10" i="4"/>
  <c r="K8" i="4"/>
  <c r="K22" i="4" s="1"/>
  <c r="F7" i="4"/>
  <c r="G21" i="4"/>
  <c r="H21" i="4"/>
  <c r="I21" i="4"/>
  <c r="G20" i="4"/>
  <c r="H20" i="4"/>
  <c r="I20" i="4" s="1"/>
  <c r="G19" i="4"/>
  <c r="I19" i="4" s="1"/>
  <c r="H19" i="4"/>
  <c r="G14" i="4"/>
  <c r="H14" i="4"/>
  <c r="G13" i="4"/>
  <c r="H13" i="4"/>
  <c r="I13" i="4"/>
  <c r="G11" i="4"/>
  <c r="I11" i="4" s="1"/>
  <c r="H11" i="4"/>
  <c r="G9" i="4"/>
  <c r="I9" i="4" s="1"/>
  <c r="H9" i="4"/>
  <c r="L8" i="4"/>
  <c r="G8" i="4"/>
  <c r="I8" i="4" s="1"/>
  <c r="H8" i="4"/>
  <c r="G7" i="4"/>
  <c r="H7" i="4"/>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F75" i="2"/>
  <c r="G2" i="2"/>
  <c r="G1" i="2"/>
  <c r="F74" i="2"/>
  <c r="M74" i="2" s="1"/>
  <c r="N74" i="2" s="1"/>
  <c r="P74" i="2" s="1"/>
  <c r="F73" i="2"/>
  <c r="F72" i="2"/>
  <c r="M72" i="2" s="1"/>
  <c r="N72" i="2" s="1"/>
  <c r="P72" i="2" s="1"/>
  <c r="F71" i="2"/>
  <c r="F70" i="2"/>
  <c r="M70" i="2" s="1"/>
  <c r="N70" i="2" s="1"/>
  <c r="P70" i="2"/>
  <c r="F69" i="2"/>
  <c r="F68" i="2"/>
  <c r="M68" i="2" s="1"/>
  <c r="N68" i="2" s="1"/>
  <c r="P68" i="2" s="1"/>
  <c r="F67" i="2"/>
  <c r="F66" i="2"/>
  <c r="F65" i="2"/>
  <c r="F64" i="2"/>
  <c r="M64" i="2" s="1"/>
  <c r="N64" i="2" s="1"/>
  <c r="P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A96"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L75" i="2"/>
  <c r="G75" i="2"/>
  <c r="I75" i="2" s="1"/>
  <c r="H75" i="2"/>
  <c r="L74" i="2"/>
  <c r="G74" i="2"/>
  <c r="H74" i="2"/>
  <c r="I74" i="2"/>
  <c r="L73" i="2"/>
  <c r="G73" i="2"/>
  <c r="I73" i="2" s="1"/>
  <c r="H73" i="2"/>
  <c r="L72" i="2"/>
  <c r="G72" i="2"/>
  <c r="H72" i="2"/>
  <c r="I72" i="2"/>
  <c r="L71" i="2"/>
  <c r="G71" i="2"/>
  <c r="I71" i="2" s="1"/>
  <c r="H71" i="2"/>
  <c r="L70" i="2"/>
  <c r="G70" i="2"/>
  <c r="H70" i="2"/>
  <c r="I70" i="2"/>
  <c r="L69" i="2"/>
  <c r="G69" i="2"/>
  <c r="I69" i="2" s="1"/>
  <c r="H69" i="2"/>
  <c r="L68" i="2"/>
  <c r="G68" i="2"/>
  <c r="H68" i="2"/>
  <c r="I68" i="2"/>
  <c r="L67" i="2"/>
  <c r="G67" i="2"/>
  <c r="H67" i="2"/>
  <c r="I67" i="2"/>
  <c r="L66" i="2"/>
  <c r="G66" i="2"/>
  <c r="H66" i="2"/>
  <c r="I66" i="2"/>
  <c r="L65" i="2"/>
  <c r="G65" i="2"/>
  <c r="H65" i="2"/>
  <c r="I65" i="2"/>
  <c r="L64" i="2"/>
  <c r="G64" i="2"/>
  <c r="H64" i="2"/>
  <c r="I64" i="2"/>
  <c r="L63" i="2"/>
  <c r="G63" i="2"/>
  <c r="H63" i="2"/>
  <c r="I63" i="2"/>
  <c r="L62" i="2"/>
  <c r="G62" i="2"/>
  <c r="H62" i="2"/>
  <c r="I62" i="2"/>
  <c r="L61" i="2"/>
  <c r="G61" i="2"/>
  <c r="H61" i="2"/>
  <c r="I61" i="2"/>
  <c r="L60" i="2"/>
  <c r="G60" i="2"/>
  <c r="H60" i="2"/>
  <c r="I60" i="2"/>
  <c r="L59" i="2"/>
  <c r="G59" i="2"/>
  <c r="H59" i="2"/>
  <c r="I59" i="2"/>
  <c r="L58" i="2"/>
  <c r="G58" i="2"/>
  <c r="H58" i="2"/>
  <c r="I58" i="2"/>
  <c r="L57" i="2"/>
  <c r="G57" i="2"/>
  <c r="H57" i="2"/>
  <c r="I57" i="2"/>
  <c r="L56" i="2"/>
  <c r="G56" i="2"/>
  <c r="H56" i="2"/>
  <c r="I56" i="2"/>
  <c r="L55" i="2"/>
  <c r="G55" i="2"/>
  <c r="H55" i="2"/>
  <c r="I55" i="2"/>
  <c r="L54" i="2"/>
  <c r="G54" i="2"/>
  <c r="H54" i="2"/>
  <c r="I54" i="2"/>
  <c r="L53" i="2"/>
  <c r="G53" i="2"/>
  <c r="H53" i="2"/>
  <c r="I53" i="2"/>
  <c r="L52" i="2"/>
  <c r="G52" i="2"/>
  <c r="H52" i="2"/>
  <c r="I52" i="2"/>
  <c r="L51" i="2"/>
  <c r="G51" i="2"/>
  <c r="H51" i="2"/>
  <c r="I51" i="2"/>
  <c r="L50" i="2"/>
  <c r="G50" i="2"/>
  <c r="H50" i="2"/>
  <c r="I50" i="2"/>
  <c r="L49" i="2"/>
  <c r="G49" i="2"/>
  <c r="I49" i="2" s="1"/>
  <c r="H49" i="2"/>
  <c r="L48" i="2"/>
  <c r="G48" i="2"/>
  <c r="H48" i="2"/>
  <c r="I48" i="2"/>
  <c r="L47" i="2"/>
  <c r="G47" i="2"/>
  <c r="I47" i="2" s="1"/>
  <c r="H47" i="2"/>
  <c r="L46" i="2"/>
  <c r="G46" i="2"/>
  <c r="H46" i="2"/>
  <c r="I46" i="2"/>
  <c r="L45" i="2"/>
  <c r="G45" i="2"/>
  <c r="I45" i="2" s="1"/>
  <c r="H45" i="2"/>
  <c r="L44" i="2"/>
  <c r="G44" i="2"/>
  <c r="H44" i="2"/>
  <c r="I44" i="2"/>
  <c r="L43" i="2"/>
  <c r="G43" i="2"/>
  <c r="I43" i="2" s="1"/>
  <c r="H43" i="2"/>
  <c r="L42" i="2"/>
  <c r="G42" i="2"/>
  <c r="H42" i="2"/>
  <c r="I42" i="2"/>
  <c r="L41" i="2"/>
  <c r="G41" i="2"/>
  <c r="I41" i="2" s="1"/>
  <c r="H41" i="2"/>
  <c r="L40" i="2"/>
  <c r="G40" i="2"/>
  <c r="H40" i="2"/>
  <c r="I40" i="2"/>
  <c r="L39" i="2"/>
  <c r="G39" i="2"/>
  <c r="I39" i="2" s="1"/>
  <c r="H39" i="2"/>
  <c r="L38" i="2"/>
  <c r="G38" i="2"/>
  <c r="H38" i="2"/>
  <c r="I38" i="2"/>
  <c r="L37" i="2"/>
  <c r="G37" i="2"/>
  <c r="I37" i="2" s="1"/>
  <c r="H37" i="2"/>
  <c r="L36" i="2"/>
  <c r="G36" i="2"/>
  <c r="H36" i="2"/>
  <c r="I36" i="2"/>
  <c r="L35" i="2"/>
  <c r="G35" i="2"/>
  <c r="I35" i="2" s="1"/>
  <c r="H35" i="2"/>
  <c r="L34" i="2"/>
  <c r="G34" i="2"/>
  <c r="H34" i="2"/>
  <c r="I34" i="2"/>
  <c r="L33" i="2"/>
  <c r="G33" i="2"/>
  <c r="I33" i="2" s="1"/>
  <c r="H33" i="2"/>
  <c r="L32" i="2"/>
  <c r="G32" i="2"/>
  <c r="H32" i="2"/>
  <c r="I32" i="2"/>
  <c r="L31" i="2"/>
  <c r="G31" i="2"/>
  <c r="I31" i="2" s="1"/>
  <c r="H31" i="2"/>
  <c r="L30" i="2"/>
  <c r="G30" i="2"/>
  <c r="H30" i="2"/>
  <c r="I30" i="2"/>
  <c r="L29" i="2"/>
  <c r="G29" i="2"/>
  <c r="I29" i="2" s="1"/>
  <c r="H29" i="2"/>
  <c r="L28" i="2"/>
  <c r="G28" i="2"/>
  <c r="H28" i="2"/>
  <c r="I28" i="2"/>
  <c r="L27" i="2"/>
  <c r="G27" i="2"/>
  <c r="I27" i="2" s="1"/>
  <c r="H27" i="2"/>
  <c r="L26" i="2"/>
  <c r="G26" i="2"/>
  <c r="H26" i="2"/>
  <c r="I26" i="2"/>
  <c r="L25" i="2"/>
  <c r="G25" i="2"/>
  <c r="I25" i="2" s="1"/>
  <c r="H25" i="2"/>
  <c r="L24" i="2"/>
  <c r="G24" i="2"/>
  <c r="H24" i="2"/>
  <c r="I24" i="2"/>
  <c r="L23" i="2"/>
  <c r="G23" i="2"/>
  <c r="I23" i="2" s="1"/>
  <c r="H23" i="2"/>
  <c r="L22" i="2"/>
  <c r="G22" i="2"/>
  <c r="H22" i="2"/>
  <c r="I22" i="2"/>
  <c r="L21" i="2"/>
  <c r="G21" i="2"/>
  <c r="I21" i="2" s="1"/>
  <c r="H21" i="2"/>
  <c r="L20" i="2"/>
  <c r="G20" i="2"/>
  <c r="H20" i="2"/>
  <c r="I20" i="2"/>
  <c r="L19" i="2"/>
  <c r="G19" i="2"/>
  <c r="I19" i="2" s="1"/>
  <c r="H19" i="2"/>
  <c r="L18" i="2"/>
  <c r="G18" i="2"/>
  <c r="H18" i="2"/>
  <c r="I18" i="2"/>
  <c r="L17" i="2"/>
  <c r="G17" i="2"/>
  <c r="I17" i="2" s="1"/>
  <c r="H17" i="2"/>
  <c r="L16" i="2"/>
  <c r="G16" i="2"/>
  <c r="H16" i="2"/>
  <c r="I16" i="2"/>
  <c r="L15" i="2"/>
  <c r="G15" i="2"/>
  <c r="I15" i="2" s="1"/>
  <c r="H15" i="2"/>
  <c r="L14" i="2"/>
  <c r="G14" i="2"/>
  <c r="H14" i="2"/>
  <c r="I14" i="2"/>
  <c r="L13" i="2"/>
  <c r="G13" i="2"/>
  <c r="I13" i="2" s="1"/>
  <c r="H13" i="2"/>
  <c r="L12" i="2"/>
  <c r="G12" i="2"/>
  <c r="H12" i="2"/>
  <c r="I12" i="2"/>
  <c r="L11" i="2"/>
  <c r="G11" i="2"/>
  <c r="I11" i="2" s="1"/>
  <c r="H11" i="2"/>
  <c r="L10" i="2"/>
  <c r="G10" i="2"/>
  <c r="H10" i="2"/>
  <c r="I10" i="2"/>
  <c r="L8" i="2"/>
  <c r="G8" i="2"/>
  <c r="I8" i="2" s="1"/>
  <c r="H8" i="2"/>
  <c r="F7" i="2"/>
  <c r="F76" i="2"/>
  <c r="L9" i="2"/>
  <c r="G9" i="2"/>
  <c r="H9" i="2"/>
  <c r="I9" i="2"/>
  <c r="G7" i="2"/>
  <c r="I7" i="2" s="1"/>
  <c r="H7" i="2"/>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F8" i="1"/>
  <c r="G2" i="1"/>
  <c r="M26" i="1" s="1"/>
  <c r="N26" i="1" s="1"/>
  <c r="G1" i="1"/>
  <c r="F9" i="1"/>
  <c r="F10" i="1"/>
  <c r="M10" i="1"/>
  <c r="N10" i="1" s="1"/>
  <c r="F11" i="1"/>
  <c r="M11" i="1" s="1"/>
  <c r="N11" i="1" s="1"/>
  <c r="P11" i="1"/>
  <c r="F12" i="1"/>
  <c r="F13" i="1"/>
  <c r="F14" i="1"/>
  <c r="M14" i="1"/>
  <c r="N14" i="1" s="1"/>
  <c r="F15" i="1"/>
  <c r="F16" i="1"/>
  <c r="F17" i="1"/>
  <c r="F18" i="1"/>
  <c r="F19" i="1"/>
  <c r="M19" i="1" s="1"/>
  <c r="N19" i="1" s="1"/>
  <c r="F20" i="1"/>
  <c r="M20" i="1"/>
  <c r="N20" i="1" s="1"/>
  <c r="P20" i="1" s="1"/>
  <c r="F21" i="1"/>
  <c r="M21" i="1" s="1"/>
  <c r="N21" i="1"/>
  <c r="P21" i="1" s="1"/>
  <c r="F22" i="1"/>
  <c r="F23" i="1"/>
  <c r="F24" i="1"/>
  <c r="F25" i="1"/>
  <c r="F26" i="1"/>
  <c r="F27" i="1"/>
  <c r="M27" i="1" s="1"/>
  <c r="N27" i="1" s="1"/>
  <c r="P27" i="1" s="1"/>
  <c r="F28" i="1"/>
  <c r="F29" i="1"/>
  <c r="M29" i="1" s="1"/>
  <c r="N29" i="1" s="1"/>
  <c r="P29" i="1" s="1"/>
  <c r="F30" i="1"/>
  <c r="F31" i="1"/>
  <c r="M31" i="1" s="1"/>
  <c r="N31" i="1" s="1"/>
  <c r="P31" i="1" s="1"/>
  <c r="F32" i="1"/>
  <c r="F33" i="1"/>
  <c r="M33" i="1" s="1"/>
  <c r="N33" i="1" s="1"/>
  <c r="P33" i="1" s="1"/>
  <c r="F34" i="1"/>
  <c r="F35" i="1"/>
  <c r="M35" i="1" s="1"/>
  <c r="N35" i="1" s="1"/>
  <c r="P35" i="1" s="1"/>
  <c r="F36" i="1"/>
  <c r="F37" i="1"/>
  <c r="M37" i="1" s="1"/>
  <c r="N37" i="1" s="1"/>
  <c r="P37" i="1" s="1"/>
  <c r="F38" i="1"/>
  <c r="F39" i="1"/>
  <c r="M39" i="1" s="1"/>
  <c r="N39" i="1" s="1"/>
  <c r="P39" i="1" s="1"/>
  <c r="F40" i="1"/>
  <c r="K8" i="1"/>
  <c r="K9" i="1"/>
  <c r="K41" i="1" s="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L40" i="1"/>
  <c r="G40" i="1"/>
  <c r="I40" i="1" s="1"/>
  <c r="H40" i="1"/>
  <c r="L39" i="1"/>
  <c r="G39" i="1"/>
  <c r="H39" i="1"/>
  <c r="I39" i="1"/>
  <c r="L38" i="1"/>
  <c r="G38" i="1"/>
  <c r="I38" i="1" s="1"/>
  <c r="H38" i="1"/>
  <c r="L37" i="1"/>
  <c r="G37" i="1"/>
  <c r="H37" i="1"/>
  <c r="I37" i="1"/>
  <c r="L36" i="1"/>
  <c r="G36" i="1"/>
  <c r="I36" i="1" s="1"/>
  <c r="H36" i="1"/>
  <c r="L35" i="1"/>
  <c r="G35" i="1"/>
  <c r="H35" i="1"/>
  <c r="I35" i="1"/>
  <c r="L34" i="1"/>
  <c r="G34" i="1"/>
  <c r="I34" i="1" s="1"/>
  <c r="H34" i="1"/>
  <c r="L33" i="1"/>
  <c r="G33" i="1"/>
  <c r="H33" i="1"/>
  <c r="I33" i="1"/>
  <c r="L32" i="1"/>
  <c r="G32" i="1"/>
  <c r="I32" i="1" s="1"/>
  <c r="H32" i="1"/>
  <c r="L31" i="1"/>
  <c r="G31" i="1"/>
  <c r="H31" i="1"/>
  <c r="I31" i="1"/>
  <c r="L30" i="1"/>
  <c r="G30" i="1"/>
  <c r="I30" i="1" s="1"/>
  <c r="H30" i="1"/>
  <c r="L29" i="1"/>
  <c r="G29" i="1"/>
  <c r="H29" i="1"/>
  <c r="I29" i="1"/>
  <c r="L28" i="1"/>
  <c r="G28" i="1"/>
  <c r="I28" i="1" s="1"/>
  <c r="H28" i="1"/>
  <c r="L27" i="1"/>
  <c r="G27" i="1"/>
  <c r="H27" i="1"/>
  <c r="I27" i="1"/>
  <c r="L26" i="1"/>
  <c r="G26" i="1"/>
  <c r="I26" i="1" s="1"/>
  <c r="H26" i="1"/>
  <c r="L25" i="1"/>
  <c r="G25" i="1"/>
  <c r="H25" i="1"/>
  <c r="I25" i="1"/>
  <c r="L24" i="1"/>
  <c r="G24" i="1"/>
  <c r="I24" i="1" s="1"/>
  <c r="H24" i="1"/>
  <c r="L23" i="1"/>
  <c r="G23" i="1"/>
  <c r="H23" i="1"/>
  <c r="I23" i="1"/>
  <c r="L22" i="1"/>
  <c r="G22" i="1"/>
  <c r="I22" i="1" s="1"/>
  <c r="H22" i="1"/>
  <c r="G21" i="1"/>
  <c r="H21" i="1"/>
  <c r="I21" i="1"/>
  <c r="L20" i="1"/>
  <c r="G20" i="1"/>
  <c r="I20" i="1" s="1"/>
  <c r="H20" i="1"/>
  <c r="G19" i="1"/>
  <c r="H19" i="1"/>
  <c r="I19" i="1"/>
  <c r="L18" i="1"/>
  <c r="G18" i="1"/>
  <c r="I18" i="1" s="1"/>
  <c r="H18" i="1"/>
  <c r="L17" i="1"/>
  <c r="G17" i="1"/>
  <c r="H17" i="1"/>
  <c r="I17" i="1"/>
  <c r="L16" i="1"/>
  <c r="G16" i="1"/>
  <c r="I16" i="1" s="1"/>
  <c r="H16" i="1"/>
  <c r="L15" i="1"/>
  <c r="G15" i="1"/>
  <c r="H15" i="1"/>
  <c r="I15" i="1"/>
  <c r="L14" i="1"/>
  <c r="G14" i="1"/>
  <c r="I14" i="1" s="1"/>
  <c r="H14" i="1"/>
  <c r="L13" i="1"/>
  <c r="G13" i="1"/>
  <c r="H13" i="1"/>
  <c r="I13" i="1"/>
  <c r="L12" i="1"/>
  <c r="G12" i="1"/>
  <c r="I12" i="1" s="1"/>
  <c r="H12" i="1"/>
  <c r="L11" i="1"/>
  <c r="G11" i="1"/>
  <c r="H11" i="1"/>
  <c r="I11" i="1"/>
  <c r="L10" i="1"/>
  <c r="G10" i="1"/>
  <c r="I10" i="1" s="1"/>
  <c r="H10" i="1"/>
  <c r="L9" i="1"/>
  <c r="G9" i="1"/>
  <c r="H9" i="1"/>
  <c r="I9" i="1"/>
  <c r="L8" i="1"/>
  <c r="F7" i="1"/>
  <c r="G8" i="1"/>
  <c r="H8" i="1"/>
  <c r="I8" i="1" s="1"/>
  <c r="G7" i="1"/>
  <c r="H7" i="1"/>
  <c r="I7" i="1"/>
  <c r="P14" i="1" l="1"/>
  <c r="P10" i="1"/>
  <c r="P18" i="1"/>
  <c r="P26" i="1"/>
  <c r="P34" i="1"/>
  <c r="P19" i="1"/>
  <c r="L8" i="7"/>
  <c r="M8" i="7"/>
  <c r="N8" i="7" s="1"/>
  <c r="P8" i="7" s="1"/>
  <c r="F20" i="7"/>
  <c r="M23" i="1"/>
  <c r="N23" i="1" s="1"/>
  <c r="P23" i="1" s="1"/>
  <c r="M16" i="1"/>
  <c r="N16" i="1" s="1"/>
  <c r="P16" i="1" s="1"/>
  <c r="I10" i="4"/>
  <c r="M12" i="3"/>
  <c r="N12" i="3" s="1"/>
  <c r="P12" i="3" s="1"/>
  <c r="P12" i="6"/>
  <c r="P16" i="9"/>
  <c r="M31" i="10"/>
  <c r="N31" i="10" s="1"/>
  <c r="L31" i="10"/>
  <c r="P16" i="3"/>
  <c r="M8" i="1"/>
  <c r="N8" i="1" s="1"/>
  <c r="P8" i="1" s="1"/>
  <c r="M25" i="1"/>
  <c r="N25" i="1" s="1"/>
  <c r="P25" i="1" s="1"/>
  <c r="M18" i="1"/>
  <c r="N18" i="1" s="1"/>
  <c r="M13" i="1"/>
  <c r="N13" i="1" s="1"/>
  <c r="P13" i="1" s="1"/>
  <c r="M75" i="2"/>
  <c r="N75" i="2" s="1"/>
  <c r="P75" i="2" s="1"/>
  <c r="M73" i="2"/>
  <c r="N73" i="2" s="1"/>
  <c r="P73" i="2" s="1"/>
  <c r="M71" i="2"/>
  <c r="N71" i="2" s="1"/>
  <c r="P71" i="2" s="1"/>
  <c r="M69" i="2"/>
  <c r="N69" i="2" s="1"/>
  <c r="P69" i="2" s="1"/>
  <c r="M67" i="2"/>
  <c r="N67" i="2" s="1"/>
  <c r="P67" i="2" s="1"/>
  <c r="M65" i="2"/>
  <c r="N65" i="2" s="1"/>
  <c r="P65" i="2" s="1"/>
  <c r="M63" i="2"/>
  <c r="N63" i="2" s="1"/>
  <c r="P63" i="2" s="1"/>
  <c r="M61" i="2"/>
  <c r="N61" i="2" s="1"/>
  <c r="P61" i="2" s="1"/>
  <c r="M59" i="2"/>
  <c r="N59" i="2" s="1"/>
  <c r="P59" i="2" s="1"/>
  <c r="M57" i="2"/>
  <c r="N57" i="2" s="1"/>
  <c r="P57" i="2" s="1"/>
  <c r="M55" i="2"/>
  <c r="N55" i="2" s="1"/>
  <c r="P55" i="2" s="1"/>
  <c r="M53" i="2"/>
  <c r="N53" i="2" s="1"/>
  <c r="P53" i="2" s="1"/>
  <c r="M51" i="2"/>
  <c r="N51" i="2" s="1"/>
  <c r="P51" i="2" s="1"/>
  <c r="M49" i="2"/>
  <c r="N49" i="2" s="1"/>
  <c r="P49" i="2" s="1"/>
  <c r="M47" i="2"/>
  <c r="N47" i="2" s="1"/>
  <c r="P47" i="2" s="1"/>
  <c r="M45" i="2"/>
  <c r="N45" i="2" s="1"/>
  <c r="P45" i="2" s="1"/>
  <c r="M43" i="2"/>
  <c r="N43" i="2" s="1"/>
  <c r="P43" i="2" s="1"/>
  <c r="M41" i="2"/>
  <c r="N41" i="2" s="1"/>
  <c r="P41" i="2" s="1"/>
  <c r="M39" i="2"/>
  <c r="N39" i="2" s="1"/>
  <c r="P39" i="2" s="1"/>
  <c r="M37" i="2"/>
  <c r="N37" i="2" s="1"/>
  <c r="P37" i="2" s="1"/>
  <c r="M35" i="2"/>
  <c r="N35" i="2" s="1"/>
  <c r="P35" i="2" s="1"/>
  <c r="M33" i="2"/>
  <c r="N33" i="2" s="1"/>
  <c r="P33" i="2" s="1"/>
  <c r="M31" i="2"/>
  <c r="N31" i="2" s="1"/>
  <c r="P31" i="2" s="1"/>
  <c r="M29" i="2"/>
  <c r="N29" i="2" s="1"/>
  <c r="P29" i="2" s="1"/>
  <c r="M27" i="2"/>
  <c r="N27" i="2" s="1"/>
  <c r="P27" i="2" s="1"/>
  <c r="M25" i="2"/>
  <c r="N25" i="2" s="1"/>
  <c r="P25" i="2" s="1"/>
  <c r="M23" i="2"/>
  <c r="N23" i="2" s="1"/>
  <c r="P23" i="2" s="1"/>
  <c r="M21" i="2"/>
  <c r="N21" i="2" s="1"/>
  <c r="P21" i="2" s="1"/>
  <c r="M19" i="2"/>
  <c r="N19" i="2" s="1"/>
  <c r="P19" i="2" s="1"/>
  <c r="M17" i="2"/>
  <c r="N17" i="2" s="1"/>
  <c r="P17" i="2" s="1"/>
  <c r="M15" i="2"/>
  <c r="N15" i="2" s="1"/>
  <c r="P15" i="2" s="1"/>
  <c r="M13" i="2"/>
  <c r="N13" i="2" s="1"/>
  <c r="P13" i="2" s="1"/>
  <c r="M11" i="2"/>
  <c r="N11" i="2" s="1"/>
  <c r="P11" i="2" s="1"/>
  <c r="M9" i="2"/>
  <c r="N9" i="2" s="1"/>
  <c r="P9" i="2" s="1"/>
  <c r="M62" i="2"/>
  <c r="N62" i="2" s="1"/>
  <c r="P62" i="2" s="1"/>
  <c r="M60" i="2"/>
  <c r="N60" i="2" s="1"/>
  <c r="P60" i="2" s="1"/>
  <c r="M58" i="2"/>
  <c r="N58" i="2" s="1"/>
  <c r="P58" i="2" s="1"/>
  <c r="M56" i="2"/>
  <c r="N56" i="2" s="1"/>
  <c r="P56" i="2" s="1"/>
  <c r="M54" i="2"/>
  <c r="N54" i="2" s="1"/>
  <c r="P54" i="2" s="1"/>
  <c r="M52" i="2"/>
  <c r="N52" i="2" s="1"/>
  <c r="P52" i="2" s="1"/>
  <c r="M50" i="2"/>
  <c r="N50" i="2" s="1"/>
  <c r="P50" i="2" s="1"/>
  <c r="M48" i="2"/>
  <c r="N48" i="2" s="1"/>
  <c r="P48" i="2" s="1"/>
  <c r="M46" i="2"/>
  <c r="N46" i="2" s="1"/>
  <c r="P46" i="2" s="1"/>
  <c r="M44" i="2"/>
  <c r="N44" i="2" s="1"/>
  <c r="P44" i="2" s="1"/>
  <c r="M42" i="2"/>
  <c r="N42" i="2" s="1"/>
  <c r="P42" i="2" s="1"/>
  <c r="M40" i="2"/>
  <c r="N40" i="2" s="1"/>
  <c r="P40" i="2" s="1"/>
  <c r="M38" i="2"/>
  <c r="N38" i="2" s="1"/>
  <c r="P38" i="2" s="1"/>
  <c r="M36" i="2"/>
  <c r="N36" i="2" s="1"/>
  <c r="P36" i="2" s="1"/>
  <c r="M34" i="2"/>
  <c r="N34" i="2" s="1"/>
  <c r="P34" i="2" s="1"/>
  <c r="M32" i="2"/>
  <c r="N32" i="2" s="1"/>
  <c r="P32" i="2" s="1"/>
  <c r="M30" i="2"/>
  <c r="N30" i="2" s="1"/>
  <c r="P30" i="2" s="1"/>
  <c r="M28" i="2"/>
  <c r="N28" i="2" s="1"/>
  <c r="P28" i="2" s="1"/>
  <c r="M26" i="2"/>
  <c r="N26" i="2" s="1"/>
  <c r="P26" i="2" s="1"/>
  <c r="M24" i="2"/>
  <c r="N24" i="2" s="1"/>
  <c r="P24" i="2" s="1"/>
  <c r="M22" i="2"/>
  <c r="N22" i="2" s="1"/>
  <c r="P22" i="2" s="1"/>
  <c r="M20" i="2"/>
  <c r="N20" i="2" s="1"/>
  <c r="P20" i="2" s="1"/>
  <c r="M18" i="2"/>
  <c r="N18" i="2" s="1"/>
  <c r="P18" i="2" s="1"/>
  <c r="M16" i="2"/>
  <c r="N16" i="2" s="1"/>
  <c r="P16" i="2" s="1"/>
  <c r="M14" i="2"/>
  <c r="N14" i="2" s="1"/>
  <c r="P14" i="2" s="1"/>
  <c r="M12" i="2"/>
  <c r="N12" i="2" s="1"/>
  <c r="P12" i="2" s="1"/>
  <c r="M10" i="2"/>
  <c r="N10" i="2" s="1"/>
  <c r="P10" i="2" s="1"/>
  <c r="M8" i="2"/>
  <c r="N8" i="2" s="1"/>
  <c r="P8" i="2" s="1"/>
  <c r="I7" i="4"/>
  <c r="M20" i="4"/>
  <c r="N20" i="4" s="1"/>
  <c r="P20" i="4" s="1"/>
  <c r="P10" i="4"/>
  <c r="P15" i="3"/>
  <c r="P18" i="3"/>
  <c r="M11" i="3"/>
  <c r="N11" i="3" s="1"/>
  <c r="P11" i="3" s="1"/>
  <c r="L11" i="3"/>
  <c r="K26" i="5"/>
  <c r="F26" i="5"/>
  <c r="M8" i="5"/>
  <c r="N8" i="5" s="1"/>
  <c r="P8" i="5" s="1"/>
  <c r="L8" i="5"/>
  <c r="L21" i="1"/>
  <c r="M8" i="3"/>
  <c r="N8" i="3" s="1"/>
  <c r="P8" i="3" s="1"/>
  <c r="M16" i="3"/>
  <c r="N16" i="3" s="1"/>
  <c r="M10" i="3"/>
  <c r="N10" i="3" s="1"/>
  <c r="P10" i="3" s="1"/>
  <c r="M18" i="3"/>
  <c r="N18" i="3" s="1"/>
  <c r="M9" i="3"/>
  <c r="N9" i="3" s="1"/>
  <c r="P9" i="3" s="1"/>
  <c r="M17" i="3"/>
  <c r="N17" i="3" s="1"/>
  <c r="M13" i="5"/>
  <c r="N13" i="5" s="1"/>
  <c r="P13" i="5" s="1"/>
  <c r="L13" i="5"/>
  <c r="M22" i="1"/>
  <c r="N22" i="1" s="1"/>
  <c r="P22" i="1" s="1"/>
  <c r="M15" i="1"/>
  <c r="N15" i="1" s="1"/>
  <c r="P15" i="1" s="1"/>
  <c r="M66" i="2"/>
  <c r="N66" i="2" s="1"/>
  <c r="P66" i="2" s="1"/>
  <c r="M19" i="4"/>
  <c r="N19" i="4" s="1"/>
  <c r="P19" i="4" s="1"/>
  <c r="L19" i="4"/>
  <c r="K23" i="3"/>
  <c r="I16" i="5"/>
  <c r="M19" i="3"/>
  <c r="N19" i="3" s="1"/>
  <c r="P19" i="3" s="1"/>
  <c r="L19" i="3"/>
  <c r="F41" i="1"/>
  <c r="M12" i="1"/>
  <c r="N12" i="1" s="1"/>
  <c r="P12" i="1" s="1"/>
  <c r="M15" i="4"/>
  <c r="N15" i="4" s="1"/>
  <c r="P15" i="4" s="1"/>
  <c r="M12" i="4"/>
  <c r="N12" i="4" s="1"/>
  <c r="P12" i="4" s="1"/>
  <c r="P19" i="8"/>
  <c r="M15" i="8"/>
  <c r="N15" i="8" s="1"/>
  <c r="P15" i="8" s="1"/>
  <c r="L15" i="8"/>
  <c r="P27" i="10"/>
  <c r="L19" i="1"/>
  <c r="M24" i="1"/>
  <c r="N24" i="1" s="1"/>
  <c r="P24" i="1" s="1"/>
  <c r="M40" i="1"/>
  <c r="N40" i="1" s="1"/>
  <c r="P40" i="1" s="1"/>
  <c r="M38" i="1"/>
  <c r="N38" i="1" s="1"/>
  <c r="P38" i="1" s="1"/>
  <c r="M36" i="1"/>
  <c r="N36" i="1" s="1"/>
  <c r="P36" i="1" s="1"/>
  <c r="M34" i="1"/>
  <c r="N34" i="1" s="1"/>
  <c r="M32" i="1"/>
  <c r="N32" i="1" s="1"/>
  <c r="P32" i="1" s="1"/>
  <c r="M30" i="1"/>
  <c r="N30" i="1" s="1"/>
  <c r="P30" i="1" s="1"/>
  <c r="M28" i="1"/>
  <c r="N28" i="1" s="1"/>
  <c r="P28" i="1" s="1"/>
  <c r="M17" i="1"/>
  <c r="N17" i="1" s="1"/>
  <c r="P17" i="1" s="1"/>
  <c r="M9" i="1"/>
  <c r="N9" i="1" s="1"/>
  <c r="P9" i="1" s="1"/>
  <c r="I14" i="4"/>
  <c r="F22" i="4"/>
  <c r="M20" i="3"/>
  <c r="N20" i="3" s="1"/>
  <c r="P20" i="3" s="1"/>
  <c r="P17" i="3"/>
  <c r="L22" i="8"/>
  <c r="M22" i="8"/>
  <c r="N22" i="8" s="1"/>
  <c r="P22" i="8" s="1"/>
  <c r="M11" i="4"/>
  <c r="N11" i="4" s="1"/>
  <c r="P11" i="4" s="1"/>
  <c r="L11" i="4"/>
  <c r="M8" i="4"/>
  <c r="N8" i="4" s="1"/>
  <c r="P8" i="4" s="1"/>
  <c r="M16" i="4"/>
  <c r="N16" i="4" s="1"/>
  <c r="P16" i="4" s="1"/>
  <c r="M10" i="4"/>
  <c r="N10" i="4" s="1"/>
  <c r="M18" i="4"/>
  <c r="N18" i="4" s="1"/>
  <c r="P18" i="4" s="1"/>
  <c r="M9" i="4"/>
  <c r="N9" i="4" s="1"/>
  <c r="P9" i="4" s="1"/>
  <c r="M17" i="4"/>
  <c r="N17" i="4" s="1"/>
  <c r="P17" i="4" s="1"/>
  <c r="F23" i="3"/>
  <c r="M15" i="5"/>
  <c r="N15" i="5" s="1"/>
  <c r="P15" i="5" s="1"/>
  <c r="L15" i="5"/>
  <c r="M15" i="7"/>
  <c r="N15" i="7" s="1"/>
  <c r="P15" i="7" s="1"/>
  <c r="L15" i="7"/>
  <c r="K29" i="9"/>
  <c r="M8" i="11"/>
  <c r="N8" i="11" s="1"/>
  <c r="P8" i="11" s="1"/>
  <c r="M16" i="11"/>
  <c r="N16" i="11" s="1"/>
  <c r="M17" i="11"/>
  <c r="N17" i="11" s="1"/>
  <c r="P17" i="11" s="1"/>
  <c r="M9" i="11"/>
  <c r="N9" i="11" s="1"/>
  <c r="P9" i="11" s="1"/>
  <c r="L23" i="5"/>
  <c r="P8" i="6"/>
  <c r="K20" i="7"/>
  <c r="M19" i="7"/>
  <c r="N19" i="7" s="1"/>
  <c r="P19" i="7" s="1"/>
  <c r="L17" i="7"/>
  <c r="M17" i="7"/>
  <c r="N17" i="7" s="1"/>
  <c r="P17" i="7" s="1"/>
  <c r="M25" i="9"/>
  <c r="N25" i="9" s="1"/>
  <c r="P25" i="9" s="1"/>
  <c r="L25" i="9"/>
  <c r="M10" i="9"/>
  <c r="N10" i="9" s="1"/>
  <c r="P10" i="9" s="1"/>
  <c r="L10" i="9"/>
  <c r="L11" i="11"/>
  <c r="M11" i="11"/>
  <c r="N11" i="11" s="1"/>
  <c r="M10" i="11"/>
  <c r="N10" i="11" s="1"/>
  <c r="P10" i="11" s="1"/>
  <c r="M18" i="5"/>
  <c r="N18" i="5" s="1"/>
  <c r="P18" i="5" s="1"/>
  <c r="M15" i="6"/>
  <c r="N15" i="6" s="1"/>
  <c r="P15" i="6" s="1"/>
  <c r="L15" i="6"/>
  <c r="M14" i="7"/>
  <c r="N14" i="7" s="1"/>
  <c r="L14" i="7"/>
  <c r="P12" i="7"/>
  <c r="M9" i="7"/>
  <c r="N9" i="7" s="1"/>
  <c r="P9" i="7" s="1"/>
  <c r="M22" i="9"/>
  <c r="N22" i="9" s="1"/>
  <c r="P22" i="9" s="1"/>
  <c r="P20" i="9"/>
  <c r="M15" i="9"/>
  <c r="N15" i="9" s="1"/>
  <c r="P13" i="9"/>
  <c r="L15" i="4"/>
  <c r="M15" i="3"/>
  <c r="N15" i="3" s="1"/>
  <c r="M25" i="5"/>
  <c r="N25" i="5" s="1"/>
  <c r="P25" i="5" s="1"/>
  <c r="M14" i="5"/>
  <c r="N14" i="5" s="1"/>
  <c r="P14" i="5" s="1"/>
  <c r="P13" i="6"/>
  <c r="L11" i="6"/>
  <c r="M11" i="6"/>
  <c r="N11" i="6" s="1"/>
  <c r="P11" i="6" s="1"/>
  <c r="P9" i="6"/>
  <c r="P14" i="7"/>
  <c r="M11" i="7"/>
  <c r="N11" i="7" s="1"/>
  <c r="M27" i="9"/>
  <c r="N27" i="9" s="1"/>
  <c r="P27" i="9" s="1"/>
  <c r="L17" i="8"/>
  <c r="M17" i="8"/>
  <c r="N17" i="8" s="1"/>
  <c r="P17" i="8" s="1"/>
  <c r="F19" i="11"/>
  <c r="M14" i="11"/>
  <c r="N14" i="11" s="1"/>
  <c r="P14" i="11" s="1"/>
  <c r="P29" i="10"/>
  <c r="M16" i="7"/>
  <c r="N16" i="7" s="1"/>
  <c r="P16" i="7" s="1"/>
  <c r="L16" i="7"/>
  <c r="M17" i="9"/>
  <c r="N17" i="9" s="1"/>
  <c r="P17" i="9" s="1"/>
  <c r="L17" i="9"/>
  <c r="M9" i="9"/>
  <c r="N9" i="9" s="1"/>
  <c r="P9" i="9" s="1"/>
  <c r="P14" i="8"/>
  <c r="M18" i="10"/>
  <c r="N18" i="10" s="1"/>
  <c r="L18" i="10"/>
  <c r="M21" i="4"/>
  <c r="N21" i="4" s="1"/>
  <c r="P21" i="4" s="1"/>
  <c r="M13" i="4"/>
  <c r="N13" i="4" s="1"/>
  <c r="P13" i="4" s="1"/>
  <c r="M21" i="3"/>
  <c r="N21" i="3" s="1"/>
  <c r="P21" i="3" s="1"/>
  <c r="M13" i="3"/>
  <c r="N13" i="3" s="1"/>
  <c r="P13" i="3" s="1"/>
  <c r="L21" i="5"/>
  <c r="M14" i="6"/>
  <c r="N14" i="6" s="1"/>
  <c r="P14" i="6" s="1"/>
  <c r="P11" i="7"/>
  <c r="L9" i="9"/>
  <c r="I18" i="9"/>
  <c r="M21" i="9"/>
  <c r="N21" i="9" s="1"/>
  <c r="K32" i="8"/>
  <c r="M13" i="8"/>
  <c r="N13" i="8" s="1"/>
  <c r="F32" i="8"/>
  <c r="L13" i="8"/>
  <c r="P13" i="11"/>
  <c r="P31" i="10"/>
  <c r="P21" i="5"/>
  <c r="L10" i="7"/>
  <c r="M10" i="7"/>
  <c r="N10" i="7" s="1"/>
  <c r="P10" i="7" s="1"/>
  <c r="I11" i="9"/>
  <c r="I16" i="9"/>
  <c r="M23" i="9"/>
  <c r="N23" i="9" s="1"/>
  <c r="P23" i="9" s="1"/>
  <c r="P21" i="9"/>
  <c r="M11" i="9"/>
  <c r="N11" i="9" s="1"/>
  <c r="P11" i="9" s="1"/>
  <c r="M8" i="9"/>
  <c r="N8" i="9" s="1"/>
  <c r="P8" i="9" s="1"/>
  <c r="I13" i="8"/>
  <c r="P16" i="11"/>
  <c r="P23" i="12"/>
  <c r="I11" i="8"/>
  <c r="P13" i="8"/>
  <c r="M9" i="8"/>
  <c r="N9" i="8" s="1"/>
  <c r="P9" i="8" s="1"/>
  <c r="M29" i="10"/>
  <c r="N29" i="10" s="1"/>
  <c r="M27" i="10"/>
  <c r="N27" i="10" s="1"/>
  <c r="M25" i="10"/>
  <c r="N25" i="10" s="1"/>
  <c r="P25" i="10" s="1"/>
  <c r="P18" i="10"/>
  <c r="M14" i="10"/>
  <c r="N14" i="10" s="1"/>
  <c r="P14" i="10" s="1"/>
  <c r="M12" i="10"/>
  <c r="N12" i="10" s="1"/>
  <c r="M10" i="10"/>
  <c r="N10" i="10" s="1"/>
  <c r="P10" i="10" s="1"/>
  <c r="L18" i="12"/>
  <c r="I27" i="12"/>
  <c r="M22" i="12"/>
  <c r="N22" i="12" s="1"/>
  <c r="P22" i="12" s="1"/>
  <c r="P20" i="12"/>
  <c r="S4" i="13"/>
  <c r="S10" i="13"/>
  <c r="K13" i="13"/>
  <c r="I14" i="9"/>
  <c r="P15" i="9"/>
  <c r="I10" i="8"/>
  <c r="M20" i="8"/>
  <c r="N20" i="8" s="1"/>
  <c r="P20" i="8" s="1"/>
  <c r="M18" i="8"/>
  <c r="N18" i="8" s="1"/>
  <c r="P18" i="8" s="1"/>
  <c r="P11" i="8"/>
  <c r="M15" i="11"/>
  <c r="N15" i="11" s="1"/>
  <c r="P15" i="11" s="1"/>
  <c r="M13" i="11"/>
  <c r="N13" i="11" s="1"/>
  <c r="L13" i="11"/>
  <c r="M23" i="10"/>
  <c r="N23" i="10" s="1"/>
  <c r="P23" i="10" s="1"/>
  <c r="P12" i="10"/>
  <c r="M8" i="10"/>
  <c r="N8" i="10" s="1"/>
  <c r="P8" i="10" s="1"/>
  <c r="L26" i="12"/>
  <c r="M30" i="12"/>
  <c r="N30" i="12" s="1"/>
  <c r="L30" i="12"/>
  <c r="M17" i="12"/>
  <c r="N17" i="12" s="1"/>
  <c r="P17" i="12" s="1"/>
  <c r="M15" i="12"/>
  <c r="N15" i="12" s="1"/>
  <c r="P15" i="12" s="1"/>
  <c r="P13" i="12"/>
  <c r="M10" i="12"/>
  <c r="N10" i="12" s="1"/>
  <c r="P10" i="12" s="1"/>
  <c r="W7" i="13"/>
  <c r="P30" i="12"/>
  <c r="I9" i="9"/>
  <c r="I26" i="9"/>
  <c r="M27" i="8"/>
  <c r="N27" i="8" s="1"/>
  <c r="P27" i="8" s="1"/>
  <c r="M14" i="8"/>
  <c r="N14" i="8" s="1"/>
  <c r="M12" i="8"/>
  <c r="N12" i="8" s="1"/>
  <c r="P12" i="8" s="1"/>
  <c r="I13" i="11"/>
  <c r="M18" i="11"/>
  <c r="N18" i="11" s="1"/>
  <c r="P18" i="11" s="1"/>
  <c r="P11" i="11"/>
  <c r="M15" i="10"/>
  <c r="N15" i="10" s="1"/>
  <c r="P15" i="10" s="1"/>
  <c r="I17" i="12"/>
  <c r="P28" i="12"/>
  <c r="M21" i="12"/>
  <c r="N21" i="12" s="1"/>
  <c r="M12" i="12"/>
  <c r="N12" i="12" s="1"/>
  <c r="P12" i="12" s="1"/>
  <c r="S3" i="13"/>
  <c r="M16" i="9"/>
  <c r="N16" i="9" s="1"/>
  <c r="M14" i="9"/>
  <c r="N14" i="9" s="1"/>
  <c r="P14" i="9" s="1"/>
  <c r="M12" i="9"/>
  <c r="N12" i="9" s="1"/>
  <c r="P12" i="9" s="1"/>
  <c r="P29" i="8"/>
  <c r="L24" i="10"/>
  <c r="M30" i="10"/>
  <c r="N30" i="10" s="1"/>
  <c r="P30" i="10" s="1"/>
  <c r="M28" i="10"/>
  <c r="N28" i="10" s="1"/>
  <c r="M26" i="10"/>
  <c r="N26" i="10" s="1"/>
  <c r="P26" i="10" s="1"/>
  <c r="M13" i="10"/>
  <c r="N13" i="10" s="1"/>
  <c r="P13" i="10" s="1"/>
  <c r="M11" i="10"/>
  <c r="N11" i="10" s="1"/>
  <c r="P11" i="10" s="1"/>
  <c r="I15" i="12"/>
  <c r="I23" i="12"/>
  <c r="M14" i="12"/>
  <c r="N14" i="12" s="1"/>
  <c r="P14" i="12" s="1"/>
  <c r="M8" i="12"/>
  <c r="N8" i="12" s="1"/>
  <c r="P8" i="12" s="1"/>
  <c r="K5" i="13"/>
  <c r="I22" i="9"/>
  <c r="I15" i="8"/>
  <c r="M23" i="8"/>
  <c r="N23" i="8" s="1"/>
  <c r="P23" i="8" s="1"/>
  <c r="M21" i="8"/>
  <c r="N21" i="8" s="1"/>
  <c r="P21" i="8" s="1"/>
  <c r="M19" i="8"/>
  <c r="N19" i="8" s="1"/>
  <c r="M12" i="11"/>
  <c r="N12" i="11" s="1"/>
  <c r="P12" i="11" s="1"/>
  <c r="P28" i="10"/>
  <c r="I13" i="12"/>
  <c r="L24" i="12"/>
  <c r="L22" i="12"/>
  <c r="M29" i="12"/>
  <c r="N29" i="12" s="1"/>
  <c r="P29" i="12" s="1"/>
  <c r="M27" i="12"/>
  <c r="N27" i="12" s="1"/>
  <c r="P27" i="12" s="1"/>
  <c r="M25" i="12"/>
  <c r="N25" i="12" s="1"/>
  <c r="P25" i="12" s="1"/>
  <c r="M23" i="12"/>
  <c r="N23" i="12" s="1"/>
  <c r="P21" i="12"/>
  <c r="M9" i="12"/>
  <c r="N9" i="12" s="1"/>
  <c r="P9" i="12" s="1"/>
  <c r="S5" i="13"/>
  <c r="S7" i="13"/>
  <c r="S11" i="13"/>
  <c r="O14" i="13"/>
  <c r="W14" i="13"/>
  <c r="W10" i="13"/>
  <c r="W8" i="13"/>
  <c r="W4" i="13"/>
  <c r="O12" i="13"/>
  <c r="O8" i="13"/>
  <c r="O4" i="13"/>
  <c r="O13" i="13"/>
  <c r="O9" i="13"/>
  <c r="O5" i="13"/>
  <c r="O10" i="13"/>
  <c r="O6" i="13"/>
  <c r="B48" i="8"/>
  <c r="K19" i="11"/>
  <c r="M22" i="10"/>
  <c r="N22" i="10" s="1"/>
  <c r="P22" i="10" s="1"/>
  <c r="M20" i="10"/>
  <c r="N20" i="10" s="1"/>
  <c r="P20" i="10" s="1"/>
  <c r="M16" i="12"/>
  <c r="N16" i="12" s="1"/>
  <c r="P16" i="12" s="1"/>
  <c r="K14" i="13"/>
  <c r="S12" i="13"/>
  <c r="S6" i="13"/>
  <c r="K10" i="13"/>
  <c r="K6" i="13"/>
  <c r="K11" i="13"/>
  <c r="K7" i="13"/>
  <c r="K12" i="13"/>
  <c r="K8" i="13"/>
  <c r="K4" i="13"/>
  <c r="R4" i="13"/>
  <c r="V6" i="13"/>
  <c r="R8" i="13"/>
  <c r="R10" i="13"/>
  <c r="V12" i="13"/>
  <c r="R14" i="13"/>
  <c r="R3" i="13"/>
  <c r="V5" i="13"/>
  <c r="R7" i="13"/>
  <c r="P29" i="9" l="1"/>
  <c r="P30" i="9"/>
  <c r="P32" i="8"/>
  <c r="P20" i="11"/>
  <c r="P19" i="11"/>
  <c r="P33" i="8"/>
  <c r="P23" i="3"/>
  <c r="P24" i="3"/>
  <c r="P77" i="2"/>
  <c r="P78" i="2" s="1"/>
  <c r="P33" i="10"/>
  <c r="P32" i="10"/>
  <c r="P41" i="1"/>
  <c r="P42" i="1"/>
  <c r="P21" i="7"/>
  <c r="P20" i="7"/>
  <c r="P31" i="12"/>
  <c r="P32" i="12"/>
  <c r="P20" i="6"/>
  <c r="P19" i="6"/>
  <c r="P28" i="5"/>
  <c r="P27" i="5"/>
  <c r="P23" i="4"/>
  <c r="P24" i="4"/>
</calcChain>
</file>

<file path=xl/comments1.xml><?xml version="1.0" encoding="utf-8"?>
<comments xmlns="http://schemas.openxmlformats.org/spreadsheetml/2006/main">
  <authors>
    <author>Anthony F Leveling</author>
  </authors>
  <commentList>
    <comment ref="D1" authorId="0" shapeId="0">
      <text>
        <r>
          <rPr>
            <b/>
            <sz val="8"/>
            <color indexed="81"/>
            <rFont val="Tahoma"/>
          </rPr>
          <t>389 us from one photo
380 us from another one</t>
        </r>
      </text>
    </comment>
    <comment ref="A14" authorId="0" shapeId="0">
      <text>
        <r>
          <rPr>
            <b/>
            <sz val="8"/>
            <color indexed="81"/>
            <rFont val="Tahoma"/>
          </rPr>
          <t>assumed no significant pulses at pot setting of 4.5. PS kept tripping off.</t>
        </r>
        <r>
          <rPr>
            <sz val="8"/>
            <color indexed="81"/>
            <rFont val="Tahoma"/>
          </rPr>
          <t xml:space="preserve">
</t>
        </r>
      </text>
    </comment>
    <comment ref="E14" authorId="0" shapeId="0">
      <text>
        <r>
          <rPr>
            <b/>
            <sz val="8"/>
            <color indexed="81"/>
            <rFont val="Tahoma"/>
          </rPr>
          <t>date in log book is 11/9. Hard to believe it sat around for a whole month and didn't get tested. This date is an assumed one.</t>
        </r>
        <r>
          <rPr>
            <sz val="8"/>
            <color indexed="81"/>
            <rFont val="Tahoma"/>
          </rPr>
          <t xml:space="preserve">
</t>
        </r>
      </text>
    </comment>
  </commentList>
</comments>
</file>

<file path=xl/comments2.xml><?xml version="1.0" encoding="utf-8"?>
<comments xmlns="http://schemas.openxmlformats.org/spreadsheetml/2006/main">
  <authors>
    <author>Anthony F Leveling</author>
  </authors>
  <commentList>
    <comment ref="C7" authorId="0" shapeId="0">
      <text>
        <r>
          <rPr>
            <b/>
            <sz val="8"/>
            <color indexed="81"/>
            <rFont val="Tahoma"/>
          </rPr>
          <t>no bias supply until late in pot setting of 1.1. Bdot and rog values not meaningful at 0.4 pot</t>
        </r>
      </text>
    </comment>
  </commentList>
</comments>
</file>

<file path=xl/comments3.xml><?xml version="1.0" encoding="utf-8"?>
<comments xmlns="http://schemas.openxmlformats.org/spreadsheetml/2006/main">
  <authors>
    <author>Anthony F Leveling</author>
  </authors>
  <commentList>
    <comment ref="C7" authorId="0" shapeId="0">
      <text>
        <r>
          <rPr>
            <b/>
            <sz val="8"/>
            <color indexed="81"/>
            <rFont val="Tahoma"/>
          </rPr>
          <t>bad rogowski coil</t>
        </r>
      </text>
    </comment>
    <comment ref="D18" authorId="0" shapeId="0">
      <text>
        <r>
          <rPr>
            <b/>
            <sz val="8"/>
            <color indexed="81"/>
            <rFont val="Tahoma"/>
          </rPr>
          <t>Bdot voltage assumed; not recorded in logbook</t>
        </r>
      </text>
    </comment>
  </commentList>
</comments>
</file>

<file path=xl/comments4.xml><?xml version="1.0" encoding="utf-8"?>
<comments xmlns="http://schemas.openxmlformats.org/spreadsheetml/2006/main">
  <authors>
    <author>Anthony F Leveling</author>
  </authors>
  <commentList>
    <comment ref="A25" authorId="0" shapeId="0">
      <text>
        <r>
          <rPr>
            <b/>
            <sz val="8"/>
            <color indexed="81"/>
            <rFont val="Tahoma"/>
          </rPr>
          <t>assumed values for Rogowski coil, Bdot coil and date; these were not recorded in logbook</t>
        </r>
      </text>
    </comment>
  </commentList>
</comments>
</file>

<file path=xl/sharedStrings.xml><?xml version="1.0" encoding="utf-8"?>
<sst xmlns="http://schemas.openxmlformats.org/spreadsheetml/2006/main" count="516" uniqueCount="59">
  <si>
    <t>POT</t>
  </si>
  <si>
    <t>ROG</t>
  </si>
  <si>
    <t>Bdot</t>
  </si>
  <si>
    <t>date</t>
  </si>
  <si>
    <t>grad(Bdot)/grad(Rog)</t>
  </si>
  <si>
    <t>pulse count</t>
  </si>
  <si>
    <t>Lens 28</t>
  </si>
  <si>
    <t>calculated grad(Bdot)</t>
  </si>
  <si>
    <t>calcualated grad(Rog)</t>
  </si>
  <si>
    <t>cap voltage by pot relationship (y = 0.2027x + 1.2055)</t>
  </si>
  <si>
    <t>average pulse width:</t>
  </si>
  <si>
    <t>us</t>
  </si>
  <si>
    <t>max</t>
  </si>
  <si>
    <t>at cap voltage</t>
  </si>
  <si>
    <t>peak current</t>
  </si>
  <si>
    <t>calculated pulse width:</t>
  </si>
  <si>
    <t>effective inductance:</t>
  </si>
  <si>
    <t>henry</t>
  </si>
  <si>
    <t>effective resistance:</t>
  </si>
  <si>
    <t>ohm</t>
  </si>
  <si>
    <t>alpha:</t>
  </si>
  <si>
    <t>omega:</t>
  </si>
  <si>
    <t>test station capacitance:</t>
  </si>
  <si>
    <t>farad</t>
  </si>
  <si>
    <t>undamped peak current</t>
  </si>
  <si>
    <t>time at peak</t>
  </si>
  <si>
    <t>Hz</t>
  </si>
  <si>
    <t>s</t>
  </si>
  <si>
    <t>Lens 27</t>
  </si>
  <si>
    <t>Lens 24</t>
  </si>
  <si>
    <t>retest</t>
  </si>
  <si>
    <t>Lens 25</t>
  </si>
  <si>
    <t>5./15/99</t>
  </si>
  <si>
    <t>Lens 23</t>
  </si>
  <si>
    <t>Lens 22</t>
  </si>
  <si>
    <t>no waveform</t>
  </si>
  <si>
    <t>Lens 20</t>
  </si>
  <si>
    <t>Lens 21</t>
  </si>
  <si>
    <t>10/*1/95</t>
  </si>
  <si>
    <t>Lens 18</t>
  </si>
  <si>
    <t>Lens 17</t>
  </si>
  <si>
    <t>LENS 18 was also tested previously up to about 80,000 pulses at pot setting as high as 3.75. The transformer had to be replaced when arcing occurred between the lens and transformer.</t>
  </si>
  <si>
    <t>Lens 16</t>
  </si>
  <si>
    <t>Lens #</t>
  </si>
  <si>
    <t>bdot vs pot</t>
  </si>
  <si>
    <t>rog vs pot</t>
  </si>
  <si>
    <t>rog vs bdot</t>
  </si>
  <si>
    <t>slope</t>
  </si>
  <si>
    <t>y intercept</t>
  </si>
  <si>
    <t>24 retest</t>
  </si>
  <si>
    <t>Deltas</t>
  </si>
  <si>
    <t>fractional delta</t>
  </si>
  <si>
    <t>Pearson calibration</t>
  </si>
  <si>
    <t>min</t>
  </si>
  <si>
    <t>measured/calculated</t>
  </si>
  <si>
    <t>gradient</t>
  </si>
  <si>
    <t>peak current KA</t>
  </si>
  <si>
    <t>damped peak current KA</t>
  </si>
  <si>
    <t>damped peak 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</si>
</sst>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8">
    <font>
      <sz val="10"/>
      <name val="MathSoftText"/>
    </font>
    <font>
      <sz val="10"/>
      <name val="MathSoftText"/>
    </font>
    <font>
      <sz val="10"/>
      <name val="MathSoftText"/>
    </font>
    <font>
      <sz val="9"/>
      <name val="MathSoftText"/>
    </font>
    <font>
      <b/>
      <sz val="8"/>
      <color indexed="81"/>
      <name val="Tahoma"/>
    </font>
    <font>
      <sz val="8"/>
      <color indexed="81"/>
      <name val="Tahoma"/>
    </font>
    <font>
      <sz val="10"/>
      <color indexed="10"/>
      <name val="MathSoftText"/>
    </font>
    <font>
      <sz val="10"/>
      <name val="Arial"/>
      <family val="2"/>
    </font>
  </fonts>
  <fills count="2">
    <fill>
      <patternFill patternType="none"/>
    </fill>
    <fill>
      <patternFill patternType="gray125"/>
    </fill>
  </fills>
  <borders count="9">
    <border>
      <left/>
      <right/>
      <top/>
      <bottom/>
      <diagonal/>
    </border>
    <border>
      <left style="thin">
        <color indexed="15"/>
      </left>
      <right/>
      <top style="thin">
        <color indexed="15"/>
      </top>
      <bottom/>
      <diagonal/>
    </border>
    <border>
      <left/>
      <right style="thin">
        <color indexed="15"/>
      </right>
      <top style="thin">
        <color indexed="15"/>
      </top>
      <bottom/>
      <diagonal/>
    </border>
    <border>
      <left style="thin">
        <color indexed="15"/>
      </left>
      <right/>
      <top/>
      <bottom style="thin">
        <color indexed="15"/>
      </bottom>
      <diagonal/>
    </border>
    <border>
      <left/>
      <right style="thin">
        <color indexed="15"/>
      </right>
      <top/>
      <bottom style="thin">
        <color indexed="15"/>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48">
    <xf numFmtId="0" fontId="0" fillId="0" borderId="0" xfId="0"/>
    <xf numFmtId="0" fontId="1" fillId="0" borderId="0" xfId="0" applyFont="1"/>
    <xf numFmtId="0" fontId="1" fillId="0" borderId="0" xfId="0" applyFont="1" applyAlignment="1">
      <alignment horizontal="center" vertical="center" wrapText="1"/>
    </xf>
    <xf numFmtId="0" fontId="2" fillId="0" borderId="0" xfId="0" applyFont="1"/>
    <xf numFmtId="0" fontId="2" fillId="0" borderId="0" xfId="0" applyFont="1" applyAlignment="1">
      <alignment horizontal="center"/>
    </xf>
    <xf numFmtId="0" fontId="2" fillId="0" borderId="0" xfId="0" applyFont="1" applyAlignment="1">
      <alignment horizontal="center" vertical="center" wrapText="1"/>
    </xf>
    <xf numFmtId="0" fontId="2" fillId="0" borderId="0" xfId="0" applyFont="1" applyAlignment="1">
      <alignment wrapText="1"/>
    </xf>
    <xf numFmtId="0" fontId="1" fillId="0" borderId="0" xfId="0" applyFont="1" applyAlignment="1">
      <alignment horizontal="right"/>
    </xf>
    <xf numFmtId="0" fontId="2" fillId="0" borderId="0" xfId="0" applyFont="1" applyAlignment="1">
      <alignment horizontal="center" vertical="center"/>
    </xf>
    <xf numFmtId="2" fontId="2" fillId="0" borderId="0" xfId="0" applyNumberFormat="1" applyFont="1" applyAlignment="1">
      <alignment horizontal="center"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1" fontId="2" fillId="0" borderId="0" xfId="0" applyNumberFormat="1" applyFont="1" applyAlignment="1">
      <alignment horizontal="center" vertical="center"/>
    </xf>
    <xf numFmtId="0" fontId="3" fillId="0" borderId="0" xfId="0" applyFont="1"/>
    <xf numFmtId="0" fontId="3" fillId="0" borderId="0" xfId="0" applyFont="1" applyAlignment="1">
      <alignment horizontal="center" vertical="center" wrapText="1" shrinkToFit="1"/>
    </xf>
    <xf numFmtId="1" fontId="2" fillId="0" borderId="0" xfId="0" applyNumberFormat="1" applyFont="1"/>
    <xf numFmtId="11" fontId="2" fillId="0" borderId="0" xfId="0" applyNumberFormat="1" applyFont="1"/>
    <xf numFmtId="11" fontId="1" fillId="0" borderId="0" xfId="0" applyNumberFormat="1" applyFont="1"/>
    <xf numFmtId="0" fontId="2" fillId="0" borderId="0" xfId="0" applyFont="1" applyAlignment="1">
      <alignment horizontal="right"/>
    </xf>
    <xf numFmtId="0" fontId="1" fillId="0" borderId="0" xfId="0" applyFont="1" applyAlignment="1">
      <alignment horizontal="right" vertical="center"/>
    </xf>
    <xf numFmtId="2" fontId="1" fillId="0" borderId="0" xfId="0" applyNumberFormat="1" applyFont="1" applyAlignment="1">
      <alignment horizontal="right" vertical="center"/>
    </xf>
    <xf numFmtId="2" fontId="1" fillId="0" borderId="0" xfId="0" applyNumberFormat="1" applyFont="1" applyAlignment="1">
      <alignment horizontal="center" vertical="center" wrapText="1"/>
    </xf>
    <xf numFmtId="2" fontId="2" fillId="0" borderId="0" xfId="0" applyNumberFormat="1" applyFont="1" applyAlignment="1">
      <alignment horizontal="center" vertical="center" wrapText="1"/>
    </xf>
    <xf numFmtId="2" fontId="1" fillId="0" borderId="0" xfId="0" applyNumberFormat="1" applyFont="1" applyAlignment="1">
      <alignment horizontal="center" vertical="center"/>
    </xf>
    <xf numFmtId="2" fontId="2" fillId="0" borderId="0" xfId="0" applyNumberFormat="1" applyFont="1" applyAlignment="1">
      <alignment horizontal="center"/>
    </xf>
    <xf numFmtId="0" fontId="1" fillId="0" borderId="0" xfId="0" applyFont="1" applyAlignment="1">
      <alignment horizontal="center"/>
    </xf>
    <xf numFmtId="11" fontId="1" fillId="0" borderId="0" xfId="0" applyNumberFormat="1" applyFont="1" applyAlignment="1">
      <alignment horizontal="center"/>
    </xf>
    <xf numFmtId="0" fontId="3" fillId="0" borderId="0" xfId="0" applyFont="1" applyAlignment="1">
      <alignment horizontal="center"/>
    </xf>
    <xf numFmtId="11" fontId="2" fillId="0" borderId="0" xfId="0" applyNumberFormat="1" applyFont="1" applyAlignment="1">
      <alignment horizontal="center"/>
    </xf>
    <xf numFmtId="1" fontId="2" fillId="0" borderId="0" xfId="0" applyNumberFormat="1" applyFont="1" applyAlignment="1">
      <alignment horizontal="center"/>
    </xf>
    <xf numFmtId="14" fontId="2" fillId="0" borderId="0" xfId="0" applyNumberFormat="1" applyFont="1" applyAlignment="1">
      <alignment horizontal="center"/>
    </xf>
    <xf numFmtId="2" fontId="2" fillId="0" borderId="0" xfId="0" applyNumberFormat="1" applyFont="1" applyAlignment="1">
      <alignment horizontal="right" vertical="center"/>
    </xf>
    <xf numFmtId="165" fontId="2" fillId="0" borderId="0" xfId="0" applyNumberFormat="1" applyFont="1" applyAlignment="1">
      <alignment horizontal="center"/>
    </xf>
    <xf numFmtId="0" fontId="6" fillId="0" borderId="0" xfId="0" applyFont="1" applyAlignment="1">
      <alignment horizontal="center"/>
    </xf>
    <xf numFmtId="1" fontId="6" fillId="0" borderId="0" xfId="0" applyNumberFormat="1" applyFont="1" applyAlignment="1">
      <alignment horizontal="center"/>
    </xf>
    <xf numFmtId="2" fontId="6" fillId="0" borderId="0" xfId="0" applyNumberFormat="1" applyFont="1" applyAlignment="1">
      <alignment horizontal="center"/>
    </xf>
    <xf numFmtId="165" fontId="6" fillId="0" borderId="0" xfId="0" applyNumberFormat="1" applyFont="1" applyAlignment="1">
      <alignment horizontal="center"/>
    </xf>
    <xf numFmtId="14" fontId="6" fillId="0" borderId="0" xfId="0" applyNumberFormat="1" applyFont="1" applyAlignment="1">
      <alignment horizontal="center"/>
    </xf>
    <xf numFmtId="0" fontId="0" fillId="0" borderId="1" xfId="0"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
    </xf>
    <xf numFmtId="0" fontId="0" fillId="0" borderId="4" xfId="0" applyBorder="1" applyAlignment="1">
      <alignment horizontal="center"/>
    </xf>
    <xf numFmtId="9" fontId="0" fillId="0" borderId="0" xfId="0" applyNumberFormat="1"/>
    <xf numFmtId="2" fontId="2" fillId="0" borderId="0" xfId="0" applyNumberFormat="1" applyFont="1"/>
    <xf numFmtId="0" fontId="7" fillId="0" borderId="5" xfId="0" applyFont="1" applyBorder="1" applyAlignment="1">
      <alignment horizontal="center" vertical="top" wrapText="1"/>
    </xf>
    <xf numFmtId="0" fontId="7" fillId="0" borderId="6" xfId="0" applyFont="1" applyBorder="1" applyAlignment="1">
      <alignment horizontal="center" vertical="top" wrapText="1"/>
    </xf>
    <xf numFmtId="0" fontId="7" fillId="0" borderId="7" xfId="0" applyFont="1" applyBorder="1" applyAlignment="1">
      <alignment horizontal="center" vertical="top" wrapText="1"/>
    </xf>
    <xf numFmtId="0" fontId="7" fillId="0" borderId="8"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curve fit parameters by lens</a:t>
            </a:r>
          </a:p>
        </c:rich>
      </c:tx>
      <c:layout>
        <c:manualLayout>
          <c:xMode val="edge"/>
          <c:yMode val="edge"/>
          <c:x val="0.36548746156021439"/>
          <c:y val="3.1142858379891725E-2"/>
        </c:manualLayout>
      </c:layout>
      <c:overlay val="0"/>
      <c:spPr>
        <a:noFill/>
        <a:ln w="25400">
          <a:noFill/>
        </a:ln>
      </c:spPr>
    </c:title>
    <c:autoTitleDeleted val="0"/>
    <c:plotArea>
      <c:layout>
        <c:manualLayout>
          <c:layoutTarget val="inner"/>
          <c:xMode val="edge"/>
          <c:yMode val="edge"/>
          <c:x val="0.1047651355612341"/>
          <c:y val="0.15225397430169288"/>
          <c:w val="0.60954260690172557"/>
          <c:h val="0.61420637360342001"/>
        </c:manualLayout>
      </c:layout>
      <c:barChart>
        <c:barDir val="col"/>
        <c:grouping val="clustered"/>
        <c:varyColors val="0"/>
        <c:ser>
          <c:idx val="1"/>
          <c:order val="0"/>
          <c:tx>
            <c:v>bdot vs pot slope</c:v>
          </c:tx>
          <c:spPr>
            <a:solidFill>
              <a:srgbClr val="993366"/>
            </a:solidFill>
            <a:ln w="12700">
              <a:solidFill>
                <a:srgbClr val="000000"/>
              </a:solidFill>
              <a:prstDash val="solid"/>
            </a:ln>
          </c:spPr>
          <c:invertIfNegative val="0"/>
          <c:cat>
            <c:strRef>
              <c:f>'Coil slope intercepts'!$A$3:$A$14</c:f>
              <c:strCache>
                <c:ptCount val="12"/>
                <c:pt idx="0">
                  <c:v>16</c:v>
                </c:pt>
                <c:pt idx="1">
                  <c:v>17</c:v>
                </c:pt>
                <c:pt idx="2">
                  <c:v>18</c:v>
                </c:pt>
                <c:pt idx="3">
                  <c:v>21</c:v>
                </c:pt>
                <c:pt idx="4">
                  <c:v>20</c:v>
                </c:pt>
                <c:pt idx="5">
                  <c:v>22</c:v>
                </c:pt>
                <c:pt idx="6">
                  <c:v>23</c:v>
                </c:pt>
                <c:pt idx="7">
                  <c:v>24</c:v>
                </c:pt>
                <c:pt idx="8">
                  <c:v>25</c:v>
                </c:pt>
                <c:pt idx="9">
                  <c:v>24 retest</c:v>
                </c:pt>
                <c:pt idx="10">
                  <c:v>27</c:v>
                </c:pt>
                <c:pt idx="11">
                  <c:v>28</c:v>
                </c:pt>
              </c:strCache>
            </c:strRef>
          </c:cat>
          <c:val>
            <c:numRef>
              <c:f>'Coil slope intercepts'!$B$3:$B$14</c:f>
              <c:numCache>
                <c:formatCode>General</c:formatCode>
                <c:ptCount val="12"/>
                <c:pt idx="0">
                  <c:v>0.45679999999999998</c:v>
                </c:pt>
                <c:pt idx="1">
                  <c:v>0.36849999999999999</c:v>
                </c:pt>
                <c:pt idx="2">
                  <c:v>0.43809999999999999</c:v>
                </c:pt>
                <c:pt idx="3">
                  <c:v>0.44590000000000002</c:v>
                </c:pt>
                <c:pt idx="4">
                  <c:v>0.45440000000000003</c:v>
                </c:pt>
                <c:pt idx="5">
                  <c:v>0.5131</c:v>
                </c:pt>
                <c:pt idx="6">
                  <c:v>0.40129999999999999</c:v>
                </c:pt>
                <c:pt idx="7">
                  <c:v>0.44790000000000002</c:v>
                </c:pt>
                <c:pt idx="8">
                  <c:v>0.45779999999999998</c:v>
                </c:pt>
                <c:pt idx="9">
                  <c:v>0.33289999999999997</c:v>
                </c:pt>
                <c:pt idx="10">
                  <c:v>0.38619999999999999</c:v>
                </c:pt>
                <c:pt idx="11">
                  <c:v>0.36559999999999998</c:v>
                </c:pt>
              </c:numCache>
            </c:numRef>
          </c:val>
          <c:extLst>
            <c:ext xmlns:c16="http://schemas.microsoft.com/office/drawing/2014/chart" uri="{C3380CC4-5D6E-409C-BE32-E72D297353CC}">
              <c16:uniqueId val="{00000000-E802-46E1-AD53-E6F7B56BFF79}"/>
            </c:ext>
          </c:extLst>
        </c:ser>
        <c:ser>
          <c:idx val="3"/>
          <c:order val="2"/>
          <c:tx>
            <c:v>rog vs pot slope</c:v>
          </c:tx>
          <c:spPr>
            <a:solidFill>
              <a:srgbClr val="CCFFFF"/>
            </a:solidFill>
            <a:ln w="12700">
              <a:solidFill>
                <a:srgbClr val="000000"/>
              </a:solidFill>
              <a:prstDash val="solid"/>
            </a:ln>
          </c:spPr>
          <c:invertIfNegative val="0"/>
          <c:cat>
            <c:strRef>
              <c:f>'Coil slope intercepts'!$A$3:$A$14</c:f>
              <c:strCache>
                <c:ptCount val="12"/>
                <c:pt idx="0">
                  <c:v>16</c:v>
                </c:pt>
                <c:pt idx="1">
                  <c:v>17</c:v>
                </c:pt>
                <c:pt idx="2">
                  <c:v>18</c:v>
                </c:pt>
                <c:pt idx="3">
                  <c:v>21</c:v>
                </c:pt>
                <c:pt idx="4">
                  <c:v>20</c:v>
                </c:pt>
                <c:pt idx="5">
                  <c:v>22</c:v>
                </c:pt>
                <c:pt idx="6">
                  <c:v>23</c:v>
                </c:pt>
                <c:pt idx="7">
                  <c:v>24</c:v>
                </c:pt>
                <c:pt idx="8">
                  <c:v>25</c:v>
                </c:pt>
                <c:pt idx="9">
                  <c:v>24 retest</c:v>
                </c:pt>
                <c:pt idx="10">
                  <c:v>27</c:v>
                </c:pt>
                <c:pt idx="11">
                  <c:v>28</c:v>
                </c:pt>
              </c:strCache>
            </c:strRef>
          </c:cat>
          <c:val>
            <c:numRef>
              <c:f>'Coil slope intercepts'!$D$3:$D$14</c:f>
              <c:numCache>
                <c:formatCode>General</c:formatCode>
                <c:ptCount val="12"/>
                <c:pt idx="0">
                  <c:v>5.74E-2</c:v>
                </c:pt>
                <c:pt idx="1">
                  <c:v>3.9E-2</c:v>
                </c:pt>
                <c:pt idx="2">
                  <c:v>5.5899999999999998E-2</c:v>
                </c:pt>
                <c:pt idx="3">
                  <c:v>4.8899999999999999E-2</c:v>
                </c:pt>
                <c:pt idx="4">
                  <c:v>4.8899999999999999E-2</c:v>
                </c:pt>
                <c:pt idx="5">
                  <c:v>5.5800000000000002E-2</c:v>
                </c:pt>
                <c:pt idx="7">
                  <c:v>6.1100000000000002E-2</c:v>
                </c:pt>
                <c:pt idx="8">
                  <c:v>5.6899999999999999E-2</c:v>
                </c:pt>
                <c:pt idx="9">
                  <c:v>4.5600000000000002E-2</c:v>
                </c:pt>
                <c:pt idx="10">
                  <c:v>5.1400000000000001E-2</c:v>
                </c:pt>
                <c:pt idx="11">
                  <c:v>5.4300000000000001E-2</c:v>
                </c:pt>
              </c:numCache>
            </c:numRef>
          </c:val>
          <c:extLst>
            <c:ext xmlns:c16="http://schemas.microsoft.com/office/drawing/2014/chart" uri="{C3380CC4-5D6E-409C-BE32-E72D297353CC}">
              <c16:uniqueId val="{00000001-E802-46E1-AD53-E6F7B56BFF79}"/>
            </c:ext>
          </c:extLst>
        </c:ser>
        <c:ser>
          <c:idx val="4"/>
          <c:order val="3"/>
          <c:tx>
            <c:v>rog vs pot intercept</c:v>
          </c:tx>
          <c:spPr>
            <a:solidFill>
              <a:srgbClr val="660066"/>
            </a:solidFill>
            <a:ln w="12700">
              <a:solidFill>
                <a:srgbClr val="000000"/>
              </a:solidFill>
              <a:prstDash val="solid"/>
            </a:ln>
          </c:spPr>
          <c:invertIfNegative val="0"/>
          <c:cat>
            <c:strRef>
              <c:f>'Coil slope intercepts'!$A$3:$A$14</c:f>
              <c:strCache>
                <c:ptCount val="12"/>
                <c:pt idx="0">
                  <c:v>16</c:v>
                </c:pt>
                <c:pt idx="1">
                  <c:v>17</c:v>
                </c:pt>
                <c:pt idx="2">
                  <c:v>18</c:v>
                </c:pt>
                <c:pt idx="3">
                  <c:v>21</c:v>
                </c:pt>
                <c:pt idx="4">
                  <c:v>20</c:v>
                </c:pt>
                <c:pt idx="5">
                  <c:v>22</c:v>
                </c:pt>
                <c:pt idx="6">
                  <c:v>23</c:v>
                </c:pt>
                <c:pt idx="7">
                  <c:v>24</c:v>
                </c:pt>
                <c:pt idx="8">
                  <c:v>25</c:v>
                </c:pt>
                <c:pt idx="9">
                  <c:v>24 retest</c:v>
                </c:pt>
                <c:pt idx="10">
                  <c:v>27</c:v>
                </c:pt>
                <c:pt idx="11">
                  <c:v>28</c:v>
                </c:pt>
              </c:strCache>
            </c:strRef>
          </c:cat>
          <c:val>
            <c:numRef>
              <c:f>'Coil slope intercepts'!$E$3:$E$14</c:f>
              <c:numCache>
                <c:formatCode>General</c:formatCode>
                <c:ptCount val="12"/>
                <c:pt idx="0">
                  <c:v>0.33879999999999999</c:v>
                </c:pt>
                <c:pt idx="1">
                  <c:v>0.42130000000000001</c:v>
                </c:pt>
                <c:pt idx="2">
                  <c:v>0.29120000000000001</c:v>
                </c:pt>
                <c:pt idx="3">
                  <c:v>0.29249999999999998</c:v>
                </c:pt>
                <c:pt idx="4">
                  <c:v>0.2888</c:v>
                </c:pt>
                <c:pt idx="5">
                  <c:v>0.28799999999999998</c:v>
                </c:pt>
                <c:pt idx="7">
                  <c:v>0.34250000000000003</c:v>
                </c:pt>
                <c:pt idx="8">
                  <c:v>0.33410000000000001</c:v>
                </c:pt>
                <c:pt idx="9">
                  <c:v>0.26050000000000001</c:v>
                </c:pt>
                <c:pt idx="10">
                  <c:v>0.29659999999999997</c:v>
                </c:pt>
                <c:pt idx="11">
                  <c:v>0.33139999999999997</c:v>
                </c:pt>
              </c:numCache>
            </c:numRef>
          </c:val>
          <c:extLst>
            <c:ext xmlns:c16="http://schemas.microsoft.com/office/drawing/2014/chart" uri="{C3380CC4-5D6E-409C-BE32-E72D297353CC}">
              <c16:uniqueId val="{00000002-E802-46E1-AD53-E6F7B56BFF79}"/>
            </c:ext>
          </c:extLst>
        </c:ser>
        <c:ser>
          <c:idx val="5"/>
          <c:order val="4"/>
          <c:tx>
            <c:v>rog vs bdot slope</c:v>
          </c:tx>
          <c:spPr>
            <a:solidFill>
              <a:srgbClr val="FF8080"/>
            </a:solidFill>
            <a:ln w="12700">
              <a:solidFill>
                <a:srgbClr val="000000"/>
              </a:solidFill>
              <a:prstDash val="solid"/>
            </a:ln>
          </c:spPr>
          <c:invertIfNegative val="0"/>
          <c:cat>
            <c:strRef>
              <c:f>'Coil slope intercepts'!$A$3:$A$14</c:f>
              <c:strCache>
                <c:ptCount val="12"/>
                <c:pt idx="0">
                  <c:v>16</c:v>
                </c:pt>
                <c:pt idx="1">
                  <c:v>17</c:v>
                </c:pt>
                <c:pt idx="2">
                  <c:v>18</c:v>
                </c:pt>
                <c:pt idx="3">
                  <c:v>21</c:v>
                </c:pt>
                <c:pt idx="4">
                  <c:v>20</c:v>
                </c:pt>
                <c:pt idx="5">
                  <c:v>22</c:v>
                </c:pt>
                <c:pt idx="6">
                  <c:v>23</c:v>
                </c:pt>
                <c:pt idx="7">
                  <c:v>24</c:v>
                </c:pt>
                <c:pt idx="8">
                  <c:v>25</c:v>
                </c:pt>
                <c:pt idx="9">
                  <c:v>24 retest</c:v>
                </c:pt>
                <c:pt idx="10">
                  <c:v>27</c:v>
                </c:pt>
                <c:pt idx="11">
                  <c:v>28</c:v>
                </c:pt>
              </c:strCache>
            </c:strRef>
          </c:cat>
          <c:val>
            <c:numRef>
              <c:f>'Coil slope intercepts'!$F$3:$F$14</c:f>
              <c:numCache>
                <c:formatCode>General</c:formatCode>
                <c:ptCount val="12"/>
                <c:pt idx="0">
                  <c:v>0.12570000000000001</c:v>
                </c:pt>
                <c:pt idx="1">
                  <c:v>0.1081</c:v>
                </c:pt>
                <c:pt idx="2">
                  <c:v>0.1275</c:v>
                </c:pt>
                <c:pt idx="3">
                  <c:v>0.1094</c:v>
                </c:pt>
                <c:pt idx="4">
                  <c:v>0.1075</c:v>
                </c:pt>
                <c:pt idx="5">
                  <c:v>0.1087</c:v>
                </c:pt>
                <c:pt idx="7">
                  <c:v>0.13639999999999999</c:v>
                </c:pt>
                <c:pt idx="8">
                  <c:v>0.1241</c:v>
                </c:pt>
                <c:pt idx="9">
                  <c:v>0.1343</c:v>
                </c:pt>
                <c:pt idx="10">
                  <c:v>0.13220000000000001</c:v>
                </c:pt>
                <c:pt idx="11">
                  <c:v>0.1477</c:v>
                </c:pt>
              </c:numCache>
            </c:numRef>
          </c:val>
          <c:extLst>
            <c:ext xmlns:c16="http://schemas.microsoft.com/office/drawing/2014/chart" uri="{C3380CC4-5D6E-409C-BE32-E72D297353CC}">
              <c16:uniqueId val="{00000003-E802-46E1-AD53-E6F7B56BFF79}"/>
            </c:ext>
          </c:extLst>
        </c:ser>
        <c:ser>
          <c:idx val="6"/>
          <c:order val="5"/>
          <c:tx>
            <c:v>rog vs bdot intercept</c:v>
          </c:tx>
          <c:spPr>
            <a:solidFill>
              <a:srgbClr val="0066CC"/>
            </a:solidFill>
            <a:ln w="12700">
              <a:solidFill>
                <a:srgbClr val="000000"/>
              </a:solidFill>
              <a:prstDash val="solid"/>
            </a:ln>
          </c:spPr>
          <c:invertIfNegative val="1"/>
          <c:cat>
            <c:strRef>
              <c:f>'Coil slope intercepts'!$A$3:$A$14</c:f>
              <c:strCache>
                <c:ptCount val="12"/>
                <c:pt idx="0">
                  <c:v>16</c:v>
                </c:pt>
                <c:pt idx="1">
                  <c:v>17</c:v>
                </c:pt>
                <c:pt idx="2">
                  <c:v>18</c:v>
                </c:pt>
                <c:pt idx="3">
                  <c:v>21</c:v>
                </c:pt>
                <c:pt idx="4">
                  <c:v>20</c:v>
                </c:pt>
                <c:pt idx="5">
                  <c:v>22</c:v>
                </c:pt>
                <c:pt idx="6">
                  <c:v>23</c:v>
                </c:pt>
                <c:pt idx="7">
                  <c:v>24</c:v>
                </c:pt>
                <c:pt idx="8">
                  <c:v>25</c:v>
                </c:pt>
                <c:pt idx="9">
                  <c:v>24 retest</c:v>
                </c:pt>
                <c:pt idx="10">
                  <c:v>27</c:v>
                </c:pt>
                <c:pt idx="11">
                  <c:v>28</c:v>
                </c:pt>
              </c:strCache>
            </c:strRef>
          </c:cat>
          <c:val>
            <c:numRef>
              <c:f>'Coil slope intercepts'!$G$3:$G$14</c:f>
              <c:numCache>
                <c:formatCode>General</c:formatCode>
                <c:ptCount val="12"/>
                <c:pt idx="0">
                  <c:v>1.3899999999999999E-2</c:v>
                </c:pt>
                <c:pt idx="1">
                  <c:v>6.0199999999999997E-2</c:v>
                </c:pt>
                <c:pt idx="2">
                  <c:v>-8.6999999999999994E-2</c:v>
                </c:pt>
                <c:pt idx="3">
                  <c:v>-7.1000000000000004E-3</c:v>
                </c:pt>
                <c:pt idx="4">
                  <c:v>-2E-3</c:v>
                </c:pt>
                <c:pt idx="5">
                  <c:v>2.3099999999999999E-2</c:v>
                </c:pt>
                <c:pt idx="7">
                  <c:v>-0.17100000000000001</c:v>
                </c:pt>
                <c:pt idx="8">
                  <c:v>1.34E-2</c:v>
                </c:pt>
                <c:pt idx="9">
                  <c:v>2E-3</c:v>
                </c:pt>
                <c:pt idx="10">
                  <c:v>2.8999999999999998E-3</c:v>
                </c:pt>
                <c:pt idx="11">
                  <c:v>8.0000000000000004E-4</c:v>
                </c:pt>
              </c:numCache>
            </c:numRef>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4-E802-46E1-AD53-E6F7B56BFF79}"/>
            </c:ext>
          </c:extLst>
        </c:ser>
        <c:dLbls>
          <c:showLegendKey val="0"/>
          <c:showVal val="0"/>
          <c:showCatName val="0"/>
          <c:showSerName val="0"/>
          <c:showPercent val="0"/>
          <c:showBubbleSize val="0"/>
        </c:dLbls>
        <c:gapWidth val="150"/>
        <c:axId val="1707196848"/>
        <c:axId val="1"/>
      </c:barChart>
      <c:barChart>
        <c:barDir val="col"/>
        <c:grouping val="clustered"/>
        <c:varyColors val="0"/>
        <c:ser>
          <c:idx val="2"/>
          <c:order val="1"/>
          <c:tx>
            <c:v>bdot vs pot intercept</c:v>
          </c:tx>
          <c:spPr>
            <a:solidFill>
              <a:srgbClr val="FFFFCC"/>
            </a:solidFill>
            <a:ln w="12700">
              <a:solidFill>
                <a:srgbClr val="000000"/>
              </a:solidFill>
              <a:prstDash val="solid"/>
            </a:ln>
          </c:spPr>
          <c:invertIfNegative val="0"/>
          <c:cat>
            <c:strRef>
              <c:f>'Coil slope intercepts'!$A$3:$A$14</c:f>
              <c:strCache>
                <c:ptCount val="12"/>
                <c:pt idx="0">
                  <c:v>16</c:v>
                </c:pt>
                <c:pt idx="1">
                  <c:v>17</c:v>
                </c:pt>
                <c:pt idx="2">
                  <c:v>18</c:v>
                </c:pt>
                <c:pt idx="3">
                  <c:v>21</c:v>
                </c:pt>
                <c:pt idx="4">
                  <c:v>20</c:v>
                </c:pt>
                <c:pt idx="5">
                  <c:v>22</c:v>
                </c:pt>
                <c:pt idx="6">
                  <c:v>23</c:v>
                </c:pt>
                <c:pt idx="7">
                  <c:v>24</c:v>
                </c:pt>
                <c:pt idx="8">
                  <c:v>25</c:v>
                </c:pt>
                <c:pt idx="9">
                  <c:v>24 retest</c:v>
                </c:pt>
                <c:pt idx="10">
                  <c:v>27</c:v>
                </c:pt>
                <c:pt idx="11">
                  <c:v>28</c:v>
                </c:pt>
              </c:strCache>
            </c:strRef>
          </c:cat>
          <c:val>
            <c:numRef>
              <c:f>'Coil slope intercepts'!$C$3:$C$14</c:f>
              <c:numCache>
                <c:formatCode>General</c:formatCode>
                <c:ptCount val="12"/>
                <c:pt idx="0">
                  <c:v>2.8077000000000001</c:v>
                </c:pt>
                <c:pt idx="1">
                  <c:v>3.3105000000000002</c:v>
                </c:pt>
                <c:pt idx="2">
                  <c:v>2.9666000000000001</c:v>
                </c:pt>
                <c:pt idx="3">
                  <c:v>2.7431999999999999</c:v>
                </c:pt>
                <c:pt idx="4">
                  <c:v>2.7090000000000001</c:v>
                </c:pt>
                <c:pt idx="5">
                  <c:v>2.3740000000000001</c:v>
                </c:pt>
                <c:pt idx="6">
                  <c:v>2.8237000000000001</c:v>
                </c:pt>
                <c:pt idx="7">
                  <c:v>2.6354000000000002</c:v>
                </c:pt>
                <c:pt idx="8">
                  <c:v>2.5865</c:v>
                </c:pt>
                <c:pt idx="9">
                  <c:v>1.9247000000000001</c:v>
                </c:pt>
                <c:pt idx="10">
                  <c:v>2.2675000000000001</c:v>
                </c:pt>
                <c:pt idx="11">
                  <c:v>2.2465000000000002</c:v>
                </c:pt>
              </c:numCache>
            </c:numRef>
          </c:val>
          <c:extLst>
            <c:ext xmlns:c16="http://schemas.microsoft.com/office/drawing/2014/chart" uri="{C3380CC4-5D6E-409C-BE32-E72D297353CC}">
              <c16:uniqueId val="{00000005-E802-46E1-AD53-E6F7B56BFF79}"/>
            </c:ext>
          </c:extLst>
        </c:ser>
        <c:dLbls>
          <c:showLegendKey val="0"/>
          <c:showVal val="0"/>
          <c:showCatName val="0"/>
          <c:showSerName val="0"/>
          <c:showPercent val="0"/>
          <c:showBubbleSize val="0"/>
        </c:dLbls>
        <c:gapWidth val="500"/>
        <c:axId val="3"/>
        <c:axId val="4"/>
      </c:barChart>
      <c:catAx>
        <c:axId val="1707196848"/>
        <c:scaling>
          <c:orientation val="minMax"/>
        </c:scaling>
        <c:delete val="0"/>
        <c:axPos val="b"/>
        <c:title>
          <c:tx>
            <c:rich>
              <a:bodyPr/>
              <a:lstStyle/>
              <a:p>
                <a:pPr>
                  <a:defRPr sz="800" b="0" i="0" u="none" strike="noStrike" baseline="0">
                    <a:solidFill>
                      <a:srgbClr val="000000"/>
                    </a:solidFill>
                    <a:latin typeface="MathSoftText"/>
                    <a:ea typeface="MathSoftText"/>
                    <a:cs typeface="MathSoftText"/>
                  </a:defRPr>
                </a:pPr>
                <a:r>
                  <a:rPr lang="en-US"/>
                  <a:t>lens number</a:t>
                </a:r>
              </a:p>
            </c:rich>
          </c:tx>
          <c:layout>
            <c:manualLayout>
              <c:xMode val="edge"/>
              <c:yMode val="edge"/>
              <c:x val="0.36548746156021439"/>
              <c:y val="0.92909527500010303"/>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2700000" vert="horz"/>
          <a:lstStyle/>
          <a:p>
            <a:pPr>
              <a:defRPr sz="12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in val="0"/>
        </c:scaling>
        <c:delete val="0"/>
        <c:axPos val="l"/>
        <c:majorGridlines>
          <c:spPr>
            <a:ln w="3175">
              <a:solidFill>
                <a:srgbClr val="99CC00"/>
              </a:solidFill>
              <a:prstDash val="solid"/>
            </a:ln>
          </c:spPr>
        </c:majorGridlines>
        <c:title>
          <c:tx>
            <c:rich>
              <a:bodyPr/>
              <a:lstStyle/>
              <a:p>
                <a:pPr>
                  <a:defRPr sz="800" b="0" i="0" u="none" strike="noStrike" baseline="0">
                    <a:solidFill>
                      <a:srgbClr val="000000"/>
                    </a:solidFill>
                    <a:latin typeface="MathSoftText"/>
                    <a:ea typeface="MathSoftText"/>
                    <a:cs typeface="MathSoftText"/>
                  </a:defRPr>
                </a:pPr>
                <a:r>
                  <a:rPr lang="en-US"/>
                  <a:t>all but bdot intercept</a:t>
                </a:r>
              </a:p>
            </c:rich>
          </c:tx>
          <c:layout>
            <c:manualLayout>
              <c:xMode val="edge"/>
              <c:yMode val="edge"/>
              <c:x val="2.2619745177993724E-2"/>
              <c:y val="0.35295239497210618"/>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1200" b="0" i="0" u="none" strike="noStrike" baseline="0">
                <a:solidFill>
                  <a:srgbClr val="000000"/>
                </a:solidFill>
                <a:latin typeface="MathSoftText"/>
                <a:ea typeface="MathSoftText"/>
                <a:cs typeface="MathSoftText"/>
              </a:defRPr>
            </a:pPr>
            <a:endParaRPr lang="en-US"/>
          </a:p>
        </c:txPr>
        <c:crossAx val="1707196848"/>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in val="0"/>
        </c:scaling>
        <c:delete val="0"/>
        <c:axPos val="r"/>
        <c:title>
          <c:tx>
            <c:rich>
              <a:bodyPr/>
              <a:lstStyle/>
              <a:p>
                <a:pPr>
                  <a:defRPr sz="1200" b="0" i="0" u="none" strike="noStrike" baseline="0">
                    <a:solidFill>
                      <a:srgbClr val="000000"/>
                    </a:solidFill>
                    <a:latin typeface="MathSoftText"/>
                    <a:ea typeface="MathSoftText"/>
                    <a:cs typeface="MathSoftText"/>
                  </a:defRPr>
                </a:pPr>
                <a:r>
                  <a:rPr lang="en-US"/>
                  <a:t>bdot intercept</a:t>
                </a:r>
              </a:p>
            </c:rich>
          </c:tx>
          <c:layout>
            <c:manualLayout>
              <c:xMode val="edge"/>
              <c:yMode val="edge"/>
              <c:x val="0.76907133605178668"/>
              <c:y val="0.34949207737434046"/>
            </c:manualLayout>
          </c:layout>
          <c:overlay val="0"/>
          <c:spPr>
            <a:noFill/>
            <a:ln w="25400">
              <a:noFill/>
            </a:ln>
          </c:spPr>
        </c:title>
        <c:numFmt formatCode="General" sourceLinked="1"/>
        <c:majorTickMark val="cross"/>
        <c:minorTickMark val="none"/>
        <c:tickLblPos val="nextTo"/>
        <c:spPr>
          <a:ln w="3175">
            <a:solidFill>
              <a:srgbClr val="99CC00"/>
            </a:solidFill>
            <a:prstDash val="solid"/>
          </a:ln>
        </c:spPr>
        <c:txPr>
          <a:bodyPr rot="0" vert="horz"/>
          <a:lstStyle/>
          <a:p>
            <a:pPr>
              <a:defRPr sz="1200" b="0" i="0" u="none" strike="noStrike" baseline="0">
                <a:solidFill>
                  <a:srgbClr val="000000"/>
                </a:solidFill>
                <a:latin typeface="MathSoftText"/>
                <a:ea typeface="MathSoftText"/>
                <a:cs typeface="MathSoftText"/>
              </a:defRPr>
            </a:pPr>
            <a:endParaRPr lang="en-US"/>
          </a:p>
        </c:txPr>
        <c:crossAx val="3"/>
        <c:crosses val="max"/>
        <c:crossBetween val="between"/>
      </c:valAx>
      <c:spPr>
        <a:noFill/>
        <a:ln w="12700">
          <a:solidFill>
            <a:srgbClr val="99CC00"/>
          </a:solidFill>
          <a:prstDash val="solid"/>
        </a:ln>
      </c:spPr>
    </c:plotArea>
    <c:legend>
      <c:legendPos val="r"/>
      <c:layout>
        <c:manualLayout>
          <c:xMode val="edge"/>
          <c:yMode val="edge"/>
          <c:x val="0.82502544254471843"/>
          <c:y val="0.34949207737434046"/>
          <c:w val="0.16310026786237578"/>
          <c:h val="0.219730167458124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0" i="0" u="none" strike="noStrike" baseline="0">
                <a:solidFill>
                  <a:srgbClr val="000000"/>
                </a:solidFill>
                <a:latin typeface="MathSoftText"/>
                <a:ea typeface="MathSoftText"/>
                <a:cs typeface="MathSoftText"/>
              </a:defRPr>
            </a:pPr>
            <a:r>
              <a:rPr lang="en-US"/>
              <a:t>lens 18 pulse count vs peak current</a:t>
            </a:r>
          </a:p>
        </c:rich>
      </c:tx>
      <c:layout>
        <c:manualLayout>
          <c:xMode val="edge"/>
          <c:yMode val="edge"/>
          <c:x val="0.30288574994793954"/>
          <c:y val="4.4945351956345345E-2"/>
        </c:manualLayout>
      </c:layout>
      <c:overlay val="0"/>
      <c:spPr>
        <a:noFill/>
        <a:ln w="25400">
          <a:noFill/>
        </a:ln>
      </c:spPr>
    </c:title>
    <c:autoTitleDeleted val="0"/>
    <c:plotArea>
      <c:layout>
        <c:manualLayout>
          <c:layoutTarget val="inner"/>
          <c:xMode val="edge"/>
          <c:yMode val="edge"/>
          <c:x val="0.12183113964386395"/>
          <c:y val="0.23970854376717515"/>
          <c:w val="0.84943377918360707"/>
          <c:h val="0.5805441294361273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18'!$D$23:$D$28</c:f>
              <c:numCache>
                <c:formatCode>0.00E+00</c:formatCode>
                <c:ptCount val="6"/>
                <c:pt idx="0">
                  <c:v>295856.77884028893</c:v>
                </c:pt>
                <c:pt idx="1">
                  <c:v>295856.77884028893</c:v>
                </c:pt>
                <c:pt idx="2">
                  <c:v>482408.52833508328</c:v>
                </c:pt>
                <c:pt idx="3">
                  <c:v>524693.59155390318</c:v>
                </c:pt>
                <c:pt idx="4">
                  <c:v>527180.94821383397</c:v>
                </c:pt>
                <c:pt idx="5">
                  <c:v>606776.36133161292</c:v>
                </c:pt>
              </c:numCache>
            </c:numRef>
          </c:cat>
          <c:val>
            <c:numRef>
              <c:f>'Lens 18'!$A$23:$A$28</c:f>
              <c:numCache>
                <c:formatCode>General</c:formatCode>
                <c:ptCount val="6"/>
                <c:pt idx="0">
                  <c:v>1292</c:v>
                </c:pt>
                <c:pt idx="1">
                  <c:v>1851</c:v>
                </c:pt>
                <c:pt idx="2">
                  <c:v>86308</c:v>
                </c:pt>
                <c:pt idx="3">
                  <c:v>74549</c:v>
                </c:pt>
                <c:pt idx="4">
                  <c:v>74000</c:v>
                </c:pt>
                <c:pt idx="5">
                  <c:v>169300</c:v>
                </c:pt>
              </c:numCache>
            </c:numRef>
          </c:val>
          <c:extLst>
            <c:ext xmlns:c16="http://schemas.microsoft.com/office/drawing/2014/chart" uri="{C3380CC4-5D6E-409C-BE32-E72D297353CC}">
              <c16:uniqueId val="{00000000-B938-4925-AA6B-0CABA0DA8119}"/>
            </c:ext>
          </c:extLst>
        </c:ser>
        <c:dLbls>
          <c:showLegendKey val="0"/>
          <c:showVal val="0"/>
          <c:showCatName val="0"/>
          <c:showSerName val="0"/>
          <c:showPercent val="0"/>
          <c:showBubbleSize val="0"/>
        </c:dLbls>
        <c:gapWidth val="150"/>
        <c:axId val="1707229008"/>
        <c:axId val="1"/>
      </c:barChart>
      <c:catAx>
        <c:axId val="1707229008"/>
        <c:scaling>
          <c:orientation val="minMax"/>
        </c:scaling>
        <c:delete val="0"/>
        <c:axPos val="b"/>
        <c:numFmt formatCode="0" sourceLinked="0"/>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200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707229008"/>
        <c:crosses val="autoZero"/>
        <c:crossBetween val="between"/>
        <c:majorUnit val="40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00" b="0" i="0" u="none" strike="noStrike" baseline="0">
                <a:solidFill>
                  <a:srgbClr val="000000"/>
                </a:solidFill>
                <a:latin typeface="MathSoftText"/>
                <a:ea typeface="MathSoftText"/>
                <a:cs typeface="MathSoftText"/>
              </a:defRPr>
            </a:pPr>
            <a:r>
              <a:rPr lang="en-US"/>
              <a:t>lens 18 pulse count vs peak current</a:t>
            </a:r>
          </a:p>
        </c:rich>
      </c:tx>
      <c:layout>
        <c:manualLayout>
          <c:xMode val="edge"/>
          <c:yMode val="edge"/>
          <c:x val="0.39838616787917241"/>
          <c:y val="6.8029727158261666E-2"/>
        </c:manualLayout>
      </c:layout>
      <c:overlay val="0"/>
      <c:spPr>
        <a:noFill/>
        <a:ln w="25400">
          <a:noFill/>
        </a:ln>
      </c:spPr>
    </c:title>
    <c:autoTitleDeleted val="0"/>
    <c:plotArea>
      <c:layout>
        <c:manualLayout>
          <c:layoutTarget val="inner"/>
          <c:xMode val="edge"/>
          <c:yMode val="edge"/>
          <c:x val="7.8051167584490919E-2"/>
          <c:y val="0.30613377221217747"/>
          <c:w val="0.87319743735149213"/>
          <c:h val="0.44899619924452705"/>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18'!$D$23:$D$28</c:f>
              <c:numCache>
                <c:formatCode>0.00E+00</c:formatCode>
                <c:ptCount val="6"/>
                <c:pt idx="0">
                  <c:v>295856.77884028893</c:v>
                </c:pt>
                <c:pt idx="1">
                  <c:v>295856.77884028893</c:v>
                </c:pt>
                <c:pt idx="2">
                  <c:v>482408.52833508328</c:v>
                </c:pt>
                <c:pt idx="3">
                  <c:v>524693.59155390318</c:v>
                </c:pt>
                <c:pt idx="4">
                  <c:v>527180.94821383397</c:v>
                </c:pt>
                <c:pt idx="5">
                  <c:v>606776.36133161292</c:v>
                </c:pt>
              </c:numCache>
            </c:numRef>
          </c:xVal>
          <c:yVal>
            <c:numRef>
              <c:f>'Lens 18'!$A$23:$A$28</c:f>
              <c:numCache>
                <c:formatCode>General</c:formatCode>
                <c:ptCount val="6"/>
                <c:pt idx="0">
                  <c:v>1292</c:v>
                </c:pt>
                <c:pt idx="1">
                  <c:v>1851</c:v>
                </c:pt>
                <c:pt idx="2">
                  <c:v>86308</c:v>
                </c:pt>
                <c:pt idx="3">
                  <c:v>74549</c:v>
                </c:pt>
                <c:pt idx="4">
                  <c:v>74000</c:v>
                </c:pt>
                <c:pt idx="5">
                  <c:v>169300</c:v>
                </c:pt>
              </c:numCache>
            </c:numRef>
          </c:yVal>
          <c:smooth val="0"/>
          <c:extLst>
            <c:ext xmlns:c16="http://schemas.microsoft.com/office/drawing/2014/chart" uri="{C3380CC4-5D6E-409C-BE32-E72D297353CC}">
              <c16:uniqueId val="{00000000-45A2-4FAC-AF79-27D108A66073}"/>
            </c:ext>
          </c:extLst>
        </c:ser>
        <c:dLbls>
          <c:showLegendKey val="0"/>
          <c:showVal val="0"/>
          <c:showCatName val="0"/>
          <c:showSerName val="0"/>
          <c:showPercent val="0"/>
          <c:showBubbleSize val="0"/>
        </c:dLbls>
        <c:axId val="1707951696"/>
        <c:axId val="1"/>
      </c:scatterChart>
      <c:valAx>
        <c:axId val="1707951696"/>
        <c:scaling>
          <c:orientation val="minMax"/>
          <c:max val="700000"/>
          <c:min val="200000"/>
        </c:scaling>
        <c:delete val="0"/>
        <c:axPos val="b"/>
        <c:numFmt formatCode="0" sourceLinked="0"/>
        <c:majorTickMark val="out"/>
        <c:minorTickMark val="none"/>
        <c:tickLblPos val="nextTo"/>
        <c:spPr>
          <a:ln w="3175">
            <a:solidFill>
              <a:srgbClr val="99CC00"/>
            </a:solidFill>
            <a:prstDash val="solid"/>
          </a:ln>
        </c:spPr>
        <c:txPr>
          <a:bodyPr rot="0" vert="horz"/>
          <a:lstStyle/>
          <a:p>
            <a:pPr>
              <a:defRPr sz="400" b="0" i="0" u="none" strike="noStrike" baseline="0">
                <a:solidFill>
                  <a:srgbClr val="000000"/>
                </a:solidFill>
                <a:latin typeface="MathSoftText"/>
                <a:ea typeface="MathSoftText"/>
                <a:cs typeface="MathSoftText"/>
              </a:defRPr>
            </a:pPr>
            <a:endParaRPr lang="en-US"/>
          </a:p>
        </c:txPr>
        <c:crossAx val="1"/>
        <c:crosses val="autoZero"/>
        <c:crossBetween val="midCat"/>
        <c:majorUnit val="100000"/>
        <c:minorUnit val="20000"/>
      </c:valAx>
      <c:valAx>
        <c:axId val="1"/>
        <c:scaling>
          <c:orientation val="minMax"/>
          <c:max val="200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400" b="0" i="0" u="none" strike="noStrike" baseline="0">
                <a:solidFill>
                  <a:srgbClr val="000000"/>
                </a:solidFill>
                <a:latin typeface="MathSoftText"/>
                <a:ea typeface="MathSoftText"/>
                <a:cs typeface="MathSoftText"/>
              </a:defRPr>
            </a:pPr>
            <a:endParaRPr lang="en-US"/>
          </a:p>
        </c:txPr>
        <c:crossAx val="1707951696"/>
        <c:crosses val="autoZero"/>
        <c:crossBetween val="midCat"/>
        <c:majorUnit val="40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18 Rogowski and Bdot vs Pot</a:t>
            </a:r>
          </a:p>
        </c:rich>
      </c:tx>
      <c:layout>
        <c:manualLayout>
          <c:xMode val="edge"/>
          <c:yMode val="edge"/>
          <c:x val="0.24226666496933666"/>
          <c:y val="3.9756569284871451E-2"/>
        </c:manualLayout>
      </c:layout>
      <c:overlay val="0"/>
      <c:spPr>
        <a:noFill/>
        <a:ln w="25400">
          <a:noFill/>
        </a:ln>
      </c:spPr>
    </c:title>
    <c:autoTitleDeleted val="0"/>
    <c:plotArea>
      <c:layout>
        <c:manualLayout>
          <c:layoutTarget val="inner"/>
          <c:xMode val="edge"/>
          <c:yMode val="edge"/>
          <c:x val="0.17486917170719038"/>
          <c:y val="0.25688860153301551"/>
          <c:w val="0.40620651344482761"/>
          <c:h val="0.4709624361438618"/>
        </c:manualLayout>
      </c:layout>
      <c:scatterChart>
        <c:scatterStyle val="lineMarker"/>
        <c:varyColors val="0"/>
        <c:ser>
          <c:idx val="1"/>
          <c:order val="1"/>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69036891746901186"/>
                  <c:y val="0.5841157487238805"/>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18'!$A$9:$A$18</c:f>
              <c:numCache>
                <c:formatCode>General</c:formatCode>
                <c:ptCount val="10"/>
                <c:pt idx="0">
                  <c:v>3.75</c:v>
                </c:pt>
                <c:pt idx="1">
                  <c:v>3.75</c:v>
                </c:pt>
                <c:pt idx="2">
                  <c:v>0</c:v>
                </c:pt>
                <c:pt idx="3">
                  <c:v>0</c:v>
                </c:pt>
                <c:pt idx="4">
                  <c:v>4.5999999999999996</c:v>
                </c:pt>
                <c:pt idx="5">
                  <c:v>4.5999999999999996</c:v>
                </c:pt>
                <c:pt idx="6">
                  <c:v>6.25</c:v>
                </c:pt>
                <c:pt idx="7">
                  <c:v>6.25</c:v>
                </c:pt>
                <c:pt idx="8">
                  <c:v>4.6500000000000004</c:v>
                </c:pt>
                <c:pt idx="9">
                  <c:v>4.6500000000000004</c:v>
                </c:pt>
              </c:numCache>
            </c:numRef>
          </c:xVal>
          <c:yVal>
            <c:numRef>
              <c:f>'Lens 18'!$D$9:$D$18</c:f>
              <c:numCache>
                <c:formatCode>0.00</c:formatCode>
                <c:ptCount val="10"/>
                <c:pt idx="0">
                  <c:v>4.5999999999999996</c:v>
                </c:pt>
                <c:pt idx="1">
                  <c:v>4.5999999999999996</c:v>
                </c:pt>
                <c:pt idx="4" formatCode="General">
                  <c:v>5</c:v>
                </c:pt>
                <c:pt idx="5" formatCode="General">
                  <c:v>5</c:v>
                </c:pt>
                <c:pt idx="6" formatCode="General">
                  <c:v>5.7</c:v>
                </c:pt>
                <c:pt idx="7" formatCode="General">
                  <c:v>5.7</c:v>
                </c:pt>
                <c:pt idx="8" formatCode="General">
                  <c:v>5</c:v>
                </c:pt>
                <c:pt idx="9" formatCode="General">
                  <c:v>5</c:v>
                </c:pt>
              </c:numCache>
            </c:numRef>
          </c:yVal>
          <c:smooth val="0"/>
          <c:extLst>
            <c:ext xmlns:c16="http://schemas.microsoft.com/office/drawing/2014/chart" uri="{C3380CC4-5D6E-409C-BE32-E72D297353CC}">
              <c16:uniqueId val="{00000001-91D7-42F2-9FBD-C276F8BA7959}"/>
            </c:ext>
          </c:extLst>
        </c:ser>
        <c:dLbls>
          <c:showLegendKey val="0"/>
          <c:showVal val="0"/>
          <c:showCatName val="0"/>
          <c:showSerName val="0"/>
          <c:showPercent val="0"/>
          <c:showBubbleSize val="0"/>
        </c:dLbls>
        <c:axId val="1203014208"/>
        <c:axId val="1"/>
      </c:scatterChart>
      <c:scatterChart>
        <c:scatterStyle val="lineMarker"/>
        <c:varyColors val="0"/>
        <c:ser>
          <c:idx val="0"/>
          <c:order val="0"/>
          <c:tx>
            <c:v>rog vs pot</c:v>
          </c:tx>
          <c:spPr>
            <a:ln w="19050">
              <a:noFill/>
            </a:ln>
          </c:spPr>
          <c:marker>
            <c:symbol val="diamond"/>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Mode val="edge"/>
                  <c:yMode val="edge"/>
                  <c:x val="0.68490425585316217"/>
                  <c:y val="0.80736417624662005"/>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18'!$A$9:$A$18</c:f>
              <c:numCache>
                <c:formatCode>General</c:formatCode>
                <c:ptCount val="10"/>
                <c:pt idx="0">
                  <c:v>3.75</c:v>
                </c:pt>
                <c:pt idx="1">
                  <c:v>3.75</c:v>
                </c:pt>
                <c:pt idx="2">
                  <c:v>0</c:v>
                </c:pt>
                <c:pt idx="3">
                  <c:v>0</c:v>
                </c:pt>
                <c:pt idx="4">
                  <c:v>4.5999999999999996</c:v>
                </c:pt>
                <c:pt idx="5">
                  <c:v>4.5999999999999996</c:v>
                </c:pt>
                <c:pt idx="6">
                  <c:v>6.25</c:v>
                </c:pt>
                <c:pt idx="7">
                  <c:v>6.25</c:v>
                </c:pt>
                <c:pt idx="8">
                  <c:v>4.6500000000000004</c:v>
                </c:pt>
                <c:pt idx="9">
                  <c:v>4.6500000000000004</c:v>
                </c:pt>
              </c:numCache>
            </c:numRef>
          </c:xVal>
          <c:yVal>
            <c:numRef>
              <c:f>'Lens 18'!$C$9:$C$18</c:f>
              <c:numCache>
                <c:formatCode>0.00</c:formatCode>
                <c:ptCount val="10"/>
                <c:pt idx="0">
                  <c:v>0.5</c:v>
                </c:pt>
                <c:pt idx="1">
                  <c:v>0.5</c:v>
                </c:pt>
                <c:pt idx="4">
                  <c:v>0.55000000000000004</c:v>
                </c:pt>
                <c:pt idx="5">
                  <c:v>0.55000000000000004</c:v>
                </c:pt>
                <c:pt idx="6">
                  <c:v>0.64</c:v>
                </c:pt>
                <c:pt idx="7">
                  <c:v>0.64</c:v>
                </c:pt>
                <c:pt idx="8">
                  <c:v>0.55000000000000004</c:v>
                </c:pt>
                <c:pt idx="9">
                  <c:v>0.55000000000000004</c:v>
                </c:pt>
              </c:numCache>
            </c:numRef>
          </c:yVal>
          <c:smooth val="0"/>
          <c:extLst>
            <c:ext xmlns:c16="http://schemas.microsoft.com/office/drawing/2014/chart" uri="{C3380CC4-5D6E-409C-BE32-E72D297353CC}">
              <c16:uniqueId val="{00000003-91D7-42F2-9FBD-C276F8BA7959}"/>
            </c:ext>
          </c:extLst>
        </c:ser>
        <c:dLbls>
          <c:showLegendKey val="0"/>
          <c:showVal val="0"/>
          <c:showCatName val="0"/>
          <c:showSerName val="0"/>
          <c:showPercent val="0"/>
          <c:showBubbleSize val="0"/>
        </c:dLbls>
        <c:axId val="3"/>
        <c:axId val="4"/>
      </c:scatterChart>
      <c:valAx>
        <c:axId val="1203014208"/>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1330726597538272"/>
              <c:y val="0.83488795498230051"/>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2825062286547077E-2"/>
              <c:y val="0.37615830938762984"/>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2030142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3"/>
        <c:crosses val="max"/>
        <c:crossBetween val="midCat"/>
      </c:valAx>
      <c:spPr>
        <a:noFill/>
        <a:ln w="12700">
          <a:solidFill>
            <a:srgbClr val="99CC00"/>
          </a:solidFill>
          <a:prstDash val="solid"/>
        </a:ln>
      </c:spPr>
    </c:plotArea>
    <c:legend>
      <c:legendPos val="r"/>
      <c:layout>
        <c:manualLayout>
          <c:xMode val="edge"/>
          <c:yMode val="edge"/>
          <c:x val="0.67397493262146269"/>
          <c:y val="0.19572464878705942"/>
          <c:w val="0.3060210504875831"/>
          <c:h val="0.28441238026869575"/>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18 Rogowski vs Bdot</a:t>
            </a:r>
          </a:p>
        </c:rich>
      </c:tx>
      <c:layout>
        <c:manualLayout>
          <c:xMode val="edge"/>
          <c:yMode val="edge"/>
          <c:x val="0.30110473345894589"/>
          <c:y val="4.062627403956541E-2"/>
        </c:manualLayout>
      </c:layout>
      <c:overlay val="0"/>
      <c:spPr>
        <a:noFill/>
        <a:ln w="25400">
          <a:noFill/>
        </a:ln>
      </c:spPr>
    </c:title>
    <c:autoTitleDeleted val="0"/>
    <c:plotArea>
      <c:layout>
        <c:manualLayout>
          <c:layoutTarget val="inner"/>
          <c:xMode val="edge"/>
          <c:yMode val="edge"/>
          <c:x val="0.15693943683314757"/>
          <c:y val="0.22813215422217498"/>
          <c:w val="0.78287230699325938"/>
          <c:h val="0.52814156251435029"/>
        </c:manualLayout>
      </c:layout>
      <c:scatterChart>
        <c:scatterStyle val="lineMarker"/>
        <c:varyColors val="0"/>
        <c:ser>
          <c:idx val="0"/>
          <c:order val="0"/>
          <c:spPr>
            <a:ln w="19050">
              <a:noFill/>
            </a:ln>
          </c:spPr>
          <c:marker>
            <c:symbol val="diamond"/>
            <c:size val="5"/>
            <c:spPr>
              <a:solidFill>
                <a:srgbClr val="FF0000"/>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Mode val="edge"/>
                  <c:yMode val="edge"/>
                  <c:x val="0.75549914940608232"/>
                  <c:y val="2.187568602130445E-2"/>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18'!$D$9:$D$18</c:f>
              <c:numCache>
                <c:formatCode>0.00</c:formatCode>
                <c:ptCount val="10"/>
                <c:pt idx="0">
                  <c:v>4.5999999999999996</c:v>
                </c:pt>
                <c:pt idx="1">
                  <c:v>4.5999999999999996</c:v>
                </c:pt>
                <c:pt idx="4" formatCode="General">
                  <c:v>5</c:v>
                </c:pt>
                <c:pt idx="5" formatCode="General">
                  <c:v>5</c:v>
                </c:pt>
                <c:pt idx="6" formatCode="General">
                  <c:v>5.7</c:v>
                </c:pt>
                <c:pt idx="7" formatCode="General">
                  <c:v>5.7</c:v>
                </c:pt>
                <c:pt idx="8" formatCode="General">
                  <c:v>5</c:v>
                </c:pt>
                <c:pt idx="9" formatCode="General">
                  <c:v>5</c:v>
                </c:pt>
              </c:numCache>
            </c:numRef>
          </c:xVal>
          <c:yVal>
            <c:numRef>
              <c:f>'Lens 18'!$C$9:$C$18</c:f>
              <c:numCache>
                <c:formatCode>0.00</c:formatCode>
                <c:ptCount val="10"/>
                <c:pt idx="0">
                  <c:v>0.5</c:v>
                </c:pt>
                <c:pt idx="1">
                  <c:v>0.5</c:v>
                </c:pt>
                <c:pt idx="4">
                  <c:v>0.55000000000000004</c:v>
                </c:pt>
                <c:pt idx="5">
                  <c:v>0.55000000000000004</c:v>
                </c:pt>
                <c:pt idx="6">
                  <c:v>0.64</c:v>
                </c:pt>
                <c:pt idx="7">
                  <c:v>0.64</c:v>
                </c:pt>
                <c:pt idx="8">
                  <c:v>0.55000000000000004</c:v>
                </c:pt>
                <c:pt idx="9">
                  <c:v>0.55000000000000004</c:v>
                </c:pt>
              </c:numCache>
            </c:numRef>
          </c:yVal>
          <c:smooth val="0"/>
          <c:extLst>
            <c:ext xmlns:c16="http://schemas.microsoft.com/office/drawing/2014/chart" uri="{C3380CC4-5D6E-409C-BE32-E72D297353CC}">
              <c16:uniqueId val="{00000001-2BD6-4FDA-B4C0-B67EA24B78F7}"/>
            </c:ext>
          </c:extLst>
        </c:ser>
        <c:dLbls>
          <c:showLegendKey val="0"/>
          <c:showVal val="0"/>
          <c:showCatName val="0"/>
          <c:showSerName val="0"/>
          <c:showPercent val="0"/>
          <c:showBubbleSize val="0"/>
        </c:dLbls>
        <c:axId val="1707954176"/>
        <c:axId val="1"/>
      </c:scatterChart>
      <c:valAx>
        <c:axId val="1707954176"/>
        <c:scaling>
          <c:orientation val="minMax"/>
          <c:min val="4"/>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0.476292942016878"/>
              <c:y val="0.86565214684304737"/>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minorUnit val="0.1"/>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Rogowski (volts)</a:t>
                </a:r>
              </a:p>
            </c:rich>
          </c:tx>
          <c:layout>
            <c:manualLayout>
              <c:xMode val="edge"/>
              <c:yMode val="edge"/>
              <c:x val="3.4672666277090737E-2"/>
              <c:y val="0.31563489830739277"/>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707954176"/>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0" i="0" u="none" strike="noStrike" baseline="0">
                <a:solidFill>
                  <a:srgbClr val="000000"/>
                </a:solidFill>
                <a:latin typeface="MathSoftText"/>
                <a:ea typeface="MathSoftText"/>
                <a:cs typeface="MathSoftText"/>
              </a:defRPr>
            </a:pPr>
            <a:r>
              <a:rPr lang="en-US"/>
              <a:t>lens 18 pulse count vs gradient</a:t>
            </a:r>
          </a:p>
        </c:rich>
      </c:tx>
      <c:layout>
        <c:manualLayout>
          <c:xMode val="edge"/>
          <c:yMode val="edge"/>
          <c:x val="0.27981040793852652"/>
          <c:y val="3.9276237758138786E-2"/>
        </c:manualLayout>
      </c:layout>
      <c:overlay val="0"/>
      <c:spPr>
        <a:noFill/>
        <a:ln w="25400">
          <a:noFill/>
        </a:ln>
      </c:spPr>
    </c:title>
    <c:autoTitleDeleted val="0"/>
    <c:plotArea>
      <c:layout>
        <c:manualLayout>
          <c:layoutTarget val="inner"/>
          <c:xMode val="edge"/>
          <c:yMode val="edge"/>
          <c:x val="0.20530467801406682"/>
          <c:y val="0.22961492843219597"/>
          <c:w val="0.76658117677833004"/>
          <c:h val="0.52871858520571435"/>
        </c:manualLayout>
      </c:layout>
      <c:barChart>
        <c:barDir val="col"/>
        <c:grouping val="clustered"/>
        <c:varyColors val="0"/>
        <c:ser>
          <c:idx val="0"/>
          <c:order val="0"/>
          <c:spPr>
            <a:solidFill>
              <a:srgbClr val="9999FF"/>
            </a:solidFill>
            <a:ln w="12700">
              <a:solidFill>
                <a:srgbClr val="000000"/>
              </a:solidFill>
              <a:prstDash val="solid"/>
            </a:ln>
          </c:spPr>
          <c:invertIfNegative val="0"/>
          <c:dLbls>
            <c:dLbl>
              <c:idx val="0"/>
              <c:layout>
                <c:manualLayout>
                  <c:xMode val="edge"/>
                  <c:yMode val="edge"/>
                  <c:x val="0.25166379885595286"/>
                  <c:y val="0.60424981166367364"/>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8BC-4939-81CC-8883A684E932}"/>
                </c:ext>
              </c:extLst>
            </c:dLbl>
            <c:dLbl>
              <c:idx val="1"/>
              <c:layout>
                <c:manualLayout>
                  <c:xMode val="edge"/>
                  <c:yMode val="edge"/>
                  <c:x val="0.37418433250950883"/>
                  <c:y val="0.58914356637208176"/>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BC-4939-81CC-8883A684E932}"/>
                </c:ext>
              </c:extLst>
            </c:dLbl>
            <c:dLbl>
              <c:idx val="2"/>
              <c:layout>
                <c:manualLayout>
                  <c:xMode val="edge"/>
                  <c:yMode val="edge"/>
                  <c:x val="0.50829464637353627"/>
                  <c:y val="0.56195232484721647"/>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BC-4939-81CC-8883A684E932}"/>
                </c:ext>
              </c:extLst>
            </c:dLbl>
            <c:dLbl>
              <c:idx val="3"/>
              <c:layout>
                <c:manualLayout>
                  <c:xMode val="edge"/>
                  <c:yMode val="edge"/>
                  <c:x val="0.63081518002709236"/>
                  <c:y val="0.54080358143898788"/>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BC-4939-81CC-8883A684E932}"/>
                </c:ext>
              </c:extLst>
            </c:dLbl>
            <c:dLbl>
              <c:idx val="4"/>
              <c:layout>
                <c:manualLayout>
                  <c:xMode val="edge"/>
                  <c:yMode val="edge"/>
                  <c:x val="0.758302762342279"/>
                  <c:y val="0.54382483049730623"/>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BC-4939-81CC-8883A684E932}"/>
                </c:ext>
              </c:extLst>
            </c:dLbl>
            <c:dLbl>
              <c:idx val="5"/>
              <c:layout>
                <c:manualLayout>
                  <c:xMode val="edge"/>
                  <c:yMode val="edge"/>
                  <c:x val="0.88744602754467572"/>
                  <c:y val="0.53476108332235117"/>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BC-4939-81CC-8883A684E932}"/>
                </c:ext>
              </c:extLst>
            </c:dLbl>
            <c:spPr>
              <a:noFill/>
              <a:ln w="25400">
                <a:noFill/>
              </a:ln>
            </c:spPr>
            <c:txPr>
              <a:bodyPr rot="-5400000" vert="horz" wrap="square" lIns="38100" tIns="19050" rIns="38100" bIns="19050" anchor="ctr">
                <a:spAutoFit/>
              </a:bodyPr>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18'!$E$23:$E$28</c:f>
              <c:numCache>
                <c:formatCode>0</c:formatCode>
                <c:ptCount val="6"/>
                <c:pt idx="0">
                  <c:v>463.00240363508271</c:v>
                </c:pt>
                <c:pt idx="1">
                  <c:v>463.00240363508271</c:v>
                </c:pt>
                <c:pt idx="2">
                  <c:v>753.98582249706294</c:v>
                </c:pt>
                <c:pt idx="3">
                  <c:v>819.94206410577817</c:v>
                </c:pt>
                <c:pt idx="4">
                  <c:v>823.8218430239383</c:v>
                </c:pt>
                <c:pt idx="5">
                  <c:v>947.97476840504999</c:v>
                </c:pt>
              </c:numCache>
            </c:numRef>
          </c:cat>
          <c:val>
            <c:numRef>
              <c:f>'Lens 18'!$A$23:$A$28</c:f>
              <c:numCache>
                <c:formatCode>General</c:formatCode>
                <c:ptCount val="6"/>
                <c:pt idx="0">
                  <c:v>1292</c:v>
                </c:pt>
                <c:pt idx="1">
                  <c:v>1851</c:v>
                </c:pt>
                <c:pt idx="2">
                  <c:v>86308</c:v>
                </c:pt>
                <c:pt idx="3">
                  <c:v>74549</c:v>
                </c:pt>
                <c:pt idx="4">
                  <c:v>74000</c:v>
                </c:pt>
                <c:pt idx="5">
                  <c:v>169300</c:v>
                </c:pt>
              </c:numCache>
            </c:numRef>
          </c:val>
          <c:extLst>
            <c:ext xmlns:c16="http://schemas.microsoft.com/office/drawing/2014/chart" uri="{C3380CC4-5D6E-409C-BE32-E72D297353CC}">
              <c16:uniqueId val="{00000006-F8BC-4939-81CC-8883A684E932}"/>
            </c:ext>
          </c:extLst>
        </c:ser>
        <c:dLbls>
          <c:showLegendKey val="0"/>
          <c:showVal val="1"/>
          <c:showCatName val="0"/>
          <c:showSerName val="0"/>
          <c:showPercent val="0"/>
          <c:showBubbleSize val="0"/>
        </c:dLbls>
        <c:gapWidth val="150"/>
        <c:axId val="1707229968"/>
        <c:axId val="1"/>
      </c:barChart>
      <c:catAx>
        <c:axId val="1707229968"/>
        <c:scaling>
          <c:orientation val="minMax"/>
        </c:scaling>
        <c:delete val="0"/>
        <c:axPos val="b"/>
        <c:title>
          <c:tx>
            <c:rich>
              <a:bodyPr/>
              <a:lstStyle/>
              <a:p>
                <a:pPr>
                  <a:defRPr sz="975" b="0" i="0" u="none" strike="noStrike" baseline="0">
                    <a:solidFill>
                      <a:srgbClr val="000000"/>
                    </a:solidFill>
                    <a:latin typeface="MathSoftText"/>
                    <a:ea typeface="MathSoftText"/>
                    <a:cs typeface="MathSoftText"/>
                  </a:defRPr>
                </a:pPr>
                <a:r>
                  <a:rPr lang="en-US"/>
                  <a:t>gradient (T/m)</a:t>
                </a:r>
              </a:p>
            </c:rich>
          </c:tx>
          <c:layout>
            <c:manualLayout>
              <c:xMode val="edge"/>
              <c:yMode val="edge"/>
              <c:x val="0.50332759771190572"/>
              <c:y val="0.86709847973737153"/>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97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975"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1457974856994107E-2"/>
              <c:y val="0.30514615489015517"/>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75" b="0" i="0" u="none" strike="noStrike" baseline="0">
                <a:solidFill>
                  <a:srgbClr val="000000"/>
                </a:solidFill>
                <a:latin typeface="MathSoftText"/>
                <a:ea typeface="MathSoftText"/>
                <a:cs typeface="MathSoftText"/>
              </a:defRPr>
            </a:pPr>
            <a:endParaRPr lang="en-US"/>
          </a:p>
        </c:txPr>
        <c:crossAx val="1707229968"/>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MathSoftText"/>
                <a:ea typeface="MathSoftText"/>
                <a:cs typeface="MathSoftText"/>
              </a:defRPr>
            </a:pPr>
            <a:r>
              <a:rPr lang="en-US"/>
              <a:t>lens 17 pulse count vs peak current</a:t>
            </a:r>
          </a:p>
        </c:rich>
      </c:tx>
      <c:layout>
        <c:manualLayout>
          <c:xMode val="edge"/>
          <c:yMode val="edge"/>
          <c:x val="0.28383781912860573"/>
          <c:y val="4.181312791242895E-2"/>
        </c:manualLayout>
      </c:layout>
      <c:overlay val="0"/>
      <c:spPr>
        <a:noFill/>
        <a:ln w="25400">
          <a:noFill/>
        </a:ln>
      </c:spPr>
    </c:title>
    <c:autoTitleDeleted val="0"/>
    <c:plotArea>
      <c:layout>
        <c:manualLayout>
          <c:layoutTarget val="inner"/>
          <c:xMode val="edge"/>
          <c:yMode val="edge"/>
          <c:x val="0.18317440653066999"/>
          <c:y val="0.24739434014853795"/>
          <c:w val="0.78880510199693921"/>
          <c:h val="0.4947886802970759"/>
        </c:manualLayout>
      </c:layout>
      <c:barChart>
        <c:barDir val="col"/>
        <c:grouping val="clustered"/>
        <c:varyColors val="0"/>
        <c:ser>
          <c:idx val="0"/>
          <c:order val="0"/>
          <c:spPr>
            <a:solidFill>
              <a:srgbClr val="9999FF"/>
            </a:solidFill>
            <a:ln w="12700">
              <a:solidFill>
                <a:srgbClr val="000000"/>
              </a:solidFill>
              <a:prstDash val="solid"/>
            </a:ln>
          </c:spPr>
          <c:invertIfNegative val="0"/>
          <c:dLbls>
            <c:dLbl>
              <c:idx val="0"/>
              <c:layout>
                <c:manualLayout>
                  <c:xMode val="edge"/>
                  <c:yMode val="edge"/>
                  <c:x val="0.21782902398241835"/>
                  <c:y val="0.53660180820950487"/>
                </c:manualLayout>
              </c:layout>
              <c:numFmt formatCode="0" sourceLinked="0"/>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D38-4791-931D-C657EC21909E}"/>
                </c:ext>
              </c:extLst>
            </c:dLbl>
            <c:dLbl>
              <c:idx val="1"/>
              <c:layout>
                <c:manualLayout>
                  <c:xMode val="edge"/>
                  <c:yMode val="edge"/>
                  <c:x val="0.33169419560959162"/>
                  <c:y val="0.55750837216571936"/>
                </c:manualLayout>
              </c:layout>
              <c:numFmt formatCode="0" sourceLinked="0"/>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D38-4791-931D-C657EC21909E}"/>
                </c:ext>
              </c:extLst>
            </c:dLbl>
            <c:dLbl>
              <c:idx val="2"/>
              <c:layout>
                <c:manualLayout>
                  <c:xMode val="edge"/>
                  <c:yMode val="edge"/>
                  <c:x val="0.44390914735811005"/>
                  <c:y val="0.52614852623139763"/>
                </c:manualLayout>
              </c:layout>
              <c:numFmt formatCode="0" sourceLinked="0"/>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D38-4791-931D-C657EC21909E}"/>
                </c:ext>
              </c:extLst>
            </c:dLbl>
            <c:dLbl>
              <c:idx val="3"/>
              <c:layout>
                <c:manualLayout>
                  <c:xMode val="edge"/>
                  <c:yMode val="edge"/>
                  <c:x val="0.55612409910662863"/>
                  <c:y val="0.52266409890536192"/>
                </c:manualLayout>
              </c:layout>
              <c:numFmt formatCode="0" sourceLinked="0"/>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D38-4791-931D-C657EC21909E}"/>
                </c:ext>
              </c:extLst>
            </c:dLbl>
            <c:dLbl>
              <c:idx val="4"/>
              <c:layout>
                <c:manualLayout>
                  <c:xMode val="edge"/>
                  <c:yMode val="edge"/>
                  <c:x val="0.66833905085514722"/>
                  <c:y val="0.54008623553554069"/>
                </c:manualLayout>
              </c:layout>
              <c:numFmt formatCode="0" sourceLinked="0"/>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D38-4791-931D-C657EC21909E}"/>
                </c:ext>
              </c:extLst>
            </c:dLbl>
            <c:dLbl>
              <c:idx val="5"/>
              <c:layout>
                <c:manualLayout>
                  <c:xMode val="edge"/>
                  <c:yMode val="edge"/>
                  <c:x val="0.78220422248232035"/>
                  <c:y val="0.59583707275211262"/>
                </c:manualLayout>
              </c:layout>
              <c:numFmt formatCode="0" sourceLinked="0"/>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D38-4791-931D-C657EC21909E}"/>
                </c:ext>
              </c:extLst>
            </c:dLbl>
            <c:dLbl>
              <c:idx val="6"/>
              <c:layout>
                <c:manualLayout>
                  <c:xMode val="edge"/>
                  <c:yMode val="edge"/>
                  <c:x val="0.89441917423083894"/>
                  <c:y val="0.5156952442532905"/>
                </c:manualLayout>
              </c:layout>
              <c:numFmt formatCode="0" sourceLinked="0"/>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D38-4791-931D-C657EC21909E}"/>
                </c:ext>
              </c:extLst>
            </c:dLbl>
            <c:numFmt formatCode="0" sourceLinked="0"/>
            <c:spPr>
              <a:noFill/>
              <a:ln w="25400">
                <a:noFill/>
              </a:ln>
            </c:spPr>
            <c:txPr>
              <a:bodyPr rot="-5400000" vert="horz" wrap="square" lIns="38100" tIns="19050" rIns="38100" bIns="19050" anchor="ctr">
                <a:spAutoFit/>
              </a:bodyPr>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17'!$F$35:$F$41</c:f>
              <c:numCache>
                <c:formatCode>0</c:formatCode>
                <c:ptCount val="7"/>
                <c:pt idx="0">
                  <c:v>390.37633191765133</c:v>
                </c:pt>
                <c:pt idx="1">
                  <c:v>432.66139513647153</c:v>
                </c:pt>
                <c:pt idx="2">
                  <c:v>469.97174503543022</c:v>
                </c:pt>
                <c:pt idx="3">
                  <c:v>482.4085283350833</c:v>
                </c:pt>
                <c:pt idx="4">
                  <c:v>519.71887823404211</c:v>
                </c:pt>
                <c:pt idx="5">
                  <c:v>569.466011432654</c:v>
                </c:pt>
                <c:pt idx="6">
                  <c:v>609.26371799154356</c:v>
                </c:pt>
              </c:numCache>
            </c:numRef>
          </c:cat>
          <c:val>
            <c:numRef>
              <c:f>'Lens 17'!$A$35:$A$41</c:f>
              <c:numCache>
                <c:formatCode>General</c:formatCode>
                <c:ptCount val="7"/>
                <c:pt idx="0">
                  <c:v>280000</c:v>
                </c:pt>
                <c:pt idx="1">
                  <c:v>95500</c:v>
                </c:pt>
                <c:pt idx="2">
                  <c:v>156400</c:v>
                </c:pt>
                <c:pt idx="3">
                  <c:v>114350</c:v>
                </c:pt>
                <c:pt idx="4">
                  <c:v>23789</c:v>
                </c:pt>
                <c:pt idx="5">
                  <c:v>1311</c:v>
                </c:pt>
                <c:pt idx="6">
                  <c:v>459850</c:v>
                </c:pt>
              </c:numCache>
            </c:numRef>
          </c:val>
          <c:extLst>
            <c:ext xmlns:c16="http://schemas.microsoft.com/office/drawing/2014/chart" uri="{C3380CC4-5D6E-409C-BE32-E72D297353CC}">
              <c16:uniqueId val="{00000007-AD38-4791-931D-C657EC21909E}"/>
            </c:ext>
          </c:extLst>
        </c:ser>
        <c:dLbls>
          <c:showLegendKey val="0"/>
          <c:showVal val="1"/>
          <c:showCatName val="0"/>
          <c:showSerName val="0"/>
          <c:showPercent val="0"/>
          <c:showBubbleSize val="0"/>
        </c:dLbls>
        <c:gapWidth val="150"/>
        <c:axId val="1707186768"/>
        <c:axId val="1"/>
      </c:barChart>
      <c:catAx>
        <c:axId val="1707186768"/>
        <c:scaling>
          <c:orientation val="minMax"/>
        </c:scaling>
        <c:delete val="0"/>
        <c:axPos val="b"/>
        <c:title>
          <c:tx>
            <c:rich>
              <a:bodyPr/>
              <a:lstStyle/>
              <a:p>
                <a:pPr>
                  <a:defRPr sz="825" b="0" i="0" u="none" strike="noStrike" baseline="0">
                    <a:solidFill>
                      <a:srgbClr val="000000"/>
                    </a:solidFill>
                    <a:latin typeface="MathSoftText"/>
                    <a:ea typeface="MathSoftText"/>
                    <a:cs typeface="MathSoftText"/>
                  </a:defRPr>
                </a:pPr>
                <a:r>
                  <a:rPr lang="en-US"/>
                  <a:t>kiloamps</a:t>
                </a:r>
              </a:p>
            </c:rich>
          </c:tx>
          <c:layout>
            <c:manualLayout>
              <c:xMode val="edge"/>
              <c:yMode val="edge"/>
              <c:x val="0.52972058104815367"/>
              <c:y val="0.85368469487875775"/>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82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825"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1354177694439003E-2"/>
              <c:y val="0.29966075003907416"/>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825" b="0" i="0" u="none" strike="noStrike" baseline="0">
                <a:solidFill>
                  <a:srgbClr val="000000"/>
                </a:solidFill>
                <a:latin typeface="MathSoftText"/>
                <a:ea typeface="MathSoftText"/>
                <a:cs typeface="MathSoftText"/>
              </a:defRPr>
            </a:pPr>
            <a:endParaRPr lang="en-US"/>
          </a:p>
        </c:txPr>
        <c:crossAx val="1707186768"/>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0" i="0" u="none" strike="noStrike" baseline="0">
                <a:solidFill>
                  <a:srgbClr val="000000"/>
                </a:solidFill>
                <a:latin typeface="MathSoftText"/>
                <a:ea typeface="MathSoftText"/>
                <a:cs typeface="MathSoftText"/>
              </a:defRPr>
            </a:pPr>
            <a:r>
              <a:rPr lang="en-US"/>
              <a:t>lens 17 pulse count vs peak current</a:t>
            </a:r>
          </a:p>
        </c:rich>
      </c:tx>
      <c:layout>
        <c:manualLayout>
          <c:xMode val="edge"/>
          <c:yMode val="edge"/>
          <c:x val="0.30288574994793954"/>
          <c:y val="4.7245840009049876E-2"/>
        </c:manualLayout>
      </c:layout>
      <c:overlay val="0"/>
      <c:spPr>
        <a:noFill/>
        <a:ln w="25400">
          <a:noFill/>
        </a:ln>
      </c:spPr>
    </c:title>
    <c:autoTitleDeleted val="0"/>
    <c:plotArea>
      <c:layout>
        <c:manualLayout>
          <c:layoutTarget val="inner"/>
          <c:xMode val="edge"/>
          <c:yMode val="edge"/>
          <c:x val="0.12183113964386395"/>
          <c:y val="0.2519778133815993"/>
          <c:w val="0.84943377918360707"/>
          <c:h val="0.55907577344042358"/>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17'!$D$35:$D$41</c:f>
              <c:numCache>
                <c:formatCode>General</c:formatCode>
                <c:ptCount val="7"/>
                <c:pt idx="0">
                  <c:v>390376.33191765135</c:v>
                </c:pt>
                <c:pt idx="1">
                  <c:v>432661.39513647155</c:v>
                </c:pt>
                <c:pt idx="2">
                  <c:v>469971.74503543024</c:v>
                </c:pt>
                <c:pt idx="3">
                  <c:v>482408.52833508328</c:v>
                </c:pt>
                <c:pt idx="4">
                  <c:v>519718.87823404215</c:v>
                </c:pt>
                <c:pt idx="5">
                  <c:v>569466.01143265399</c:v>
                </c:pt>
                <c:pt idx="6">
                  <c:v>609263.71799154358</c:v>
                </c:pt>
              </c:numCache>
            </c:numRef>
          </c:cat>
          <c:val>
            <c:numRef>
              <c:f>'Lens 17'!$A$35:$A$41</c:f>
              <c:numCache>
                <c:formatCode>General</c:formatCode>
                <c:ptCount val="7"/>
                <c:pt idx="0">
                  <c:v>280000</c:v>
                </c:pt>
                <c:pt idx="1">
                  <c:v>95500</c:v>
                </c:pt>
                <c:pt idx="2">
                  <c:v>156400</c:v>
                </c:pt>
                <c:pt idx="3">
                  <c:v>114350</c:v>
                </c:pt>
                <c:pt idx="4">
                  <c:v>23789</c:v>
                </c:pt>
                <c:pt idx="5">
                  <c:v>1311</c:v>
                </c:pt>
                <c:pt idx="6">
                  <c:v>459850</c:v>
                </c:pt>
              </c:numCache>
            </c:numRef>
          </c:val>
          <c:extLst>
            <c:ext xmlns:c16="http://schemas.microsoft.com/office/drawing/2014/chart" uri="{C3380CC4-5D6E-409C-BE32-E72D297353CC}">
              <c16:uniqueId val="{00000000-6857-4901-96CD-A23F1C8832EB}"/>
            </c:ext>
          </c:extLst>
        </c:ser>
        <c:dLbls>
          <c:showLegendKey val="0"/>
          <c:showVal val="0"/>
          <c:showCatName val="0"/>
          <c:showSerName val="0"/>
          <c:showPercent val="0"/>
          <c:showBubbleSize val="0"/>
        </c:dLbls>
        <c:gapWidth val="150"/>
        <c:axId val="1707187248"/>
        <c:axId val="1"/>
      </c:barChart>
      <c:catAx>
        <c:axId val="1707187248"/>
        <c:scaling>
          <c:orientation val="minMax"/>
        </c:scaling>
        <c:delete val="0"/>
        <c:axPos val="b"/>
        <c:numFmt formatCode="0" sourceLinked="0"/>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500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707187248"/>
        <c:crosses val="autoZero"/>
        <c:crossBetween val="between"/>
        <c:majorUnit val="100000"/>
        <c:minorUnit val="50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MathSoftText"/>
                <a:ea typeface="MathSoftText"/>
                <a:cs typeface="MathSoftText"/>
              </a:defRPr>
            </a:pPr>
            <a:r>
              <a:rPr lang="en-US"/>
              <a:t>lens 17 pulse count vs peak current</a:t>
            </a:r>
          </a:p>
        </c:rich>
      </c:tx>
      <c:layout>
        <c:manualLayout>
          <c:xMode val="edge"/>
          <c:yMode val="edge"/>
          <c:x val="0.29595952068519488"/>
          <c:y val="4.5140309510964795E-2"/>
        </c:manualLayout>
      </c:layout>
      <c:overlay val="0"/>
      <c:spPr>
        <a:noFill/>
        <a:ln w="25400">
          <a:noFill/>
        </a:ln>
      </c:spPr>
    </c:title>
    <c:autoTitleDeleted val="0"/>
    <c:plotArea>
      <c:layout>
        <c:manualLayout>
          <c:layoutTarget val="inner"/>
          <c:xMode val="edge"/>
          <c:yMode val="edge"/>
          <c:x val="0.12149917164971159"/>
          <c:y val="0.24653553655988464"/>
          <c:w val="0.81155215935256075"/>
          <c:h val="0.5833516921416988"/>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17'!$D$35:$D$41</c:f>
              <c:numCache>
                <c:formatCode>General</c:formatCode>
                <c:ptCount val="7"/>
                <c:pt idx="0">
                  <c:v>390376.33191765135</c:v>
                </c:pt>
                <c:pt idx="1">
                  <c:v>432661.39513647155</c:v>
                </c:pt>
                <c:pt idx="2">
                  <c:v>469971.74503543024</c:v>
                </c:pt>
                <c:pt idx="3">
                  <c:v>482408.52833508328</c:v>
                </c:pt>
                <c:pt idx="4">
                  <c:v>519718.87823404215</c:v>
                </c:pt>
                <c:pt idx="5">
                  <c:v>569466.01143265399</c:v>
                </c:pt>
                <c:pt idx="6">
                  <c:v>609263.71799154358</c:v>
                </c:pt>
              </c:numCache>
            </c:numRef>
          </c:xVal>
          <c:yVal>
            <c:numRef>
              <c:f>'Lens 17'!$A$35:$A$41</c:f>
              <c:numCache>
                <c:formatCode>General</c:formatCode>
                <c:ptCount val="7"/>
                <c:pt idx="0">
                  <c:v>280000</c:v>
                </c:pt>
                <c:pt idx="1">
                  <c:v>95500</c:v>
                </c:pt>
                <c:pt idx="2">
                  <c:v>156400</c:v>
                </c:pt>
                <c:pt idx="3">
                  <c:v>114350</c:v>
                </c:pt>
                <c:pt idx="4">
                  <c:v>23789</c:v>
                </c:pt>
                <c:pt idx="5">
                  <c:v>1311</c:v>
                </c:pt>
                <c:pt idx="6">
                  <c:v>459850</c:v>
                </c:pt>
              </c:numCache>
            </c:numRef>
          </c:yVal>
          <c:smooth val="0"/>
          <c:extLst>
            <c:ext xmlns:c16="http://schemas.microsoft.com/office/drawing/2014/chart" uri="{C3380CC4-5D6E-409C-BE32-E72D297353CC}">
              <c16:uniqueId val="{00000000-67E8-45BE-B9AA-415C61BA9670}"/>
            </c:ext>
          </c:extLst>
        </c:ser>
        <c:dLbls>
          <c:showLegendKey val="0"/>
          <c:showVal val="0"/>
          <c:showCatName val="0"/>
          <c:showSerName val="0"/>
          <c:showPercent val="0"/>
          <c:showBubbleSize val="0"/>
        </c:dLbls>
        <c:axId val="1564269440"/>
        <c:axId val="1"/>
      </c:scatterChart>
      <c:valAx>
        <c:axId val="1564269440"/>
        <c:scaling>
          <c:orientation val="minMax"/>
          <c:max val="700000"/>
          <c:min val="200000"/>
        </c:scaling>
        <c:delete val="0"/>
        <c:axPos val="b"/>
        <c:numFmt formatCode="0" sourceLinked="0"/>
        <c:majorTickMark val="out"/>
        <c:minorTickMark val="none"/>
        <c:tickLblPos val="nextTo"/>
        <c:spPr>
          <a:ln w="3175">
            <a:solidFill>
              <a:srgbClr val="99CC00"/>
            </a:solidFill>
            <a:prstDash val="solid"/>
          </a:ln>
        </c:spPr>
        <c:txPr>
          <a:bodyPr rot="0" vert="horz"/>
          <a:lstStyle/>
          <a:p>
            <a:pPr>
              <a:defRPr sz="825" b="0" i="0" u="none" strike="noStrike" baseline="0">
                <a:solidFill>
                  <a:srgbClr val="000000"/>
                </a:solidFill>
                <a:latin typeface="MathSoftText"/>
                <a:ea typeface="MathSoftText"/>
                <a:cs typeface="MathSoftText"/>
              </a:defRPr>
            </a:pPr>
            <a:endParaRPr lang="en-US"/>
          </a:p>
        </c:txPr>
        <c:crossAx val="1"/>
        <c:crosses val="autoZero"/>
        <c:crossBetween val="midCat"/>
        <c:majorUnit val="100000"/>
        <c:minorUnit val="20000"/>
      </c:valAx>
      <c:valAx>
        <c:axId val="1"/>
        <c:scaling>
          <c:orientation val="minMax"/>
          <c:max val="500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825" b="0" i="0" u="none" strike="noStrike" baseline="0">
                <a:solidFill>
                  <a:srgbClr val="000000"/>
                </a:solidFill>
                <a:latin typeface="MathSoftText"/>
                <a:ea typeface="MathSoftText"/>
                <a:cs typeface="MathSoftText"/>
              </a:defRPr>
            </a:pPr>
            <a:endParaRPr lang="en-US"/>
          </a:p>
        </c:txPr>
        <c:crossAx val="1564269440"/>
        <c:crosses val="autoZero"/>
        <c:crossBetween val="midCat"/>
        <c:majorUnit val="100000"/>
        <c:minorUnit val="50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17 Rogowski and Bdot vs Pot</a:t>
            </a:r>
          </a:p>
        </c:rich>
      </c:tx>
      <c:layout>
        <c:manualLayout>
          <c:xMode val="edge"/>
          <c:yMode val="edge"/>
          <c:x val="0.24088378676715672"/>
          <c:y val="3.8691689180772169E-2"/>
        </c:manualLayout>
      </c:layout>
      <c:overlay val="0"/>
      <c:spPr>
        <a:noFill/>
        <a:ln w="25400">
          <a:noFill/>
        </a:ln>
      </c:spPr>
    </c:title>
    <c:autoTitleDeleted val="0"/>
    <c:plotArea>
      <c:layout>
        <c:manualLayout>
          <c:layoutTarget val="inner"/>
          <c:xMode val="edge"/>
          <c:yMode val="edge"/>
          <c:x val="0.17518820855793218"/>
          <c:y val="0.25298412156658728"/>
          <c:w val="0.40512273229021817"/>
          <c:h val="0.47918168908494757"/>
        </c:manualLayout>
      </c:layout>
      <c:scatterChart>
        <c:scatterStyle val="lineMarker"/>
        <c:varyColors val="0"/>
        <c:ser>
          <c:idx val="1"/>
          <c:order val="1"/>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69162844836933635"/>
                  <c:y val="0.65775871607312675"/>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17'!$A$7:$A$30</c:f>
              <c:numCache>
                <c:formatCode>General</c:formatCode>
                <c:ptCount val="24"/>
                <c:pt idx="0">
                  <c:v>2.75</c:v>
                </c:pt>
                <c:pt idx="1">
                  <c:v>2.75</c:v>
                </c:pt>
                <c:pt idx="2">
                  <c:v>3.75</c:v>
                </c:pt>
                <c:pt idx="3">
                  <c:v>3.75</c:v>
                </c:pt>
                <c:pt idx="4">
                  <c:v>4.5</c:v>
                </c:pt>
                <c:pt idx="5">
                  <c:v>4.5</c:v>
                </c:pt>
                <c:pt idx="6">
                  <c:v>3.75</c:v>
                </c:pt>
                <c:pt idx="7">
                  <c:v>3.75</c:v>
                </c:pt>
                <c:pt idx="8">
                  <c:v>1.9</c:v>
                </c:pt>
                <c:pt idx="9">
                  <c:v>1.9</c:v>
                </c:pt>
                <c:pt idx="10">
                  <c:v>2.75</c:v>
                </c:pt>
                <c:pt idx="11">
                  <c:v>2.75</c:v>
                </c:pt>
                <c:pt idx="12">
                  <c:v>3.5</c:v>
                </c:pt>
                <c:pt idx="13">
                  <c:v>3.5</c:v>
                </c:pt>
                <c:pt idx="14">
                  <c:v>3.75</c:v>
                </c:pt>
                <c:pt idx="15">
                  <c:v>3.75</c:v>
                </c:pt>
                <c:pt idx="16">
                  <c:v>4.5</c:v>
                </c:pt>
                <c:pt idx="17">
                  <c:v>4.5</c:v>
                </c:pt>
                <c:pt idx="18">
                  <c:v>5.5</c:v>
                </c:pt>
                <c:pt idx="19">
                  <c:v>5.5</c:v>
                </c:pt>
                <c:pt idx="20">
                  <c:v>6.3</c:v>
                </c:pt>
                <c:pt idx="21">
                  <c:v>6.3</c:v>
                </c:pt>
                <c:pt idx="22">
                  <c:v>6.3</c:v>
                </c:pt>
                <c:pt idx="23">
                  <c:v>6.3</c:v>
                </c:pt>
              </c:numCache>
            </c:numRef>
          </c:xVal>
          <c:yVal>
            <c:numRef>
              <c:f>'Lens 17'!$D$7:$D$30</c:f>
              <c:numCache>
                <c:formatCode>0.00</c:formatCode>
                <c:ptCount val="24"/>
                <c:pt idx="0">
                  <c:v>4.0199999999999996</c:v>
                </c:pt>
                <c:pt idx="1">
                  <c:v>3.99</c:v>
                </c:pt>
                <c:pt idx="2">
                  <c:v>4.4400000000000004</c:v>
                </c:pt>
                <c:pt idx="3">
                  <c:v>4.42</c:v>
                </c:pt>
                <c:pt idx="4">
                  <c:v>4.75</c:v>
                </c:pt>
                <c:pt idx="5">
                  <c:v>4.75</c:v>
                </c:pt>
                <c:pt idx="6">
                  <c:v>4.4400000000000004</c:v>
                </c:pt>
                <c:pt idx="7" formatCode="General">
                  <c:v>4.42</c:v>
                </c:pt>
                <c:pt idx="8" formatCode="General">
                  <c:v>4.2</c:v>
                </c:pt>
                <c:pt idx="9" formatCode="General">
                  <c:v>4.2</c:v>
                </c:pt>
                <c:pt idx="10" formatCode="General">
                  <c:v>4.57</c:v>
                </c:pt>
                <c:pt idx="11" formatCode="General">
                  <c:v>4.57</c:v>
                </c:pt>
                <c:pt idx="12" formatCode="General">
                  <c:v>5.04</c:v>
                </c:pt>
                <c:pt idx="13" formatCode="General">
                  <c:v>5.04</c:v>
                </c:pt>
                <c:pt idx="14" formatCode="General">
                  <c:v>4.57</c:v>
                </c:pt>
                <c:pt idx="15" formatCode="General">
                  <c:v>4.57</c:v>
                </c:pt>
                <c:pt idx="16" formatCode="General">
                  <c:v>5.0999999999999996</c:v>
                </c:pt>
                <c:pt idx="17" formatCode="General">
                  <c:v>5.0999999999999996</c:v>
                </c:pt>
                <c:pt idx="18" formatCode="General">
                  <c:v>5.34</c:v>
                </c:pt>
                <c:pt idx="19" formatCode="General">
                  <c:v>5.34</c:v>
                </c:pt>
                <c:pt idx="20" formatCode="General">
                  <c:v>5.72</c:v>
                </c:pt>
                <c:pt idx="21" formatCode="General">
                  <c:v>5.72</c:v>
                </c:pt>
                <c:pt idx="22" formatCode="General">
                  <c:v>5.72</c:v>
                </c:pt>
                <c:pt idx="23" formatCode="General">
                  <c:v>5.72</c:v>
                </c:pt>
              </c:numCache>
            </c:numRef>
          </c:yVal>
          <c:smooth val="0"/>
          <c:extLst>
            <c:ext xmlns:c16="http://schemas.microsoft.com/office/drawing/2014/chart" uri="{C3380CC4-5D6E-409C-BE32-E72D297353CC}">
              <c16:uniqueId val="{00000001-92B0-4951-A5AD-1BFCB940F44D}"/>
            </c:ext>
          </c:extLst>
        </c:ser>
        <c:dLbls>
          <c:showLegendKey val="0"/>
          <c:showVal val="0"/>
          <c:showCatName val="0"/>
          <c:showSerName val="0"/>
          <c:showPercent val="0"/>
          <c:showBubbleSize val="0"/>
        </c:dLbls>
        <c:axId val="1564266464"/>
        <c:axId val="1"/>
      </c:scatterChart>
      <c:scatterChart>
        <c:scatterStyle val="lineMarker"/>
        <c:varyColors val="0"/>
        <c:ser>
          <c:idx val="0"/>
          <c:order val="0"/>
          <c:tx>
            <c:v>rog vs pot</c:v>
          </c:tx>
          <c:spPr>
            <a:ln w="19050">
              <a:noFill/>
            </a:ln>
          </c:spPr>
          <c:marker>
            <c:symbol val="diamond"/>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Mode val="edge"/>
                  <c:yMode val="edge"/>
                  <c:x val="0.70075283423172852"/>
                  <c:y val="0.84228831062757858"/>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17'!$A$7:$A$30</c:f>
              <c:numCache>
                <c:formatCode>General</c:formatCode>
                <c:ptCount val="24"/>
                <c:pt idx="0">
                  <c:v>2.75</c:v>
                </c:pt>
                <c:pt idx="1">
                  <c:v>2.75</c:v>
                </c:pt>
                <c:pt idx="2">
                  <c:v>3.75</c:v>
                </c:pt>
                <c:pt idx="3">
                  <c:v>3.75</c:v>
                </c:pt>
                <c:pt idx="4">
                  <c:v>4.5</c:v>
                </c:pt>
                <c:pt idx="5">
                  <c:v>4.5</c:v>
                </c:pt>
                <c:pt idx="6">
                  <c:v>3.75</c:v>
                </c:pt>
                <c:pt idx="7">
                  <c:v>3.75</c:v>
                </c:pt>
                <c:pt idx="8">
                  <c:v>1.9</c:v>
                </c:pt>
                <c:pt idx="9">
                  <c:v>1.9</c:v>
                </c:pt>
                <c:pt idx="10">
                  <c:v>2.75</c:v>
                </c:pt>
                <c:pt idx="11">
                  <c:v>2.75</c:v>
                </c:pt>
                <c:pt idx="12">
                  <c:v>3.5</c:v>
                </c:pt>
                <c:pt idx="13">
                  <c:v>3.5</c:v>
                </c:pt>
                <c:pt idx="14">
                  <c:v>3.75</c:v>
                </c:pt>
                <c:pt idx="15">
                  <c:v>3.75</c:v>
                </c:pt>
                <c:pt idx="16">
                  <c:v>4.5</c:v>
                </c:pt>
                <c:pt idx="17">
                  <c:v>4.5</c:v>
                </c:pt>
                <c:pt idx="18">
                  <c:v>5.5</c:v>
                </c:pt>
                <c:pt idx="19">
                  <c:v>5.5</c:v>
                </c:pt>
                <c:pt idx="20">
                  <c:v>6.3</c:v>
                </c:pt>
                <c:pt idx="21">
                  <c:v>6.3</c:v>
                </c:pt>
                <c:pt idx="22">
                  <c:v>6.3</c:v>
                </c:pt>
                <c:pt idx="23">
                  <c:v>6.3</c:v>
                </c:pt>
              </c:numCache>
            </c:numRef>
          </c:xVal>
          <c:yVal>
            <c:numRef>
              <c:f>'Lens 17'!$C$7:$C$30</c:f>
              <c:numCache>
                <c:formatCode>0.00</c:formatCode>
                <c:ptCount val="24"/>
                <c:pt idx="0">
                  <c:v>0.48</c:v>
                </c:pt>
                <c:pt idx="1">
                  <c:v>0.48399999999999999</c:v>
                </c:pt>
                <c:pt idx="2">
                  <c:v>0.54400000000000004</c:v>
                </c:pt>
                <c:pt idx="3">
                  <c:v>0.54400000000000004</c:v>
                </c:pt>
                <c:pt idx="4">
                  <c:v>0.57799999999999996</c:v>
                </c:pt>
                <c:pt idx="5">
                  <c:v>0.57799999999999996</c:v>
                </c:pt>
                <c:pt idx="6">
                  <c:v>0.54400000000000004</c:v>
                </c:pt>
                <c:pt idx="7">
                  <c:v>0.53600000000000003</c:v>
                </c:pt>
                <c:pt idx="8">
                  <c:v>0.52</c:v>
                </c:pt>
                <c:pt idx="9">
                  <c:v>0.52</c:v>
                </c:pt>
                <c:pt idx="10">
                  <c:v>0.56399999999999995</c:v>
                </c:pt>
                <c:pt idx="11">
                  <c:v>0.56399999999999995</c:v>
                </c:pt>
                <c:pt idx="12">
                  <c:v>0.61</c:v>
                </c:pt>
                <c:pt idx="13">
                  <c:v>0.61</c:v>
                </c:pt>
                <c:pt idx="14">
                  <c:v>0.54600000000000004</c:v>
                </c:pt>
                <c:pt idx="15">
                  <c:v>0.54600000000000004</c:v>
                </c:pt>
                <c:pt idx="16">
                  <c:v>0.6</c:v>
                </c:pt>
                <c:pt idx="17">
                  <c:v>0.6</c:v>
                </c:pt>
                <c:pt idx="18">
                  <c:v>0.63500000000000001</c:v>
                </c:pt>
                <c:pt idx="19">
                  <c:v>0.63500000000000001</c:v>
                </c:pt>
                <c:pt idx="20">
                  <c:v>0.67900000000000005</c:v>
                </c:pt>
                <c:pt idx="21">
                  <c:v>0.67900000000000005</c:v>
                </c:pt>
                <c:pt idx="22">
                  <c:v>0.67900000000000005</c:v>
                </c:pt>
                <c:pt idx="23">
                  <c:v>0.67900000000000005</c:v>
                </c:pt>
              </c:numCache>
            </c:numRef>
          </c:yVal>
          <c:smooth val="0"/>
          <c:extLst>
            <c:ext xmlns:c16="http://schemas.microsoft.com/office/drawing/2014/chart" uri="{C3380CC4-5D6E-409C-BE32-E72D297353CC}">
              <c16:uniqueId val="{00000003-92B0-4951-A5AD-1BFCB940F44D}"/>
            </c:ext>
          </c:extLst>
        </c:ser>
        <c:dLbls>
          <c:showLegendKey val="0"/>
          <c:showVal val="0"/>
          <c:showCatName val="0"/>
          <c:showSerName val="0"/>
          <c:showPercent val="0"/>
          <c:showBubbleSize val="0"/>
        </c:dLbls>
        <c:axId val="3"/>
        <c:axId val="4"/>
      </c:scatterChart>
      <c:valAx>
        <c:axId val="1564266464"/>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1387887366629513"/>
              <c:y val="0.83633574306130587"/>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2921438001875334E-2"/>
              <c:y val="0.37798804045831269"/>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564266464"/>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3"/>
        <c:crosses val="max"/>
        <c:crossBetween val="midCat"/>
      </c:valAx>
      <c:spPr>
        <a:noFill/>
        <a:ln w="12700">
          <a:solidFill>
            <a:srgbClr val="99CC00"/>
          </a:solidFill>
          <a:prstDash val="solid"/>
        </a:ln>
      </c:spPr>
    </c:plotArea>
    <c:legend>
      <c:legendPos val="r"/>
      <c:layout>
        <c:manualLayout>
          <c:xMode val="edge"/>
          <c:yMode val="edge"/>
          <c:x val="0.67337967664455167"/>
          <c:y val="0.19643472968699716"/>
          <c:w val="0.30657936497638127"/>
          <c:h val="0.2767943918316778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17 Rogowski vs Bdot</a:t>
            </a:r>
          </a:p>
        </c:rich>
      </c:tx>
      <c:layout>
        <c:manualLayout>
          <c:xMode val="edge"/>
          <c:yMode val="edge"/>
          <c:x val="0.30165506851254564"/>
          <c:y val="4.1271226051092146E-2"/>
        </c:manualLayout>
      </c:layout>
      <c:overlay val="0"/>
      <c:spPr>
        <a:noFill/>
        <a:ln w="25400">
          <a:noFill/>
        </a:ln>
      </c:spPr>
    </c:title>
    <c:autoTitleDeleted val="0"/>
    <c:plotArea>
      <c:layout>
        <c:manualLayout>
          <c:layoutTarget val="inner"/>
          <c:xMode val="edge"/>
          <c:yMode val="edge"/>
          <c:x val="0.15722627813381168"/>
          <c:y val="0.23175380782536359"/>
          <c:w val="0.78247496559617902"/>
          <c:h val="0.52065239018300857"/>
        </c:manualLayout>
      </c:layout>
      <c:scatterChart>
        <c:scatterStyle val="lineMarker"/>
        <c:varyColors val="0"/>
        <c:ser>
          <c:idx val="0"/>
          <c:order val="0"/>
          <c:spPr>
            <a:ln w="19050">
              <a:noFill/>
            </a:ln>
          </c:spPr>
          <c:marker>
            <c:symbol val="diamond"/>
            <c:size val="5"/>
            <c:spPr>
              <a:solidFill>
                <a:srgbClr val="FF0000"/>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Mode val="edge"/>
                  <c:yMode val="edge"/>
                  <c:x val="0.73311322711230775"/>
                  <c:y val="2.2222967873665001E-2"/>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17'!$D$7:$D$30</c:f>
              <c:numCache>
                <c:formatCode>0.00</c:formatCode>
                <c:ptCount val="24"/>
                <c:pt idx="0">
                  <c:v>4.0199999999999996</c:v>
                </c:pt>
                <c:pt idx="1">
                  <c:v>3.99</c:v>
                </c:pt>
                <c:pt idx="2">
                  <c:v>4.4400000000000004</c:v>
                </c:pt>
                <c:pt idx="3">
                  <c:v>4.42</c:v>
                </c:pt>
                <c:pt idx="4">
                  <c:v>4.75</c:v>
                </c:pt>
                <c:pt idx="5">
                  <c:v>4.75</c:v>
                </c:pt>
                <c:pt idx="6">
                  <c:v>4.4400000000000004</c:v>
                </c:pt>
                <c:pt idx="7" formatCode="General">
                  <c:v>4.42</c:v>
                </c:pt>
                <c:pt idx="8" formatCode="General">
                  <c:v>4.2</c:v>
                </c:pt>
                <c:pt idx="9" formatCode="General">
                  <c:v>4.2</c:v>
                </c:pt>
                <c:pt idx="10" formatCode="General">
                  <c:v>4.57</c:v>
                </c:pt>
                <c:pt idx="11" formatCode="General">
                  <c:v>4.57</c:v>
                </c:pt>
                <c:pt idx="12" formatCode="General">
                  <c:v>5.04</c:v>
                </c:pt>
                <c:pt idx="13" formatCode="General">
                  <c:v>5.04</c:v>
                </c:pt>
                <c:pt idx="14" formatCode="General">
                  <c:v>4.57</c:v>
                </c:pt>
                <c:pt idx="15" formatCode="General">
                  <c:v>4.57</c:v>
                </c:pt>
                <c:pt idx="16" formatCode="General">
                  <c:v>5.0999999999999996</c:v>
                </c:pt>
                <c:pt idx="17" formatCode="General">
                  <c:v>5.0999999999999996</c:v>
                </c:pt>
                <c:pt idx="18" formatCode="General">
                  <c:v>5.34</c:v>
                </c:pt>
                <c:pt idx="19" formatCode="General">
                  <c:v>5.34</c:v>
                </c:pt>
                <c:pt idx="20" formatCode="General">
                  <c:v>5.72</c:v>
                </c:pt>
                <c:pt idx="21" formatCode="General">
                  <c:v>5.72</c:v>
                </c:pt>
                <c:pt idx="22" formatCode="General">
                  <c:v>5.72</c:v>
                </c:pt>
                <c:pt idx="23" formatCode="General">
                  <c:v>5.72</c:v>
                </c:pt>
              </c:numCache>
            </c:numRef>
          </c:xVal>
          <c:yVal>
            <c:numRef>
              <c:f>'Lens 17'!$C$7:$C$30</c:f>
              <c:numCache>
                <c:formatCode>0.00</c:formatCode>
                <c:ptCount val="24"/>
                <c:pt idx="0">
                  <c:v>0.48</c:v>
                </c:pt>
                <c:pt idx="1">
                  <c:v>0.48399999999999999</c:v>
                </c:pt>
                <c:pt idx="2">
                  <c:v>0.54400000000000004</c:v>
                </c:pt>
                <c:pt idx="3">
                  <c:v>0.54400000000000004</c:v>
                </c:pt>
                <c:pt idx="4">
                  <c:v>0.57799999999999996</c:v>
                </c:pt>
                <c:pt idx="5">
                  <c:v>0.57799999999999996</c:v>
                </c:pt>
                <c:pt idx="6">
                  <c:v>0.54400000000000004</c:v>
                </c:pt>
                <c:pt idx="7">
                  <c:v>0.53600000000000003</c:v>
                </c:pt>
                <c:pt idx="8">
                  <c:v>0.52</c:v>
                </c:pt>
                <c:pt idx="9">
                  <c:v>0.52</c:v>
                </c:pt>
                <c:pt idx="10">
                  <c:v>0.56399999999999995</c:v>
                </c:pt>
                <c:pt idx="11">
                  <c:v>0.56399999999999995</c:v>
                </c:pt>
                <c:pt idx="12">
                  <c:v>0.61</c:v>
                </c:pt>
                <c:pt idx="13">
                  <c:v>0.61</c:v>
                </c:pt>
                <c:pt idx="14">
                  <c:v>0.54600000000000004</c:v>
                </c:pt>
                <c:pt idx="15">
                  <c:v>0.54600000000000004</c:v>
                </c:pt>
                <c:pt idx="16">
                  <c:v>0.6</c:v>
                </c:pt>
                <c:pt idx="17">
                  <c:v>0.6</c:v>
                </c:pt>
                <c:pt idx="18">
                  <c:v>0.63500000000000001</c:v>
                </c:pt>
                <c:pt idx="19">
                  <c:v>0.63500000000000001</c:v>
                </c:pt>
                <c:pt idx="20">
                  <c:v>0.67900000000000005</c:v>
                </c:pt>
                <c:pt idx="21">
                  <c:v>0.67900000000000005</c:v>
                </c:pt>
                <c:pt idx="22">
                  <c:v>0.67900000000000005</c:v>
                </c:pt>
                <c:pt idx="23">
                  <c:v>0.67900000000000005</c:v>
                </c:pt>
              </c:numCache>
            </c:numRef>
          </c:yVal>
          <c:smooth val="0"/>
          <c:extLst>
            <c:ext xmlns:c16="http://schemas.microsoft.com/office/drawing/2014/chart" uri="{C3380CC4-5D6E-409C-BE32-E72D297353CC}">
              <c16:uniqueId val="{00000001-EA6C-4B62-B9BB-3CAA4D6D5C06}"/>
            </c:ext>
          </c:extLst>
        </c:ser>
        <c:dLbls>
          <c:showLegendKey val="0"/>
          <c:showVal val="0"/>
          <c:showCatName val="0"/>
          <c:showSerName val="0"/>
          <c:showPercent val="0"/>
          <c:showBubbleSize val="0"/>
        </c:dLbls>
        <c:axId val="1707957648"/>
        <c:axId val="1"/>
      </c:scatterChart>
      <c:valAx>
        <c:axId val="1707957648"/>
        <c:scaling>
          <c:orientation val="minMax"/>
          <c:min val="4"/>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0.47716347201075399"/>
              <c:y val="0.86352103737669705"/>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minorUnit val="0.1"/>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Rogowski (volts)</a:t>
                </a:r>
              </a:p>
            </c:rich>
          </c:tx>
          <c:layout>
            <c:manualLayout>
              <c:xMode val="edge"/>
              <c:yMode val="edge"/>
              <c:x val="3.4736038192353741E-2"/>
              <c:y val="0.31429625992754789"/>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707957648"/>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911951196338936E-2"/>
          <c:y val="6.1226465743167785E-2"/>
          <c:w val="0.64417611133405872"/>
          <c:h val="0.83305100359643425"/>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Mode val="edge"/>
                  <c:yMode val="edge"/>
                  <c:x val="0.72210064093092063"/>
                  <c:y val="8.1635287657557051E-2"/>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'Coil slope intercepts'!$B$54:$B$64</c:f>
              <c:numCache>
                <c:formatCode>General</c:formatCode>
                <c:ptCount val="11"/>
                <c:pt idx="0">
                  <c:v>599.29999999999995</c:v>
                </c:pt>
                <c:pt idx="1">
                  <c:v>609.29999999999995</c:v>
                </c:pt>
                <c:pt idx="2">
                  <c:v>606.79999999999995</c:v>
                </c:pt>
                <c:pt idx="3">
                  <c:v>626.70000000000005</c:v>
                </c:pt>
                <c:pt idx="4">
                  <c:v>626.70000000000005</c:v>
                </c:pt>
                <c:pt idx="5">
                  <c:v>554.5</c:v>
                </c:pt>
                <c:pt idx="6">
                  <c:v>519.70000000000005</c:v>
                </c:pt>
                <c:pt idx="7">
                  <c:v>552.1</c:v>
                </c:pt>
                <c:pt idx="8">
                  <c:v>527.20000000000005</c:v>
                </c:pt>
                <c:pt idx="9">
                  <c:v>611.79999999999995</c:v>
                </c:pt>
                <c:pt idx="10">
                  <c:v>569.5</c:v>
                </c:pt>
              </c:numCache>
            </c:numRef>
          </c:xVal>
          <c:yVal>
            <c:numRef>
              <c:f>'Coil slope intercepts'!$C$54:$C$64</c:f>
              <c:numCache>
                <c:formatCode>General</c:formatCode>
                <c:ptCount val="11"/>
                <c:pt idx="0">
                  <c:v>936</c:v>
                </c:pt>
                <c:pt idx="1">
                  <c:v>952</c:v>
                </c:pt>
                <c:pt idx="2">
                  <c:v>948</c:v>
                </c:pt>
                <c:pt idx="3">
                  <c:v>979</c:v>
                </c:pt>
                <c:pt idx="4">
                  <c:v>979</c:v>
                </c:pt>
                <c:pt idx="5">
                  <c:v>866</c:v>
                </c:pt>
                <c:pt idx="6">
                  <c:v>812</c:v>
                </c:pt>
                <c:pt idx="7">
                  <c:v>863</c:v>
                </c:pt>
                <c:pt idx="8">
                  <c:v>824</c:v>
                </c:pt>
                <c:pt idx="9">
                  <c:v>956</c:v>
                </c:pt>
                <c:pt idx="10">
                  <c:v>890</c:v>
                </c:pt>
              </c:numCache>
            </c:numRef>
          </c:yVal>
          <c:smooth val="0"/>
          <c:extLst>
            <c:ext xmlns:c16="http://schemas.microsoft.com/office/drawing/2014/chart" uri="{C3380CC4-5D6E-409C-BE32-E72D297353CC}">
              <c16:uniqueId val="{00000001-3697-4A97-B753-BD9A38AB16B9}"/>
            </c:ext>
          </c:extLst>
        </c:ser>
        <c:dLbls>
          <c:showLegendKey val="0"/>
          <c:showVal val="0"/>
          <c:showCatName val="0"/>
          <c:showSerName val="0"/>
          <c:showPercent val="0"/>
          <c:showBubbleSize val="0"/>
        </c:dLbls>
        <c:axId val="1711431696"/>
        <c:axId val="1"/>
      </c:scatterChart>
      <c:valAx>
        <c:axId val="1711431696"/>
        <c:scaling>
          <c:orientation val="minMax"/>
          <c:max val="650"/>
          <c:min val="50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majorUnit val="50"/>
        <c:minorUnit val="10"/>
      </c:val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11431696"/>
        <c:crosses val="autoZero"/>
        <c:crossBetween val="midCat"/>
      </c:valAx>
      <c:spPr>
        <a:solidFill>
          <a:srgbClr val="C0C0C0"/>
        </a:solidFill>
        <a:ln w="12700">
          <a:solidFill>
            <a:srgbClr val="808080"/>
          </a:solidFill>
          <a:prstDash val="solid"/>
        </a:ln>
      </c:spPr>
    </c:plotArea>
    <c:legend>
      <c:legendPos val="r"/>
      <c:layout>
        <c:manualLayout>
          <c:xMode val="edge"/>
          <c:yMode val="edge"/>
          <c:x val="0.77275158516888087"/>
          <c:y val="0.4304406076489371"/>
          <c:w val="0.21429245639137032"/>
          <c:h val="9.4622719784895656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MathSoftText"/>
                <a:ea typeface="MathSoftText"/>
                <a:cs typeface="MathSoftText"/>
              </a:defRPr>
            </a:pPr>
            <a:r>
              <a:rPr lang="en-US"/>
              <a:t>lens 17 pulse count vs gradient</a:t>
            </a:r>
          </a:p>
        </c:rich>
      </c:tx>
      <c:layout>
        <c:manualLayout>
          <c:xMode val="edge"/>
          <c:yMode val="edge"/>
          <c:x val="0.31199663524393556"/>
          <c:y val="4.5140309510964795E-2"/>
        </c:manualLayout>
      </c:layout>
      <c:overlay val="0"/>
      <c:spPr>
        <a:noFill/>
        <a:ln w="25400">
          <a:noFill/>
        </a:ln>
      </c:spPr>
    </c:title>
    <c:autoTitleDeleted val="0"/>
    <c:plotArea>
      <c:layout>
        <c:manualLayout>
          <c:layoutTarget val="inner"/>
          <c:xMode val="edge"/>
          <c:yMode val="edge"/>
          <c:x val="0.18227171848461501"/>
          <c:y val="0.24653553655988464"/>
          <c:w val="0.78984411343333172"/>
          <c:h val="0.49654340462061269"/>
        </c:manualLayout>
      </c:layout>
      <c:barChart>
        <c:barDir val="col"/>
        <c:grouping val="clustered"/>
        <c:varyColors val="0"/>
        <c:ser>
          <c:idx val="0"/>
          <c:order val="0"/>
          <c:spPr>
            <a:solidFill>
              <a:srgbClr val="9999FF"/>
            </a:solidFill>
            <a:ln w="12700">
              <a:solidFill>
                <a:srgbClr val="000000"/>
              </a:solidFill>
              <a:prstDash val="solid"/>
            </a:ln>
          </c:spPr>
          <c:invertIfNegative val="0"/>
          <c:dLbls>
            <c:dLbl>
              <c:idx val="0"/>
              <c:layout>
                <c:manualLayout>
                  <c:xMode val="edge"/>
                  <c:yMode val="edge"/>
                  <c:x val="0.21839764467075493"/>
                  <c:y val="0.53821138263073409"/>
                </c:manualLayout>
              </c:layout>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01-4848-A229-C3F695295645}"/>
                </c:ext>
              </c:extLst>
            </c:dLbl>
            <c:dLbl>
              <c:idx val="1"/>
              <c:layout>
                <c:manualLayout>
                  <c:xMode val="edge"/>
                  <c:yMode val="edge"/>
                  <c:x val="0.33005959833700554"/>
                  <c:y val="0.55904537163579471"/>
                </c:manualLayout>
              </c:layout>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01-4848-A229-C3F695295645}"/>
                </c:ext>
              </c:extLst>
            </c:dLbl>
            <c:dLbl>
              <c:idx val="2"/>
              <c:layout>
                <c:manualLayout>
                  <c:xMode val="edge"/>
                  <c:yMode val="edge"/>
                  <c:x val="0.44336363955717156"/>
                  <c:y val="0.52779438812820367"/>
                </c:manualLayout>
              </c:layout>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01-4848-A229-C3F695295645}"/>
                </c:ext>
              </c:extLst>
            </c:dLbl>
            <c:dLbl>
              <c:idx val="3"/>
              <c:layout>
                <c:manualLayout>
                  <c:xMode val="edge"/>
                  <c:yMode val="edge"/>
                  <c:x val="0.55666768077733764"/>
                  <c:y val="0.5243220566273602"/>
                </c:manualLayout>
              </c:layout>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01-4848-A229-C3F695295645}"/>
                </c:ext>
              </c:extLst>
            </c:dLbl>
            <c:dLbl>
              <c:idx val="4"/>
              <c:layout>
                <c:manualLayout>
                  <c:xMode val="edge"/>
                  <c:yMode val="edge"/>
                  <c:x val="0.66997172199750377"/>
                  <c:y val="0.53821138263073409"/>
                </c:manualLayout>
              </c:layout>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01-4848-A229-C3F695295645}"/>
                </c:ext>
              </c:extLst>
            </c:dLbl>
            <c:dLbl>
              <c:idx val="5"/>
              <c:layout>
                <c:manualLayout>
                  <c:xMode val="edge"/>
                  <c:yMode val="edge"/>
                  <c:x val="0.7816336756637543"/>
                  <c:y val="0.59376868664422922"/>
                </c:manualLayout>
              </c:layout>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01-4848-A229-C3F695295645}"/>
                </c:ext>
              </c:extLst>
            </c:dLbl>
            <c:dLbl>
              <c:idx val="6"/>
              <c:layout>
                <c:manualLayout>
                  <c:xMode val="edge"/>
                  <c:yMode val="edge"/>
                  <c:x val="0.89493771688392043"/>
                  <c:y val="0.51737739362567337"/>
                </c:manualLayout>
              </c:layout>
              <c:spPr>
                <a:noFill/>
                <a:ln w="25400">
                  <a:noFill/>
                </a:ln>
              </c:spPr>
              <c:txPr>
                <a:bodyPr rot="-5400000" vert="horz"/>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01-4848-A229-C3F695295645}"/>
                </c:ext>
              </c:extLst>
            </c:dLbl>
            <c:spPr>
              <a:noFill/>
              <a:ln w="25400">
                <a:noFill/>
              </a:ln>
            </c:spPr>
            <c:txPr>
              <a:bodyPr rot="-5400000" vert="horz" wrap="square" lIns="38100" tIns="19050" rIns="38100" bIns="19050" anchor="ctr">
                <a:spAutoFit/>
              </a:bodyPr>
              <a:lstStyle/>
              <a:p>
                <a:pPr algn="ctr">
                  <a:defRPr sz="82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17'!$E$35:$E$41</c:f>
              <c:numCache>
                <c:formatCode>0</c:formatCode>
                <c:ptCount val="7"/>
                <c:pt idx="0">
                  <c:v>610.43400252515255</c:v>
                </c:pt>
                <c:pt idx="1">
                  <c:v>676.39024413386835</c:v>
                </c:pt>
                <c:pt idx="2">
                  <c:v>734.58692790626401</c:v>
                </c:pt>
                <c:pt idx="3">
                  <c:v>753.98582249706294</c:v>
                </c:pt>
                <c:pt idx="4">
                  <c:v>812.18250626945894</c:v>
                </c:pt>
                <c:pt idx="5">
                  <c:v>889.77808463265376</c:v>
                </c:pt>
                <c:pt idx="6">
                  <c:v>951.85454732320966</c:v>
                </c:pt>
              </c:numCache>
            </c:numRef>
          </c:cat>
          <c:val>
            <c:numRef>
              <c:f>'Lens 17'!$A$35:$A$41</c:f>
              <c:numCache>
                <c:formatCode>General</c:formatCode>
                <c:ptCount val="7"/>
                <c:pt idx="0">
                  <c:v>280000</c:v>
                </c:pt>
                <c:pt idx="1">
                  <c:v>95500</c:v>
                </c:pt>
                <c:pt idx="2">
                  <c:v>156400</c:v>
                </c:pt>
                <c:pt idx="3">
                  <c:v>114350</c:v>
                </c:pt>
                <c:pt idx="4">
                  <c:v>23789</c:v>
                </c:pt>
                <c:pt idx="5">
                  <c:v>1311</c:v>
                </c:pt>
                <c:pt idx="6">
                  <c:v>459850</c:v>
                </c:pt>
              </c:numCache>
            </c:numRef>
          </c:val>
          <c:extLst>
            <c:ext xmlns:c16="http://schemas.microsoft.com/office/drawing/2014/chart" uri="{C3380CC4-5D6E-409C-BE32-E72D297353CC}">
              <c16:uniqueId val="{00000007-0901-4848-A229-C3F695295645}"/>
            </c:ext>
          </c:extLst>
        </c:ser>
        <c:dLbls>
          <c:showLegendKey val="0"/>
          <c:showVal val="1"/>
          <c:showCatName val="0"/>
          <c:showSerName val="0"/>
          <c:showPercent val="0"/>
          <c:showBubbleSize val="0"/>
        </c:dLbls>
        <c:gapWidth val="150"/>
        <c:axId val="1707214608"/>
        <c:axId val="1"/>
      </c:barChart>
      <c:catAx>
        <c:axId val="1707214608"/>
        <c:scaling>
          <c:orientation val="minMax"/>
        </c:scaling>
        <c:delete val="0"/>
        <c:axPos val="b"/>
        <c:title>
          <c:tx>
            <c:rich>
              <a:bodyPr/>
              <a:lstStyle/>
              <a:p>
                <a:pPr>
                  <a:defRPr sz="825" b="0" i="0" u="none" strike="noStrike" baseline="0">
                    <a:solidFill>
                      <a:srgbClr val="000000"/>
                    </a:solidFill>
                    <a:latin typeface="MathSoftText"/>
                    <a:ea typeface="MathSoftText"/>
                    <a:cs typeface="MathSoftText"/>
                  </a:defRPr>
                </a:pPr>
                <a:r>
                  <a:rPr lang="en-US"/>
                  <a:t>gradient (T/m)</a:t>
                </a:r>
              </a:p>
            </c:rich>
          </c:tx>
          <c:layout>
            <c:manualLayout>
              <c:xMode val="edge"/>
              <c:yMode val="edge"/>
              <c:x val="0.49919461639029694"/>
              <c:y val="0.85419354920748758"/>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82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825"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1199663524393559E-2"/>
              <c:y val="0.29862050907253629"/>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825" b="0" i="0" u="none" strike="noStrike" baseline="0">
                <a:solidFill>
                  <a:srgbClr val="000000"/>
                </a:solidFill>
                <a:latin typeface="MathSoftText"/>
                <a:ea typeface="MathSoftText"/>
                <a:cs typeface="MathSoftText"/>
              </a:defRPr>
            </a:pPr>
            <a:endParaRPr lang="en-US"/>
          </a:p>
        </c:txPr>
        <c:crossAx val="1707214608"/>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MathSoftText"/>
                <a:ea typeface="MathSoftText"/>
                <a:cs typeface="MathSoftText"/>
              </a:defRPr>
            </a:pPr>
            <a:r>
              <a:rPr lang="en-US"/>
              <a:t>lens 21 pulse count vs peak current</a:t>
            </a:r>
          </a:p>
        </c:rich>
      </c:tx>
      <c:layout>
        <c:manualLayout>
          <c:xMode val="edge"/>
          <c:yMode val="edge"/>
          <c:x val="0.27739112917168357"/>
          <c:y val="4.1177870766138588E-2"/>
        </c:manualLayout>
      </c:layout>
      <c:overlay val="0"/>
      <c:spPr>
        <a:noFill/>
        <a:ln w="25400">
          <a:noFill/>
        </a:ln>
      </c:spPr>
    </c:title>
    <c:autoTitleDeleted val="0"/>
    <c:plotArea>
      <c:layout>
        <c:manualLayout>
          <c:layoutTarget val="inner"/>
          <c:xMode val="edge"/>
          <c:yMode val="edge"/>
          <c:x val="0.16927971472528383"/>
          <c:y val="0.23236084218035344"/>
          <c:w val="0.80656805251458752"/>
          <c:h val="0.50884083161014104"/>
        </c:manualLayout>
      </c:layout>
      <c:barChart>
        <c:barDir val="col"/>
        <c:grouping val="clustered"/>
        <c:varyColors val="0"/>
        <c:ser>
          <c:idx val="0"/>
          <c:order val="0"/>
          <c:spPr>
            <a:solidFill>
              <a:srgbClr val="9999FF"/>
            </a:solidFill>
            <a:ln w="12700">
              <a:solidFill>
                <a:srgbClr val="000000"/>
              </a:solidFill>
              <a:prstDash val="solid"/>
            </a:ln>
          </c:spPr>
          <c:invertIfNegative val="0"/>
          <c:dLbls>
            <c:dLbl>
              <c:idx val="0"/>
              <c:layout>
                <c:manualLayout>
                  <c:xMode val="edge"/>
                  <c:yMode val="edge"/>
                  <c:x val="0.18350490083665216"/>
                  <c:y val="0.5764901907259401"/>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EC-4B0F-B307-2E3A03ACDFA7}"/>
                </c:ext>
              </c:extLst>
            </c:dLbl>
            <c:dLbl>
              <c:idx val="1"/>
              <c:layout>
                <c:manualLayout>
                  <c:xMode val="edge"/>
                  <c:yMode val="edge"/>
                  <c:x val="0.25747586861576782"/>
                  <c:y val="0.44707402546093322"/>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EC-4B0F-B307-2E3A03ACDFA7}"/>
                </c:ext>
              </c:extLst>
            </c:dLbl>
            <c:dLbl>
              <c:idx val="2"/>
              <c:layout>
                <c:manualLayout>
                  <c:xMode val="edge"/>
                  <c:yMode val="edge"/>
                  <c:x val="0.33002431778374658"/>
                  <c:y val="0.43236764304445513"/>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EC-4B0F-B307-2E3A03ACDFA7}"/>
                </c:ext>
              </c:extLst>
            </c:dLbl>
            <c:dLbl>
              <c:idx val="3"/>
              <c:layout>
                <c:manualLayout>
                  <c:xMode val="edge"/>
                  <c:yMode val="edge"/>
                  <c:x val="0.40399528556286213"/>
                  <c:y val="0.44413274897763755"/>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7EC-4B0F-B307-2E3A03ACDFA7}"/>
                </c:ext>
              </c:extLst>
            </c:dLbl>
            <c:dLbl>
              <c:idx val="4"/>
              <c:layout>
                <c:manualLayout>
                  <c:xMode val="edge"/>
                  <c:yMode val="edge"/>
                  <c:x val="0.476543734730841"/>
                  <c:y val="0.4353089195277508"/>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7EC-4B0F-B307-2E3A03ACDFA7}"/>
                </c:ext>
              </c:extLst>
            </c:dLbl>
            <c:dLbl>
              <c:idx val="5"/>
              <c:layout>
                <c:manualLayout>
                  <c:xMode val="edge"/>
                  <c:yMode val="edge"/>
                  <c:x val="0.5505147025099566"/>
                  <c:y val="0.43236764304445513"/>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EC-4B0F-B307-2E3A03ACDFA7}"/>
                </c:ext>
              </c:extLst>
            </c:dLbl>
            <c:dLbl>
              <c:idx val="6"/>
              <c:layout>
                <c:manualLayout>
                  <c:xMode val="edge"/>
                  <c:yMode val="edge"/>
                  <c:x val="0.62733070751134579"/>
                  <c:y val="0.44707402546093322"/>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EC-4B0F-B307-2E3A03ACDFA7}"/>
                </c:ext>
              </c:extLst>
            </c:dLbl>
            <c:dLbl>
              <c:idx val="7"/>
              <c:layout>
                <c:manualLayout>
                  <c:xMode val="edge"/>
                  <c:yMode val="edge"/>
                  <c:x val="0.70130167529046139"/>
                  <c:y val="0.44413274897763755"/>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7EC-4B0F-B307-2E3A03ACDFA7}"/>
                </c:ext>
              </c:extLst>
            </c:dLbl>
            <c:dLbl>
              <c:idx val="8"/>
              <c:layout>
                <c:manualLayout>
                  <c:xMode val="edge"/>
                  <c:yMode val="edge"/>
                  <c:x val="0.76958256862502983"/>
                  <c:y val="0.44413274897763755"/>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EC-4B0F-B307-2E3A03ACDFA7}"/>
                </c:ext>
              </c:extLst>
            </c:dLbl>
            <c:dLbl>
              <c:idx val="9"/>
              <c:layout>
                <c:manualLayout>
                  <c:xMode val="edge"/>
                  <c:yMode val="edge"/>
                  <c:x val="0.84782109223755575"/>
                  <c:y val="0.41177870766138591"/>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7EC-4B0F-B307-2E3A03ACDFA7}"/>
                </c:ext>
              </c:extLst>
            </c:dLbl>
            <c:dLbl>
              <c:idx val="10"/>
              <c:layout>
                <c:manualLayout>
                  <c:xMode val="edge"/>
                  <c:yMode val="edge"/>
                  <c:x val="0.91610198557212419"/>
                  <c:y val="0.44119147249434199"/>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EC-4B0F-B307-2E3A03ACDFA7}"/>
                </c:ext>
              </c:extLst>
            </c:dLbl>
            <c:numFmt formatCode="0" sourceLinked="0"/>
            <c:spPr>
              <a:noFill/>
              <a:ln w="25400">
                <a:noFill/>
              </a:ln>
            </c:spPr>
            <c:txPr>
              <a:bodyPr rot="-5400000" vert="horz" wrap="square" lIns="38100" tIns="19050" rIns="38100" bIns="19050" anchor="ctr">
                <a:spAutoFit/>
              </a:bodyPr>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21'!$F$33:$F$43</c:f>
              <c:numCache>
                <c:formatCode>0</c:formatCode>
                <c:ptCount val="11"/>
                <c:pt idx="0">
                  <c:v>295.85677884028894</c:v>
                </c:pt>
                <c:pt idx="1">
                  <c:v>432.66139513647153</c:v>
                </c:pt>
                <c:pt idx="2">
                  <c:v>455.04760507584677</c:v>
                </c:pt>
                <c:pt idx="3">
                  <c:v>474.94645835529155</c:v>
                </c:pt>
                <c:pt idx="4">
                  <c:v>504.79473827445867</c:v>
                </c:pt>
                <c:pt idx="5">
                  <c:v>524.69359155390316</c:v>
                </c:pt>
                <c:pt idx="6">
                  <c:v>552.05451481313992</c:v>
                </c:pt>
                <c:pt idx="7">
                  <c:v>569.466011432654</c:v>
                </c:pt>
                <c:pt idx="8">
                  <c:v>594.33957803195983</c:v>
                </c:pt>
                <c:pt idx="9">
                  <c:v>614.23843131140472</c:v>
                </c:pt>
                <c:pt idx="10">
                  <c:v>626.67521461105753</c:v>
                </c:pt>
              </c:numCache>
            </c:numRef>
          </c:cat>
          <c:val>
            <c:numRef>
              <c:f>'Lens 21'!$A$33:$A$43</c:f>
              <c:numCache>
                <c:formatCode>0</c:formatCode>
                <c:ptCount val="11"/>
                <c:pt idx="0">
                  <c:v>1000</c:v>
                </c:pt>
                <c:pt idx="1">
                  <c:v>39600</c:v>
                </c:pt>
                <c:pt idx="2">
                  <c:v>41400</c:v>
                </c:pt>
                <c:pt idx="3">
                  <c:v>42500</c:v>
                </c:pt>
                <c:pt idx="4">
                  <c:v>37500</c:v>
                </c:pt>
                <c:pt idx="5">
                  <c:v>41000</c:v>
                </c:pt>
                <c:pt idx="6">
                  <c:v>40000</c:v>
                </c:pt>
                <c:pt idx="7">
                  <c:v>25000</c:v>
                </c:pt>
                <c:pt idx="8">
                  <c:v>56500</c:v>
                </c:pt>
                <c:pt idx="9">
                  <c:v>41000</c:v>
                </c:pt>
                <c:pt idx="10">
                  <c:v>44200</c:v>
                </c:pt>
              </c:numCache>
            </c:numRef>
          </c:val>
          <c:extLst>
            <c:ext xmlns:c16="http://schemas.microsoft.com/office/drawing/2014/chart" uri="{C3380CC4-5D6E-409C-BE32-E72D297353CC}">
              <c16:uniqueId val="{0000000B-C7EC-4B0F-B307-2E3A03ACDFA7}"/>
            </c:ext>
          </c:extLst>
        </c:ser>
        <c:dLbls>
          <c:showLegendKey val="0"/>
          <c:showVal val="1"/>
          <c:showCatName val="0"/>
          <c:showSerName val="0"/>
          <c:showPercent val="0"/>
          <c:showBubbleSize val="0"/>
        </c:dLbls>
        <c:gapWidth val="150"/>
        <c:axId val="1707219408"/>
        <c:axId val="1"/>
      </c:barChart>
      <c:catAx>
        <c:axId val="1707219408"/>
        <c:scaling>
          <c:orientation val="minMax"/>
        </c:scaling>
        <c:delete val="0"/>
        <c:axPos val="b"/>
        <c:title>
          <c:tx>
            <c:rich>
              <a:bodyPr/>
              <a:lstStyle/>
              <a:p>
                <a:pPr>
                  <a:defRPr sz="1000" b="0" i="0" u="none" strike="noStrike" baseline="0">
                    <a:solidFill>
                      <a:srgbClr val="000000"/>
                    </a:solidFill>
                    <a:latin typeface="MathSoftText"/>
                    <a:ea typeface="MathSoftText"/>
                    <a:cs typeface="MathSoftText"/>
                  </a:defRPr>
                </a:pPr>
                <a:r>
                  <a:rPr lang="en-US"/>
                  <a:t>kiloamps</a:t>
                </a:r>
              </a:p>
            </c:rich>
          </c:tx>
          <c:layout>
            <c:manualLayout>
              <c:xMode val="edge"/>
              <c:yMode val="edge"/>
              <c:x val="0.52348684889835662"/>
              <c:y val="0.85885273312231891"/>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10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100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2.7027853611599935E-2"/>
              <c:y val="0.29412764832956134"/>
            </c:manualLayout>
          </c:layout>
          <c:overlay val="0"/>
          <c:spPr>
            <a:noFill/>
            <a:ln w="25400">
              <a:noFill/>
            </a:ln>
          </c:spPr>
        </c:title>
        <c:numFmt formatCode="0" sourceLinked="1"/>
        <c:majorTickMark val="out"/>
        <c:minorTickMark val="none"/>
        <c:tickLblPos val="nextTo"/>
        <c:spPr>
          <a:ln w="3175">
            <a:solidFill>
              <a:srgbClr val="99CC00"/>
            </a:solidFill>
            <a:prstDash val="solid"/>
          </a:ln>
        </c:spPr>
        <c:txPr>
          <a:bodyPr rot="0" vert="horz"/>
          <a:lstStyle/>
          <a:p>
            <a:pPr>
              <a:defRPr sz="1000" b="0" i="0" u="none" strike="noStrike" baseline="0">
                <a:solidFill>
                  <a:srgbClr val="000000"/>
                </a:solidFill>
                <a:latin typeface="MathSoftText"/>
                <a:ea typeface="MathSoftText"/>
                <a:cs typeface="MathSoftText"/>
              </a:defRPr>
            </a:pPr>
            <a:endParaRPr lang="en-US"/>
          </a:p>
        </c:txPr>
        <c:crossAx val="1707219408"/>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0" i="0" u="none" strike="noStrike" baseline="0">
                <a:solidFill>
                  <a:srgbClr val="000000"/>
                </a:solidFill>
                <a:latin typeface="MathSoftText"/>
                <a:ea typeface="MathSoftText"/>
                <a:cs typeface="MathSoftText"/>
              </a:defRPr>
            </a:pPr>
            <a:r>
              <a:rPr lang="en-US"/>
              <a:t>lens 21 pulse count vs peak current</a:t>
            </a:r>
          </a:p>
        </c:rich>
      </c:tx>
      <c:layout>
        <c:manualLayout>
          <c:xMode val="edge"/>
          <c:yMode val="edge"/>
          <c:x val="0.30288574994793954"/>
          <c:y val="4.4945351956345345E-2"/>
        </c:manualLayout>
      </c:layout>
      <c:overlay val="0"/>
      <c:spPr>
        <a:noFill/>
        <a:ln w="25400">
          <a:noFill/>
        </a:ln>
      </c:spPr>
    </c:title>
    <c:autoTitleDeleted val="0"/>
    <c:plotArea>
      <c:layout>
        <c:manualLayout>
          <c:layoutTarget val="inner"/>
          <c:xMode val="edge"/>
          <c:yMode val="edge"/>
          <c:x val="0.10998644551182161"/>
          <c:y val="0.23970854376717515"/>
          <c:w val="0.86127847331564922"/>
          <c:h val="0.5805441294361273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21'!$D$33:$D$43</c:f>
              <c:numCache>
                <c:formatCode>0</c:formatCode>
                <c:ptCount val="11"/>
                <c:pt idx="0">
                  <c:v>295856.77884028893</c:v>
                </c:pt>
                <c:pt idx="1">
                  <c:v>432661.39513647155</c:v>
                </c:pt>
                <c:pt idx="2">
                  <c:v>455047.60507584678</c:v>
                </c:pt>
                <c:pt idx="3">
                  <c:v>474946.45835529157</c:v>
                </c:pt>
                <c:pt idx="4">
                  <c:v>504794.73827445868</c:v>
                </c:pt>
                <c:pt idx="5">
                  <c:v>524693.59155390318</c:v>
                </c:pt>
                <c:pt idx="6">
                  <c:v>552054.51481313992</c:v>
                </c:pt>
                <c:pt idx="7">
                  <c:v>569466.01143265399</c:v>
                </c:pt>
                <c:pt idx="8">
                  <c:v>594339.57803195983</c:v>
                </c:pt>
                <c:pt idx="9">
                  <c:v>614238.43131140468</c:v>
                </c:pt>
                <c:pt idx="10">
                  <c:v>626675.21461105754</c:v>
                </c:pt>
              </c:numCache>
            </c:numRef>
          </c:cat>
          <c:val>
            <c:numRef>
              <c:f>'Lens 21'!$A$33:$A$43</c:f>
              <c:numCache>
                <c:formatCode>0</c:formatCode>
                <c:ptCount val="11"/>
                <c:pt idx="0">
                  <c:v>1000</c:v>
                </c:pt>
                <c:pt idx="1">
                  <c:v>39600</c:v>
                </c:pt>
                <c:pt idx="2">
                  <c:v>41400</c:v>
                </c:pt>
                <c:pt idx="3">
                  <c:v>42500</c:v>
                </c:pt>
                <c:pt idx="4">
                  <c:v>37500</c:v>
                </c:pt>
                <c:pt idx="5">
                  <c:v>41000</c:v>
                </c:pt>
                <c:pt idx="6">
                  <c:v>40000</c:v>
                </c:pt>
                <c:pt idx="7">
                  <c:v>25000</c:v>
                </c:pt>
                <c:pt idx="8">
                  <c:v>56500</c:v>
                </c:pt>
                <c:pt idx="9">
                  <c:v>41000</c:v>
                </c:pt>
                <c:pt idx="10">
                  <c:v>44200</c:v>
                </c:pt>
              </c:numCache>
            </c:numRef>
          </c:val>
          <c:extLst>
            <c:ext xmlns:c16="http://schemas.microsoft.com/office/drawing/2014/chart" uri="{C3380CC4-5D6E-409C-BE32-E72D297353CC}">
              <c16:uniqueId val="{00000000-45BB-4484-8F63-5BD567080DCE}"/>
            </c:ext>
          </c:extLst>
        </c:ser>
        <c:dLbls>
          <c:showLegendKey val="0"/>
          <c:showVal val="0"/>
          <c:showCatName val="0"/>
          <c:showSerName val="0"/>
          <c:showPercent val="0"/>
          <c:showBubbleSize val="0"/>
        </c:dLbls>
        <c:gapWidth val="150"/>
        <c:axId val="1707220368"/>
        <c:axId val="1"/>
      </c:barChart>
      <c:catAx>
        <c:axId val="1707220368"/>
        <c:scaling>
          <c:orientation val="minMax"/>
        </c:scaling>
        <c:delete val="0"/>
        <c:axPos val="b"/>
        <c:numFmt formatCode="0" sourceLinked="0"/>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60000"/>
          <c:min val="0"/>
        </c:scaling>
        <c:delete val="0"/>
        <c:axPos val="l"/>
        <c:majorGridlines>
          <c:spPr>
            <a:ln w="3175">
              <a:solidFill>
                <a:srgbClr val="99CC00"/>
              </a:solidFill>
              <a:prstDash val="solid"/>
            </a:ln>
          </c:spPr>
        </c:majorGridlines>
        <c:numFmt formatCode="0" sourceLinked="1"/>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707220368"/>
        <c:crosses val="autoZero"/>
        <c:crossBetween val="between"/>
        <c:majorUnit val="10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00" b="0" i="0" u="none" strike="noStrike" baseline="0">
                <a:solidFill>
                  <a:srgbClr val="000000"/>
                </a:solidFill>
                <a:latin typeface="MathSoftText"/>
                <a:ea typeface="MathSoftText"/>
                <a:cs typeface="MathSoftText"/>
              </a:defRPr>
            </a:pPr>
            <a:r>
              <a:rPr lang="en-US"/>
              <a:t>lens 21 pulse count vs peak current</a:t>
            </a:r>
          </a:p>
        </c:rich>
      </c:tx>
      <c:layout>
        <c:manualLayout>
          <c:xMode val="edge"/>
          <c:yMode val="edge"/>
          <c:x val="0.39838616787917241"/>
          <c:y val="6.8029727158261666E-2"/>
        </c:manualLayout>
      </c:layout>
      <c:overlay val="0"/>
      <c:spPr>
        <a:noFill/>
        <a:ln w="25400">
          <a:noFill/>
        </a:ln>
      </c:spPr>
    </c:title>
    <c:autoTitleDeleted val="0"/>
    <c:plotArea>
      <c:layout>
        <c:manualLayout>
          <c:layoutTarget val="inner"/>
          <c:xMode val="edge"/>
          <c:yMode val="edge"/>
          <c:x val="7.1546903619116684E-2"/>
          <c:y val="0.30613377221217747"/>
          <c:w val="0.87970170131686642"/>
          <c:h val="0.44899619924452705"/>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21'!$D$33:$D$43</c:f>
              <c:numCache>
                <c:formatCode>0</c:formatCode>
                <c:ptCount val="11"/>
                <c:pt idx="0">
                  <c:v>295856.77884028893</c:v>
                </c:pt>
                <c:pt idx="1">
                  <c:v>432661.39513647155</c:v>
                </c:pt>
                <c:pt idx="2">
                  <c:v>455047.60507584678</c:v>
                </c:pt>
                <c:pt idx="3">
                  <c:v>474946.45835529157</c:v>
                </c:pt>
                <c:pt idx="4">
                  <c:v>504794.73827445868</c:v>
                </c:pt>
                <c:pt idx="5">
                  <c:v>524693.59155390318</c:v>
                </c:pt>
                <c:pt idx="6">
                  <c:v>552054.51481313992</c:v>
                </c:pt>
                <c:pt idx="7">
                  <c:v>569466.01143265399</c:v>
                </c:pt>
                <c:pt idx="8">
                  <c:v>594339.57803195983</c:v>
                </c:pt>
                <c:pt idx="9">
                  <c:v>614238.43131140468</c:v>
                </c:pt>
                <c:pt idx="10">
                  <c:v>626675.21461105754</c:v>
                </c:pt>
              </c:numCache>
            </c:numRef>
          </c:xVal>
          <c:yVal>
            <c:numRef>
              <c:f>'Lens 21'!$A$33:$A$43</c:f>
              <c:numCache>
                <c:formatCode>0</c:formatCode>
                <c:ptCount val="11"/>
                <c:pt idx="0">
                  <c:v>1000</c:v>
                </c:pt>
                <c:pt idx="1">
                  <c:v>39600</c:v>
                </c:pt>
                <c:pt idx="2">
                  <c:v>41400</c:v>
                </c:pt>
                <c:pt idx="3">
                  <c:v>42500</c:v>
                </c:pt>
                <c:pt idx="4">
                  <c:v>37500</c:v>
                </c:pt>
                <c:pt idx="5">
                  <c:v>41000</c:v>
                </c:pt>
                <c:pt idx="6">
                  <c:v>40000</c:v>
                </c:pt>
                <c:pt idx="7">
                  <c:v>25000</c:v>
                </c:pt>
                <c:pt idx="8">
                  <c:v>56500</c:v>
                </c:pt>
                <c:pt idx="9">
                  <c:v>41000</c:v>
                </c:pt>
                <c:pt idx="10">
                  <c:v>44200</c:v>
                </c:pt>
              </c:numCache>
            </c:numRef>
          </c:yVal>
          <c:smooth val="0"/>
          <c:extLst>
            <c:ext xmlns:c16="http://schemas.microsoft.com/office/drawing/2014/chart" uri="{C3380CC4-5D6E-409C-BE32-E72D297353CC}">
              <c16:uniqueId val="{00000000-F010-449F-90CE-C5D4FCDCA09E}"/>
            </c:ext>
          </c:extLst>
        </c:ser>
        <c:dLbls>
          <c:showLegendKey val="0"/>
          <c:showVal val="0"/>
          <c:showCatName val="0"/>
          <c:showSerName val="0"/>
          <c:showPercent val="0"/>
          <c:showBubbleSize val="0"/>
        </c:dLbls>
        <c:axId val="1838608880"/>
        <c:axId val="1"/>
      </c:scatterChart>
      <c:valAx>
        <c:axId val="1838608880"/>
        <c:scaling>
          <c:orientation val="minMax"/>
          <c:max val="700000"/>
          <c:min val="200000"/>
        </c:scaling>
        <c:delete val="0"/>
        <c:axPos val="b"/>
        <c:numFmt formatCode="0" sourceLinked="0"/>
        <c:majorTickMark val="out"/>
        <c:minorTickMark val="none"/>
        <c:tickLblPos val="nextTo"/>
        <c:spPr>
          <a:ln w="3175">
            <a:solidFill>
              <a:srgbClr val="99CC00"/>
            </a:solidFill>
            <a:prstDash val="solid"/>
          </a:ln>
        </c:spPr>
        <c:txPr>
          <a:bodyPr rot="0" vert="horz"/>
          <a:lstStyle/>
          <a:p>
            <a:pPr>
              <a:defRPr sz="400" b="0" i="0" u="none" strike="noStrike" baseline="0">
                <a:solidFill>
                  <a:srgbClr val="000000"/>
                </a:solidFill>
                <a:latin typeface="MathSoftText"/>
                <a:ea typeface="MathSoftText"/>
                <a:cs typeface="MathSoftText"/>
              </a:defRPr>
            </a:pPr>
            <a:endParaRPr lang="en-US"/>
          </a:p>
        </c:txPr>
        <c:crossAx val="1"/>
        <c:crosses val="autoZero"/>
        <c:crossBetween val="midCat"/>
        <c:majorUnit val="100000"/>
        <c:minorUnit val="20000"/>
      </c:valAx>
      <c:valAx>
        <c:axId val="1"/>
        <c:scaling>
          <c:orientation val="minMax"/>
          <c:max val="60000"/>
          <c:min val="0"/>
        </c:scaling>
        <c:delete val="0"/>
        <c:axPos val="l"/>
        <c:majorGridlines>
          <c:spPr>
            <a:ln w="3175">
              <a:solidFill>
                <a:srgbClr val="99CC00"/>
              </a:solidFill>
              <a:prstDash val="solid"/>
            </a:ln>
          </c:spPr>
        </c:majorGridlines>
        <c:numFmt formatCode="0" sourceLinked="1"/>
        <c:majorTickMark val="out"/>
        <c:minorTickMark val="none"/>
        <c:tickLblPos val="nextTo"/>
        <c:spPr>
          <a:ln w="3175">
            <a:solidFill>
              <a:srgbClr val="99CC00"/>
            </a:solidFill>
            <a:prstDash val="solid"/>
          </a:ln>
        </c:spPr>
        <c:txPr>
          <a:bodyPr rot="0" vert="horz"/>
          <a:lstStyle/>
          <a:p>
            <a:pPr>
              <a:defRPr sz="400" b="0" i="0" u="none" strike="noStrike" baseline="0">
                <a:solidFill>
                  <a:srgbClr val="000000"/>
                </a:solidFill>
                <a:latin typeface="MathSoftText"/>
                <a:ea typeface="MathSoftText"/>
                <a:cs typeface="MathSoftText"/>
              </a:defRPr>
            </a:pPr>
            <a:endParaRPr lang="en-US"/>
          </a:p>
        </c:txPr>
        <c:crossAx val="1838608880"/>
        <c:crosses val="autoZero"/>
        <c:crossBetween val="midCat"/>
        <c:majorUnit val="10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21 Rogowski and Bdot vs Pot</a:t>
            </a:r>
          </a:p>
        </c:rich>
      </c:tx>
      <c:layout>
        <c:manualLayout>
          <c:xMode val="edge"/>
          <c:yMode val="edge"/>
          <c:x val="0.24088378676715672"/>
          <c:y val="3.8576901405916741E-2"/>
        </c:manualLayout>
      </c:layout>
      <c:overlay val="0"/>
      <c:spPr>
        <a:noFill/>
        <a:ln w="25400">
          <a:noFill/>
        </a:ln>
      </c:spPr>
    </c:title>
    <c:autoTitleDeleted val="0"/>
    <c:plotArea>
      <c:layout>
        <c:manualLayout>
          <c:layoutTarget val="inner"/>
          <c:xMode val="edge"/>
          <c:yMode val="edge"/>
          <c:x val="0.17518820855793218"/>
          <c:y val="0.25223358611560948"/>
          <c:w val="0.40512273229021817"/>
          <c:h val="0.48072754059680861"/>
        </c:manualLayout>
      </c:layout>
      <c:scatterChart>
        <c:scatterStyle val="lineMarker"/>
        <c:varyColors val="0"/>
        <c:ser>
          <c:idx val="1"/>
          <c:order val="1"/>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7098772200941208"/>
                  <c:y val="0.58755588295165495"/>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21'!$A$7:$A$28</c:f>
              <c:numCache>
                <c:formatCode>General</c:formatCode>
                <c:ptCount val="22"/>
                <c:pt idx="0">
                  <c:v>0</c:v>
                </c:pt>
                <c:pt idx="1">
                  <c:v>0</c:v>
                </c:pt>
                <c:pt idx="2">
                  <c:v>2.75</c:v>
                </c:pt>
                <c:pt idx="3">
                  <c:v>2.75</c:v>
                </c:pt>
                <c:pt idx="4">
                  <c:v>3.2</c:v>
                </c:pt>
                <c:pt idx="5">
                  <c:v>3.2</c:v>
                </c:pt>
                <c:pt idx="6">
                  <c:v>3.6</c:v>
                </c:pt>
                <c:pt idx="7">
                  <c:v>3.6</c:v>
                </c:pt>
                <c:pt idx="8">
                  <c:v>4.2</c:v>
                </c:pt>
                <c:pt idx="9">
                  <c:v>4.2</c:v>
                </c:pt>
                <c:pt idx="10">
                  <c:v>4.5999999999999996</c:v>
                </c:pt>
                <c:pt idx="11">
                  <c:v>4.5999999999999996</c:v>
                </c:pt>
                <c:pt idx="12">
                  <c:v>5.15</c:v>
                </c:pt>
                <c:pt idx="13">
                  <c:v>5.15</c:v>
                </c:pt>
                <c:pt idx="14">
                  <c:v>5.5</c:v>
                </c:pt>
                <c:pt idx="15">
                  <c:v>5.5</c:v>
                </c:pt>
                <c:pt idx="16">
                  <c:v>6</c:v>
                </c:pt>
                <c:pt idx="17">
                  <c:v>6</c:v>
                </c:pt>
                <c:pt idx="18">
                  <c:v>6.4</c:v>
                </c:pt>
                <c:pt idx="19">
                  <c:v>6.4</c:v>
                </c:pt>
                <c:pt idx="20">
                  <c:v>6.65</c:v>
                </c:pt>
                <c:pt idx="21">
                  <c:v>6.65</c:v>
                </c:pt>
              </c:numCache>
            </c:numRef>
          </c:xVal>
          <c:yVal>
            <c:numRef>
              <c:f>'Lens 21'!$D$7:$D$28</c:f>
              <c:numCache>
                <c:formatCode>0.00</c:formatCode>
                <c:ptCount val="22"/>
                <c:pt idx="0">
                  <c:v>2.7</c:v>
                </c:pt>
                <c:pt idx="1">
                  <c:v>2.7</c:v>
                </c:pt>
                <c:pt idx="2">
                  <c:v>4</c:v>
                </c:pt>
                <c:pt idx="3">
                  <c:v>4</c:v>
                </c:pt>
                <c:pt idx="4">
                  <c:v>4.2</c:v>
                </c:pt>
                <c:pt idx="5">
                  <c:v>4.2</c:v>
                </c:pt>
                <c:pt idx="6">
                  <c:v>4.4000000000000004</c:v>
                </c:pt>
                <c:pt idx="7">
                  <c:v>4.4000000000000004</c:v>
                </c:pt>
                <c:pt idx="8" formatCode="General">
                  <c:v>4.5999999999999996</c:v>
                </c:pt>
                <c:pt idx="9" formatCode="General">
                  <c:v>4.5999999999999996</c:v>
                </c:pt>
                <c:pt idx="10" formatCode="General">
                  <c:v>4.8</c:v>
                </c:pt>
                <c:pt idx="11" formatCode="General">
                  <c:v>4.8</c:v>
                </c:pt>
                <c:pt idx="12" formatCode="General">
                  <c:v>5</c:v>
                </c:pt>
                <c:pt idx="13" formatCode="General">
                  <c:v>5</c:v>
                </c:pt>
                <c:pt idx="14" formatCode="General">
                  <c:v>5.2</c:v>
                </c:pt>
                <c:pt idx="15" formatCode="General">
                  <c:v>5.2</c:v>
                </c:pt>
                <c:pt idx="16" formatCode="General">
                  <c:v>5.4</c:v>
                </c:pt>
                <c:pt idx="17" formatCode="General">
                  <c:v>5.4</c:v>
                </c:pt>
                <c:pt idx="18" formatCode="General">
                  <c:v>5.6</c:v>
                </c:pt>
                <c:pt idx="19" formatCode="General">
                  <c:v>5.6</c:v>
                </c:pt>
                <c:pt idx="20" formatCode="General">
                  <c:v>5.7</c:v>
                </c:pt>
                <c:pt idx="21" formatCode="0">
                  <c:v>5.7</c:v>
                </c:pt>
              </c:numCache>
            </c:numRef>
          </c:yVal>
          <c:smooth val="0"/>
          <c:extLst>
            <c:ext xmlns:c16="http://schemas.microsoft.com/office/drawing/2014/chart" uri="{C3380CC4-5D6E-409C-BE32-E72D297353CC}">
              <c16:uniqueId val="{00000001-0715-49F0-B711-C604AF73114A}"/>
            </c:ext>
          </c:extLst>
        </c:ser>
        <c:dLbls>
          <c:showLegendKey val="0"/>
          <c:showVal val="0"/>
          <c:showCatName val="0"/>
          <c:showSerName val="0"/>
          <c:showPercent val="0"/>
          <c:showBubbleSize val="0"/>
        </c:dLbls>
        <c:axId val="1838610864"/>
        <c:axId val="1"/>
      </c:scatterChart>
      <c:scatterChart>
        <c:scatterStyle val="lineMarker"/>
        <c:varyColors val="0"/>
        <c:ser>
          <c:idx val="0"/>
          <c:order val="0"/>
          <c:tx>
            <c:v>rog vs pot</c:v>
          </c:tx>
          <c:spPr>
            <a:ln w="19050">
              <a:noFill/>
            </a:ln>
          </c:spPr>
          <c:marker>
            <c:symbol val="diamond"/>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Mode val="edge"/>
                  <c:yMode val="edge"/>
                  <c:x val="0.70440258857668536"/>
                  <c:y val="0.83385456115866163"/>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21'!$A$7:$A$28</c:f>
              <c:numCache>
                <c:formatCode>General</c:formatCode>
                <c:ptCount val="22"/>
                <c:pt idx="0">
                  <c:v>0</c:v>
                </c:pt>
                <c:pt idx="1">
                  <c:v>0</c:v>
                </c:pt>
                <c:pt idx="2">
                  <c:v>2.75</c:v>
                </c:pt>
                <c:pt idx="3">
                  <c:v>2.75</c:v>
                </c:pt>
                <c:pt idx="4">
                  <c:v>3.2</c:v>
                </c:pt>
                <c:pt idx="5">
                  <c:v>3.2</c:v>
                </c:pt>
                <c:pt idx="6">
                  <c:v>3.6</c:v>
                </c:pt>
                <c:pt idx="7">
                  <c:v>3.6</c:v>
                </c:pt>
                <c:pt idx="8">
                  <c:v>4.2</c:v>
                </c:pt>
                <c:pt idx="9">
                  <c:v>4.2</c:v>
                </c:pt>
                <c:pt idx="10">
                  <c:v>4.5999999999999996</c:v>
                </c:pt>
                <c:pt idx="11">
                  <c:v>4.5999999999999996</c:v>
                </c:pt>
                <c:pt idx="12">
                  <c:v>5.15</c:v>
                </c:pt>
                <c:pt idx="13">
                  <c:v>5.15</c:v>
                </c:pt>
                <c:pt idx="14">
                  <c:v>5.5</c:v>
                </c:pt>
                <c:pt idx="15">
                  <c:v>5.5</c:v>
                </c:pt>
                <c:pt idx="16">
                  <c:v>6</c:v>
                </c:pt>
                <c:pt idx="17">
                  <c:v>6</c:v>
                </c:pt>
                <c:pt idx="18">
                  <c:v>6.4</c:v>
                </c:pt>
                <c:pt idx="19">
                  <c:v>6.4</c:v>
                </c:pt>
                <c:pt idx="20">
                  <c:v>6.65</c:v>
                </c:pt>
                <c:pt idx="21">
                  <c:v>6.65</c:v>
                </c:pt>
              </c:numCache>
            </c:numRef>
          </c:xVal>
          <c:yVal>
            <c:numRef>
              <c:f>'Lens 21'!$C$7:$C$28</c:f>
              <c:numCache>
                <c:formatCode>0.00</c:formatCode>
                <c:ptCount val="22"/>
                <c:pt idx="0">
                  <c:v>0.3</c:v>
                </c:pt>
                <c:pt idx="1">
                  <c:v>0.3</c:v>
                </c:pt>
                <c:pt idx="2">
                  <c:v>0.42</c:v>
                </c:pt>
                <c:pt idx="3">
                  <c:v>0.42</c:v>
                </c:pt>
                <c:pt idx="4">
                  <c:v>0.45</c:v>
                </c:pt>
                <c:pt idx="5">
                  <c:v>0.45</c:v>
                </c:pt>
                <c:pt idx="6">
                  <c:v>0.46500000000000002</c:v>
                </c:pt>
                <c:pt idx="7">
                  <c:v>0.46500000000000002</c:v>
                </c:pt>
                <c:pt idx="8">
                  <c:v>0.49</c:v>
                </c:pt>
                <c:pt idx="9">
                  <c:v>0.49</c:v>
                </c:pt>
                <c:pt idx="10">
                  <c:v>0.52</c:v>
                </c:pt>
                <c:pt idx="11">
                  <c:v>0.52</c:v>
                </c:pt>
                <c:pt idx="12">
                  <c:v>0.54</c:v>
                </c:pt>
                <c:pt idx="13">
                  <c:v>0.54</c:v>
                </c:pt>
                <c:pt idx="14">
                  <c:v>0.56000000000000005</c:v>
                </c:pt>
                <c:pt idx="15">
                  <c:v>0.56000000000000005</c:v>
                </c:pt>
                <c:pt idx="16">
                  <c:v>0.59</c:v>
                </c:pt>
                <c:pt idx="17">
                  <c:v>0.59</c:v>
                </c:pt>
                <c:pt idx="18">
                  <c:v>0.61</c:v>
                </c:pt>
                <c:pt idx="19">
                  <c:v>0.61</c:v>
                </c:pt>
                <c:pt idx="20">
                  <c:v>0.62</c:v>
                </c:pt>
                <c:pt idx="21">
                  <c:v>0.62</c:v>
                </c:pt>
              </c:numCache>
            </c:numRef>
          </c:yVal>
          <c:smooth val="0"/>
          <c:extLst>
            <c:ext xmlns:c16="http://schemas.microsoft.com/office/drawing/2014/chart" uri="{C3380CC4-5D6E-409C-BE32-E72D297353CC}">
              <c16:uniqueId val="{00000003-0715-49F0-B711-C604AF73114A}"/>
            </c:ext>
          </c:extLst>
        </c:ser>
        <c:dLbls>
          <c:showLegendKey val="0"/>
          <c:showVal val="0"/>
          <c:showCatName val="0"/>
          <c:showSerName val="0"/>
          <c:showPercent val="0"/>
          <c:showBubbleSize val="0"/>
        </c:dLbls>
        <c:axId val="3"/>
        <c:axId val="4"/>
      </c:scatterChart>
      <c:valAx>
        <c:axId val="1838610864"/>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1387887366629513"/>
              <c:y val="0.83682201511296306"/>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2921438001875334E-2"/>
              <c:y val="0.37983410615056479"/>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838610864"/>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3"/>
        <c:crosses val="max"/>
        <c:crossBetween val="midCat"/>
      </c:valAx>
      <c:spPr>
        <a:noFill/>
        <a:ln w="12700">
          <a:solidFill>
            <a:srgbClr val="99CC00"/>
          </a:solidFill>
          <a:prstDash val="solid"/>
        </a:ln>
      </c:spPr>
    </c:plotArea>
    <c:legend>
      <c:legendPos val="r"/>
      <c:layout>
        <c:manualLayout>
          <c:xMode val="edge"/>
          <c:yMode val="edge"/>
          <c:x val="0.67337967664455167"/>
          <c:y val="0.19585196098388499"/>
          <c:w val="0.30657936497638127"/>
          <c:h val="0.27597321775001976"/>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21 Rogowski vs Bdot</a:t>
            </a:r>
          </a:p>
        </c:rich>
      </c:tx>
      <c:layout>
        <c:manualLayout>
          <c:xMode val="edge"/>
          <c:yMode val="edge"/>
          <c:x val="0.30165506851254564"/>
          <c:y val="4.1271226051092146E-2"/>
        </c:manualLayout>
      </c:layout>
      <c:overlay val="0"/>
      <c:spPr>
        <a:noFill/>
        <a:ln w="25400">
          <a:noFill/>
        </a:ln>
      </c:spPr>
    </c:title>
    <c:autoTitleDeleted val="0"/>
    <c:plotArea>
      <c:layout>
        <c:manualLayout>
          <c:layoutTarget val="inner"/>
          <c:xMode val="edge"/>
          <c:yMode val="edge"/>
          <c:x val="0.15722627813381168"/>
          <c:y val="0.23175380782536359"/>
          <c:w val="0.78247496559617902"/>
          <c:h val="0.52065239018300857"/>
        </c:manualLayout>
      </c:layout>
      <c:scatterChart>
        <c:scatterStyle val="lineMarker"/>
        <c:varyColors val="0"/>
        <c:ser>
          <c:idx val="0"/>
          <c:order val="0"/>
          <c:spPr>
            <a:ln w="19050">
              <a:noFill/>
            </a:ln>
          </c:spPr>
          <c:marker>
            <c:symbol val="diamond"/>
            <c:size val="5"/>
            <c:spPr>
              <a:solidFill>
                <a:srgbClr val="FF0000"/>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Mode val="edge"/>
                  <c:yMode val="edge"/>
                  <c:x val="0.74042607725806664"/>
                  <c:y val="2.2222967873665001E-2"/>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21'!$D$7:$D$28</c:f>
              <c:numCache>
                <c:formatCode>0.00</c:formatCode>
                <c:ptCount val="22"/>
                <c:pt idx="0">
                  <c:v>2.7</c:v>
                </c:pt>
                <c:pt idx="1">
                  <c:v>2.7</c:v>
                </c:pt>
                <c:pt idx="2">
                  <c:v>4</c:v>
                </c:pt>
                <c:pt idx="3">
                  <c:v>4</c:v>
                </c:pt>
                <c:pt idx="4">
                  <c:v>4.2</c:v>
                </c:pt>
                <c:pt idx="5">
                  <c:v>4.2</c:v>
                </c:pt>
                <c:pt idx="6">
                  <c:v>4.4000000000000004</c:v>
                </c:pt>
                <c:pt idx="7">
                  <c:v>4.4000000000000004</c:v>
                </c:pt>
                <c:pt idx="8" formatCode="General">
                  <c:v>4.5999999999999996</c:v>
                </c:pt>
                <c:pt idx="9" formatCode="General">
                  <c:v>4.5999999999999996</c:v>
                </c:pt>
                <c:pt idx="10" formatCode="General">
                  <c:v>4.8</c:v>
                </c:pt>
                <c:pt idx="11" formatCode="General">
                  <c:v>4.8</c:v>
                </c:pt>
                <c:pt idx="12" formatCode="General">
                  <c:v>5</c:v>
                </c:pt>
                <c:pt idx="13" formatCode="General">
                  <c:v>5</c:v>
                </c:pt>
                <c:pt idx="14" formatCode="General">
                  <c:v>5.2</c:v>
                </c:pt>
                <c:pt idx="15" formatCode="General">
                  <c:v>5.2</c:v>
                </c:pt>
                <c:pt idx="16" formatCode="General">
                  <c:v>5.4</c:v>
                </c:pt>
                <c:pt idx="17" formatCode="General">
                  <c:v>5.4</c:v>
                </c:pt>
                <c:pt idx="18" formatCode="General">
                  <c:v>5.6</c:v>
                </c:pt>
                <c:pt idx="19" formatCode="General">
                  <c:v>5.6</c:v>
                </c:pt>
                <c:pt idx="20" formatCode="General">
                  <c:v>5.7</c:v>
                </c:pt>
                <c:pt idx="21" formatCode="0">
                  <c:v>5.7</c:v>
                </c:pt>
              </c:numCache>
            </c:numRef>
          </c:xVal>
          <c:yVal>
            <c:numRef>
              <c:f>'Lens 21'!$C$7:$C$28</c:f>
              <c:numCache>
                <c:formatCode>0.00</c:formatCode>
                <c:ptCount val="22"/>
                <c:pt idx="0">
                  <c:v>0.3</c:v>
                </c:pt>
                <c:pt idx="1">
                  <c:v>0.3</c:v>
                </c:pt>
                <c:pt idx="2">
                  <c:v>0.42</c:v>
                </c:pt>
                <c:pt idx="3">
                  <c:v>0.42</c:v>
                </c:pt>
                <c:pt idx="4">
                  <c:v>0.45</c:v>
                </c:pt>
                <c:pt idx="5">
                  <c:v>0.45</c:v>
                </c:pt>
                <c:pt idx="6">
                  <c:v>0.46500000000000002</c:v>
                </c:pt>
                <c:pt idx="7">
                  <c:v>0.46500000000000002</c:v>
                </c:pt>
                <c:pt idx="8">
                  <c:v>0.49</c:v>
                </c:pt>
                <c:pt idx="9">
                  <c:v>0.49</c:v>
                </c:pt>
                <c:pt idx="10">
                  <c:v>0.52</c:v>
                </c:pt>
                <c:pt idx="11">
                  <c:v>0.52</c:v>
                </c:pt>
                <c:pt idx="12">
                  <c:v>0.54</c:v>
                </c:pt>
                <c:pt idx="13">
                  <c:v>0.54</c:v>
                </c:pt>
                <c:pt idx="14">
                  <c:v>0.56000000000000005</c:v>
                </c:pt>
                <c:pt idx="15">
                  <c:v>0.56000000000000005</c:v>
                </c:pt>
                <c:pt idx="16">
                  <c:v>0.59</c:v>
                </c:pt>
                <c:pt idx="17">
                  <c:v>0.59</c:v>
                </c:pt>
                <c:pt idx="18">
                  <c:v>0.61</c:v>
                </c:pt>
                <c:pt idx="19">
                  <c:v>0.61</c:v>
                </c:pt>
                <c:pt idx="20">
                  <c:v>0.62</c:v>
                </c:pt>
                <c:pt idx="21">
                  <c:v>0.62</c:v>
                </c:pt>
              </c:numCache>
            </c:numRef>
          </c:yVal>
          <c:smooth val="0"/>
          <c:extLst>
            <c:ext xmlns:c16="http://schemas.microsoft.com/office/drawing/2014/chart" uri="{C3380CC4-5D6E-409C-BE32-E72D297353CC}">
              <c16:uniqueId val="{00000001-E6CA-4022-9A46-0563A600E520}"/>
            </c:ext>
          </c:extLst>
        </c:ser>
        <c:dLbls>
          <c:showLegendKey val="0"/>
          <c:showVal val="0"/>
          <c:showCatName val="0"/>
          <c:showSerName val="0"/>
          <c:showPercent val="0"/>
          <c:showBubbleSize val="0"/>
        </c:dLbls>
        <c:axId val="1203012224"/>
        <c:axId val="1"/>
      </c:scatterChart>
      <c:valAx>
        <c:axId val="1203012224"/>
        <c:scaling>
          <c:orientation val="minMax"/>
          <c:min val="4"/>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 Bdot(volts)</a:t>
                </a:r>
              </a:p>
            </c:rich>
          </c:tx>
          <c:layout>
            <c:manualLayout>
              <c:xMode val="edge"/>
              <c:yMode val="edge"/>
              <c:x val="0.47716347201075399"/>
              <c:y val="0.86352103737669705"/>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minorUnit val="0.1"/>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Rogowski (volts)</a:t>
                </a:r>
              </a:p>
            </c:rich>
          </c:tx>
          <c:layout>
            <c:manualLayout>
              <c:xMode val="edge"/>
              <c:yMode val="edge"/>
              <c:x val="3.4736038192353741E-2"/>
              <c:y val="0.31429625992754789"/>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203012224"/>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MathSoftText"/>
                <a:ea typeface="MathSoftText"/>
                <a:cs typeface="MathSoftText"/>
              </a:defRPr>
            </a:pPr>
            <a:r>
              <a:rPr lang="en-US"/>
              <a:t>lens 21 pulse count vs gradient</a:t>
            </a:r>
          </a:p>
        </c:rich>
      </c:tx>
      <c:layout>
        <c:manualLayout>
          <c:xMode val="edge"/>
          <c:yMode val="edge"/>
          <c:x val="0.30509456939021978"/>
          <c:y val="4.0937117856831275E-2"/>
        </c:manualLayout>
      </c:layout>
      <c:overlay val="0"/>
      <c:spPr>
        <a:noFill/>
        <a:ln w="25400">
          <a:noFill/>
        </a:ln>
      </c:spPr>
    </c:title>
    <c:autoTitleDeleted val="0"/>
    <c:plotArea>
      <c:layout>
        <c:manualLayout>
          <c:layoutTarget val="inner"/>
          <c:xMode val="edge"/>
          <c:yMode val="edge"/>
          <c:x val="0.16808450813627851"/>
          <c:y val="0.23100230790640505"/>
          <c:w val="0.80793561894076715"/>
          <c:h val="0.51171397321039092"/>
        </c:manualLayout>
      </c:layout>
      <c:barChart>
        <c:barDir val="col"/>
        <c:grouping val="clustered"/>
        <c:varyColors val="0"/>
        <c:ser>
          <c:idx val="0"/>
          <c:order val="0"/>
          <c:spPr>
            <a:solidFill>
              <a:srgbClr val="9999FF"/>
            </a:solidFill>
            <a:ln w="12700">
              <a:solidFill>
                <a:srgbClr val="000000"/>
              </a:solidFill>
              <a:prstDash val="solid"/>
            </a:ln>
          </c:spPr>
          <c:invertIfNegative val="0"/>
          <c:dLbls>
            <c:dLbl>
              <c:idx val="0"/>
              <c:layout>
                <c:manualLayout>
                  <c:xMode val="edge"/>
                  <c:yMode val="edge"/>
                  <c:x val="0.18220925671915902"/>
                  <c:y val="0.57896780968947081"/>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C2B-4189-8DBF-E62D05551564}"/>
                </c:ext>
              </c:extLst>
            </c:dLbl>
            <c:dLbl>
              <c:idx val="1"/>
              <c:layout>
                <c:manualLayout>
                  <c:xMode val="edge"/>
                  <c:yMode val="edge"/>
                  <c:x val="0.25565794935013786"/>
                  <c:y val="0.45030829642514403"/>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2B-4189-8DBF-E62D05551564}"/>
                </c:ext>
              </c:extLst>
            </c:dLbl>
            <c:dLbl>
              <c:idx val="2"/>
              <c:layout>
                <c:manualLayout>
                  <c:xMode val="edge"/>
                  <c:yMode val="edge"/>
                  <c:x val="0.32910664198111667"/>
                  <c:y val="0.43276381734364494"/>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2B-4189-8DBF-E62D05551564}"/>
                </c:ext>
              </c:extLst>
            </c:dLbl>
            <c:dLbl>
              <c:idx val="3"/>
              <c:layout>
                <c:manualLayout>
                  <c:xMode val="edge"/>
                  <c:yMode val="edge"/>
                  <c:x val="0.40255533461209553"/>
                  <c:y val="0.44446013673131102"/>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2B-4189-8DBF-E62D05551564}"/>
                </c:ext>
              </c:extLst>
            </c:dLbl>
            <c:dLbl>
              <c:idx val="4"/>
              <c:layout>
                <c:manualLayout>
                  <c:xMode val="edge"/>
                  <c:yMode val="edge"/>
                  <c:x val="0.47600402724307433"/>
                  <c:y val="0.43861197703747795"/>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2B-4189-8DBF-E62D05551564}"/>
                </c:ext>
              </c:extLst>
            </c:dLbl>
            <c:dLbl>
              <c:idx val="5"/>
              <c:layout>
                <c:manualLayout>
                  <c:xMode val="edge"/>
                  <c:yMode val="edge"/>
                  <c:x val="0.5494527198740532"/>
                  <c:y val="0.43276381734364494"/>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2B-4189-8DBF-E62D05551564}"/>
                </c:ext>
              </c:extLst>
            </c:dLbl>
            <c:dLbl>
              <c:idx val="6"/>
              <c:layout>
                <c:manualLayout>
                  <c:xMode val="edge"/>
                  <c:yMode val="edge"/>
                  <c:x val="0.62713883707989615"/>
                  <c:y val="0.44738421657822747"/>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2B-4189-8DBF-E62D05551564}"/>
                </c:ext>
              </c:extLst>
            </c:dLbl>
            <c:dLbl>
              <c:idx val="7"/>
              <c:layout>
                <c:manualLayout>
                  <c:xMode val="edge"/>
                  <c:yMode val="edge"/>
                  <c:x val="0.70058752971087512"/>
                  <c:y val="0.44446013673131102"/>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2B-4189-8DBF-E62D05551564}"/>
                </c:ext>
              </c:extLst>
            </c:dLbl>
            <c:dLbl>
              <c:idx val="8"/>
              <c:layout>
                <c:manualLayout>
                  <c:xMode val="edge"/>
                  <c:yMode val="edge"/>
                  <c:x val="0.76979879776698967"/>
                  <c:y val="0.44446013673131102"/>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2B-4189-8DBF-E62D05551564}"/>
                </c:ext>
              </c:extLst>
            </c:dLbl>
            <c:dLbl>
              <c:idx val="9"/>
              <c:layout>
                <c:manualLayout>
                  <c:xMode val="edge"/>
                  <c:yMode val="edge"/>
                  <c:x val="0.84748491497283263"/>
                  <c:y val="0.41229525841522929"/>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2B-4189-8DBF-E62D05551564}"/>
                </c:ext>
              </c:extLst>
            </c:dLbl>
            <c:dLbl>
              <c:idx val="10"/>
              <c:layout>
                <c:manualLayout>
                  <c:xMode val="edge"/>
                  <c:yMode val="edge"/>
                  <c:x val="0.91669618302894729"/>
                  <c:y val="0.44446013673131102"/>
                </c:manualLayout>
              </c:layout>
              <c:numFmt formatCode="0" sourceLinked="0"/>
              <c:spPr>
                <a:noFill/>
                <a:ln w="25400">
                  <a:noFill/>
                </a:ln>
              </c:spPr>
              <c:txPr>
                <a:bodyPr rot="-5400000" vert="horz"/>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2B-4189-8DBF-E62D05551564}"/>
                </c:ext>
              </c:extLst>
            </c:dLbl>
            <c:numFmt formatCode="0" sourceLinked="0"/>
            <c:spPr>
              <a:noFill/>
              <a:ln w="25400">
                <a:noFill/>
              </a:ln>
            </c:spPr>
            <c:txPr>
              <a:bodyPr rot="-5400000" vert="horz" wrap="square" lIns="38100" tIns="19050" rIns="38100" bIns="19050" anchor="ctr">
                <a:spAutoFit/>
              </a:bodyPr>
              <a:lstStyle/>
              <a:p>
                <a:pPr algn="ctr">
                  <a:defRPr sz="10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21'!$E$33:$E$43</c:f>
              <c:numCache>
                <c:formatCode>0</c:formatCode>
                <c:ptCount val="11"/>
                <c:pt idx="0">
                  <c:v>463.00240363508271</c:v>
                </c:pt>
                <c:pt idx="1">
                  <c:v>676.39024413386835</c:v>
                </c:pt>
                <c:pt idx="2">
                  <c:v>711.30825439730586</c:v>
                </c:pt>
                <c:pt idx="3">
                  <c:v>742.34648574258381</c:v>
                </c:pt>
                <c:pt idx="4">
                  <c:v>788.90383276050068</c:v>
                </c:pt>
                <c:pt idx="5">
                  <c:v>819.94206410577817</c:v>
                </c:pt>
                <c:pt idx="6">
                  <c:v>862.61963220553571</c:v>
                </c:pt>
                <c:pt idx="7">
                  <c:v>889.77808463265376</c:v>
                </c:pt>
                <c:pt idx="8">
                  <c:v>928.57587381425094</c:v>
                </c:pt>
                <c:pt idx="9">
                  <c:v>959.61410515952912</c:v>
                </c:pt>
                <c:pt idx="10">
                  <c:v>979.01299975032759</c:v>
                </c:pt>
              </c:numCache>
            </c:numRef>
          </c:cat>
          <c:val>
            <c:numRef>
              <c:f>'Lens 21'!$A$33:$A$43</c:f>
              <c:numCache>
                <c:formatCode>0</c:formatCode>
                <c:ptCount val="11"/>
                <c:pt idx="0">
                  <c:v>1000</c:v>
                </c:pt>
                <c:pt idx="1">
                  <c:v>39600</c:v>
                </c:pt>
                <c:pt idx="2">
                  <c:v>41400</c:v>
                </c:pt>
                <c:pt idx="3">
                  <c:v>42500</c:v>
                </c:pt>
                <c:pt idx="4">
                  <c:v>37500</c:v>
                </c:pt>
                <c:pt idx="5">
                  <c:v>41000</c:v>
                </c:pt>
                <c:pt idx="6">
                  <c:v>40000</c:v>
                </c:pt>
                <c:pt idx="7">
                  <c:v>25000</c:v>
                </c:pt>
                <c:pt idx="8">
                  <c:v>56500</c:v>
                </c:pt>
                <c:pt idx="9">
                  <c:v>41000</c:v>
                </c:pt>
                <c:pt idx="10">
                  <c:v>44200</c:v>
                </c:pt>
              </c:numCache>
            </c:numRef>
          </c:val>
          <c:extLst>
            <c:ext xmlns:c16="http://schemas.microsoft.com/office/drawing/2014/chart" uri="{C3380CC4-5D6E-409C-BE32-E72D297353CC}">
              <c16:uniqueId val="{0000000B-EC2B-4189-8DBF-E62D05551564}"/>
            </c:ext>
          </c:extLst>
        </c:ser>
        <c:dLbls>
          <c:showLegendKey val="0"/>
          <c:showVal val="1"/>
          <c:showCatName val="0"/>
          <c:showSerName val="0"/>
          <c:showPercent val="0"/>
          <c:showBubbleSize val="0"/>
        </c:dLbls>
        <c:gapWidth val="150"/>
        <c:axId val="1707242928"/>
        <c:axId val="1"/>
      </c:barChart>
      <c:catAx>
        <c:axId val="1707242928"/>
        <c:scaling>
          <c:orientation val="minMax"/>
        </c:scaling>
        <c:delete val="0"/>
        <c:axPos val="b"/>
        <c:title>
          <c:tx>
            <c:rich>
              <a:bodyPr/>
              <a:lstStyle/>
              <a:p>
                <a:pPr>
                  <a:defRPr sz="1000" b="0" i="0" u="none" strike="noStrike" baseline="0">
                    <a:solidFill>
                      <a:srgbClr val="000000"/>
                    </a:solidFill>
                    <a:latin typeface="MathSoftText"/>
                    <a:ea typeface="MathSoftText"/>
                    <a:cs typeface="MathSoftText"/>
                  </a:defRPr>
                </a:pPr>
                <a:r>
                  <a:rPr lang="en-US"/>
                  <a:t>gradient (T/m)</a:t>
                </a:r>
              </a:p>
            </c:rich>
          </c:tx>
          <c:layout>
            <c:manualLayout>
              <c:xMode val="edge"/>
              <c:yMode val="edge"/>
              <c:x val="0.49577867525910713"/>
              <c:y val="0.85967947499345665"/>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10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100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2.6837022307473035E-2"/>
              <c:y val="0.29533206453856847"/>
            </c:manualLayout>
          </c:layout>
          <c:overlay val="0"/>
          <c:spPr>
            <a:noFill/>
            <a:ln w="25400">
              <a:noFill/>
            </a:ln>
          </c:spPr>
        </c:title>
        <c:numFmt formatCode="0" sourceLinked="1"/>
        <c:majorTickMark val="out"/>
        <c:minorTickMark val="none"/>
        <c:tickLblPos val="nextTo"/>
        <c:spPr>
          <a:ln w="3175">
            <a:solidFill>
              <a:srgbClr val="99CC00"/>
            </a:solidFill>
            <a:prstDash val="solid"/>
          </a:ln>
        </c:spPr>
        <c:txPr>
          <a:bodyPr rot="0" vert="horz"/>
          <a:lstStyle/>
          <a:p>
            <a:pPr>
              <a:defRPr sz="1000" b="0" i="0" u="none" strike="noStrike" baseline="0">
                <a:solidFill>
                  <a:srgbClr val="000000"/>
                </a:solidFill>
                <a:latin typeface="MathSoftText"/>
                <a:ea typeface="MathSoftText"/>
                <a:cs typeface="MathSoftText"/>
              </a:defRPr>
            </a:pPr>
            <a:endParaRPr lang="en-US"/>
          </a:p>
        </c:txPr>
        <c:crossAx val="1707242928"/>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000000"/>
                </a:solidFill>
                <a:latin typeface="MathSoftText"/>
                <a:ea typeface="MathSoftText"/>
                <a:cs typeface="MathSoftText"/>
              </a:defRPr>
            </a:pPr>
            <a:r>
              <a:rPr lang="en-US"/>
              <a:t>lens 20 pulse count vs peak current</a:t>
            </a:r>
          </a:p>
        </c:rich>
      </c:tx>
      <c:layout>
        <c:manualLayout>
          <c:xMode val="edge"/>
          <c:yMode val="edge"/>
          <c:x val="0.23609962918329797"/>
          <c:y val="3.5378459799702722E-2"/>
        </c:manualLayout>
      </c:layout>
      <c:overlay val="0"/>
      <c:spPr>
        <a:noFill/>
        <a:ln w="25400">
          <a:noFill/>
        </a:ln>
      </c:spPr>
    </c:title>
    <c:autoTitleDeleted val="0"/>
    <c:plotArea>
      <c:layout>
        <c:manualLayout>
          <c:layoutTarget val="inner"/>
          <c:xMode val="edge"/>
          <c:yMode val="edge"/>
          <c:x val="0.21303242403320566"/>
          <c:y val="0.24529065461127225"/>
          <c:w val="0.76257466437364074"/>
          <c:h val="0.50473269314242553"/>
        </c:manualLayout>
      </c:layout>
      <c:barChart>
        <c:barDir val="col"/>
        <c:grouping val="clustered"/>
        <c:varyColors val="0"/>
        <c:ser>
          <c:idx val="0"/>
          <c:order val="0"/>
          <c:spPr>
            <a:solidFill>
              <a:srgbClr val="9999FF"/>
            </a:solidFill>
            <a:ln w="12700">
              <a:solidFill>
                <a:srgbClr val="000000"/>
              </a:solidFill>
              <a:prstDash val="solid"/>
            </a:ln>
          </c:spPr>
          <c:invertIfNegative val="0"/>
          <c:dLbls>
            <c:dLbl>
              <c:idx val="0"/>
              <c:layout>
                <c:manualLayout>
                  <c:xMode val="edge"/>
                  <c:yMode val="edge"/>
                  <c:x val="0.22253068497736134"/>
                  <c:y val="0.55897966483530304"/>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C4E-4819-941F-C6E96C5CE25E}"/>
                </c:ext>
              </c:extLst>
            </c:dLbl>
            <c:dLbl>
              <c:idx val="1"/>
              <c:layout>
                <c:manualLayout>
                  <c:xMode val="edge"/>
                  <c:yMode val="edge"/>
                  <c:x val="0.28630472274526364"/>
                  <c:y val="0.48114705327595703"/>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4E-4819-941F-C6E96C5CE25E}"/>
                </c:ext>
              </c:extLst>
            </c:dLbl>
            <c:dLbl>
              <c:idx val="2"/>
              <c:layout>
                <c:manualLayout>
                  <c:xMode val="edge"/>
                  <c:yMode val="edge"/>
                  <c:x val="0.350078760513166"/>
                  <c:y val="0.48822274523589759"/>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4E-4819-941F-C6E96C5CE25E}"/>
                </c:ext>
              </c:extLst>
            </c:dLbl>
            <c:dLbl>
              <c:idx val="3"/>
              <c:layout>
                <c:manualLayout>
                  <c:xMode val="edge"/>
                  <c:yMode val="edge"/>
                  <c:x val="0.4138527982810683"/>
                  <c:y val="0.47171279732936972"/>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4E-4819-941F-C6E96C5CE25E}"/>
                </c:ext>
              </c:extLst>
            </c:dLbl>
            <c:dLbl>
              <c:idx val="4"/>
              <c:layout>
                <c:manualLayout>
                  <c:xMode val="edge"/>
                  <c:yMode val="edge"/>
                  <c:x val="0.47626994162837699"/>
                  <c:y val="0.48822274523589759"/>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4E-4819-941F-C6E96C5CE25E}"/>
                </c:ext>
              </c:extLst>
            </c:dLbl>
            <c:dLbl>
              <c:idx val="5"/>
              <c:layout>
                <c:manualLayout>
                  <c:xMode val="edge"/>
                  <c:yMode val="edge"/>
                  <c:x val="0.54004397939627924"/>
                  <c:y val="0.50473269314242553"/>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C4E-4819-941F-C6E96C5CE25E}"/>
                </c:ext>
              </c:extLst>
            </c:dLbl>
            <c:dLbl>
              <c:idx val="6"/>
              <c:layout>
                <c:manualLayout>
                  <c:xMode val="edge"/>
                  <c:yMode val="edge"/>
                  <c:x val="0.60381801716418171"/>
                  <c:y val="0.48822274523589759"/>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C4E-4819-941F-C6E96C5CE25E}"/>
                </c:ext>
              </c:extLst>
            </c:dLbl>
            <c:dLbl>
              <c:idx val="7"/>
              <c:layout>
                <c:manualLayout>
                  <c:xMode val="edge"/>
                  <c:yMode val="edge"/>
                  <c:x val="0.66759205493208396"/>
                  <c:y val="0.4905813092225445"/>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C4E-4819-941F-C6E96C5CE25E}"/>
                </c:ext>
              </c:extLst>
            </c:dLbl>
            <c:dLbl>
              <c:idx val="8"/>
              <c:layout>
                <c:manualLayout>
                  <c:xMode val="edge"/>
                  <c:yMode val="edge"/>
                  <c:x val="0.73136609269998643"/>
                  <c:y val="0.49765700118248496"/>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C4E-4819-941F-C6E96C5CE25E}"/>
                </c:ext>
              </c:extLst>
            </c:dLbl>
            <c:dLbl>
              <c:idx val="9"/>
              <c:layout>
                <c:manualLayout>
                  <c:xMode val="edge"/>
                  <c:yMode val="edge"/>
                  <c:x val="0.79514013046788867"/>
                  <c:y val="0.50473269314242553"/>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C4E-4819-941F-C6E96C5CE25E}"/>
                </c:ext>
              </c:extLst>
            </c:dLbl>
            <c:dLbl>
              <c:idx val="10"/>
              <c:layout>
                <c:manualLayout>
                  <c:xMode val="edge"/>
                  <c:yMode val="edge"/>
                  <c:x val="0.85755727381519731"/>
                  <c:y val="0.47642992530266337"/>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C4E-4819-941F-C6E96C5CE25E}"/>
                </c:ext>
              </c:extLst>
            </c:dLbl>
            <c:spPr>
              <a:noFill/>
              <a:ln w="25400">
                <a:noFill/>
              </a:ln>
            </c:spPr>
            <c:txPr>
              <a:bodyPr rot="-5400000" vert="horz" wrap="square" lIns="38100" tIns="19050" rIns="38100" bIns="19050" anchor="ctr">
                <a:spAutoFit/>
              </a:bodyPr>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20'!$G$37:$G$48</c:f>
              <c:numCache>
                <c:formatCode>0</c:formatCode>
                <c:ptCount val="12"/>
                <c:pt idx="0">
                  <c:v>295.85677884028894</c:v>
                </c:pt>
                <c:pt idx="1">
                  <c:v>435.14875179640211</c:v>
                </c:pt>
                <c:pt idx="2">
                  <c:v>447.58553509605508</c:v>
                </c:pt>
                <c:pt idx="3">
                  <c:v>477.43381501522214</c:v>
                </c:pt>
                <c:pt idx="4">
                  <c:v>499.82002495459733</c:v>
                </c:pt>
                <c:pt idx="5">
                  <c:v>522.20623489397269</c:v>
                </c:pt>
                <c:pt idx="6">
                  <c:v>547.07980149327864</c:v>
                </c:pt>
                <c:pt idx="7">
                  <c:v>566.9786547727233</c:v>
                </c:pt>
                <c:pt idx="8">
                  <c:v>594.33957803195983</c:v>
                </c:pt>
                <c:pt idx="9">
                  <c:v>614.23843131140472</c:v>
                </c:pt>
                <c:pt idx="10">
                  <c:v>626.67521461105753</c:v>
                </c:pt>
              </c:numCache>
            </c:numRef>
          </c:cat>
          <c:val>
            <c:numRef>
              <c:f>'Lens 20'!$A$37:$A$48</c:f>
              <c:numCache>
                <c:formatCode>General</c:formatCode>
                <c:ptCount val="12"/>
                <c:pt idx="0">
                  <c:v>1100</c:v>
                </c:pt>
                <c:pt idx="1">
                  <c:v>10025</c:v>
                </c:pt>
                <c:pt idx="2">
                  <c:v>34375</c:v>
                </c:pt>
                <c:pt idx="3">
                  <c:v>15734</c:v>
                </c:pt>
                <c:pt idx="4">
                  <c:v>59766</c:v>
                </c:pt>
                <c:pt idx="5">
                  <c:v>40000</c:v>
                </c:pt>
                <c:pt idx="6">
                  <c:v>102000</c:v>
                </c:pt>
                <c:pt idx="7">
                  <c:v>57000</c:v>
                </c:pt>
                <c:pt idx="8">
                  <c:v>40000</c:v>
                </c:pt>
                <c:pt idx="9">
                  <c:v>40000</c:v>
                </c:pt>
                <c:pt idx="10">
                  <c:v>8615</c:v>
                </c:pt>
              </c:numCache>
            </c:numRef>
          </c:val>
          <c:extLst>
            <c:ext xmlns:c16="http://schemas.microsoft.com/office/drawing/2014/chart" uri="{C3380CC4-5D6E-409C-BE32-E72D297353CC}">
              <c16:uniqueId val="{0000000B-7C4E-4819-941F-C6E96C5CE25E}"/>
            </c:ext>
          </c:extLst>
        </c:ser>
        <c:dLbls>
          <c:showLegendKey val="0"/>
          <c:showVal val="1"/>
          <c:showCatName val="0"/>
          <c:showSerName val="0"/>
          <c:showPercent val="0"/>
          <c:showBubbleSize val="0"/>
        </c:dLbls>
        <c:gapWidth val="150"/>
        <c:axId val="1707214128"/>
        <c:axId val="1"/>
      </c:barChart>
      <c:catAx>
        <c:axId val="1707214128"/>
        <c:scaling>
          <c:orientation val="minMax"/>
        </c:scaling>
        <c:delete val="0"/>
        <c:axPos val="b"/>
        <c:title>
          <c:tx>
            <c:rich>
              <a:bodyPr/>
              <a:lstStyle/>
              <a:p>
                <a:pPr>
                  <a:defRPr sz="1200" b="0" i="0" u="none" strike="noStrike" baseline="0">
                    <a:solidFill>
                      <a:srgbClr val="000000"/>
                    </a:solidFill>
                    <a:latin typeface="MathSoftText"/>
                    <a:ea typeface="MathSoftText"/>
                    <a:cs typeface="MathSoftText"/>
                  </a:defRPr>
                </a:pPr>
                <a:r>
                  <a:rPr lang="en-US"/>
                  <a:t>kiloamps</a:t>
                </a:r>
              </a:p>
            </c:rich>
          </c:tx>
          <c:layout>
            <c:manualLayout>
              <c:xMode val="edge"/>
              <c:yMode val="edge"/>
              <c:x val="0.46134410300184658"/>
              <c:y val="0.85615872715280594"/>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12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120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9349938197216328E-2"/>
              <c:y val="0.31368901022403084"/>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1200" b="0" i="0" u="none" strike="noStrike" baseline="0">
                <a:solidFill>
                  <a:srgbClr val="000000"/>
                </a:solidFill>
                <a:latin typeface="MathSoftText"/>
                <a:ea typeface="MathSoftText"/>
                <a:cs typeface="MathSoftText"/>
              </a:defRPr>
            </a:pPr>
            <a:endParaRPr lang="en-US"/>
          </a:p>
        </c:txPr>
        <c:crossAx val="1707214128"/>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5" b="0" i="0" u="none" strike="noStrike" baseline="0">
                <a:solidFill>
                  <a:srgbClr val="000000"/>
                </a:solidFill>
                <a:latin typeface="MathSoftText"/>
                <a:ea typeface="MathSoftText"/>
                <a:cs typeface="MathSoftText"/>
              </a:defRPr>
            </a:pPr>
            <a:r>
              <a:rPr lang="en-US"/>
              <a:t>lens 20 pulse count vs peak current</a:t>
            </a:r>
          </a:p>
        </c:rich>
      </c:tx>
      <c:layout>
        <c:manualLayout>
          <c:xMode val="edge"/>
          <c:yMode val="edge"/>
          <c:x val="0.42765535572335645"/>
          <c:y val="8.5717308514336413E-2"/>
        </c:manualLayout>
      </c:layout>
      <c:overlay val="0"/>
      <c:spPr>
        <a:noFill/>
        <a:ln w="25400">
          <a:noFill/>
        </a:ln>
      </c:spPr>
    </c:title>
    <c:autoTitleDeleted val="0"/>
    <c:plotArea>
      <c:layout>
        <c:manualLayout>
          <c:layoutTarget val="inner"/>
          <c:xMode val="edge"/>
          <c:yMode val="edge"/>
          <c:x val="6.8294771636429552E-2"/>
          <c:y val="0.39048996100975469"/>
          <c:w val="0.88783203127358412"/>
          <c:h val="0.2857243617144547"/>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20'!$E$37:$E$47</c:f>
              <c:numCache>
                <c:formatCode>0</c:formatCode>
                <c:ptCount val="11"/>
                <c:pt idx="0">
                  <c:v>295856.77884028893</c:v>
                </c:pt>
                <c:pt idx="1">
                  <c:v>435148.7517964021</c:v>
                </c:pt>
                <c:pt idx="2">
                  <c:v>447585.53509605507</c:v>
                </c:pt>
                <c:pt idx="3">
                  <c:v>477433.81501522212</c:v>
                </c:pt>
                <c:pt idx="4" formatCode="General">
                  <c:v>499820.02495459735</c:v>
                </c:pt>
                <c:pt idx="5" formatCode="General">
                  <c:v>522206.23489397269</c:v>
                </c:pt>
                <c:pt idx="6" formatCode="General">
                  <c:v>547079.80149327859</c:v>
                </c:pt>
                <c:pt idx="7" formatCode="General">
                  <c:v>566978.65477272333</c:v>
                </c:pt>
                <c:pt idx="8" formatCode="General">
                  <c:v>594339.57803195983</c:v>
                </c:pt>
                <c:pt idx="9" formatCode="General">
                  <c:v>614238.43131140468</c:v>
                </c:pt>
                <c:pt idx="10" formatCode="General">
                  <c:v>626675.21461105754</c:v>
                </c:pt>
              </c:numCache>
            </c:numRef>
          </c:xVal>
          <c:yVal>
            <c:numRef>
              <c:f>'Lens 20'!$A$37:$A$47</c:f>
              <c:numCache>
                <c:formatCode>General</c:formatCode>
                <c:ptCount val="11"/>
                <c:pt idx="0">
                  <c:v>1100</c:v>
                </c:pt>
                <c:pt idx="1">
                  <c:v>10025</c:v>
                </c:pt>
                <c:pt idx="2">
                  <c:v>34375</c:v>
                </c:pt>
                <c:pt idx="3">
                  <c:v>15734</c:v>
                </c:pt>
                <c:pt idx="4">
                  <c:v>59766</c:v>
                </c:pt>
                <c:pt idx="5">
                  <c:v>40000</c:v>
                </c:pt>
                <c:pt idx="6">
                  <c:v>102000</c:v>
                </c:pt>
                <c:pt idx="7">
                  <c:v>57000</c:v>
                </c:pt>
                <c:pt idx="8">
                  <c:v>40000</c:v>
                </c:pt>
                <c:pt idx="9">
                  <c:v>40000</c:v>
                </c:pt>
                <c:pt idx="10">
                  <c:v>8615</c:v>
                </c:pt>
              </c:numCache>
            </c:numRef>
          </c:yVal>
          <c:smooth val="0"/>
          <c:extLst>
            <c:ext xmlns:c16="http://schemas.microsoft.com/office/drawing/2014/chart" uri="{C3380CC4-5D6E-409C-BE32-E72D297353CC}">
              <c16:uniqueId val="{00000000-D99E-4C5D-8B4C-14D8A721C435}"/>
            </c:ext>
          </c:extLst>
        </c:ser>
        <c:dLbls>
          <c:showLegendKey val="0"/>
          <c:showVal val="0"/>
          <c:showCatName val="0"/>
          <c:showSerName val="0"/>
          <c:showPercent val="0"/>
          <c:showBubbleSize val="0"/>
        </c:dLbls>
        <c:axId val="1707955168"/>
        <c:axId val="1"/>
      </c:scatterChart>
      <c:valAx>
        <c:axId val="1707955168"/>
        <c:scaling>
          <c:orientation val="minMax"/>
          <c:max val="700000"/>
          <c:min val="200000"/>
        </c:scaling>
        <c:delete val="0"/>
        <c:axPos val="b"/>
        <c:numFmt formatCode="0" sourceLinked="0"/>
        <c:majorTickMark val="out"/>
        <c:minorTickMark val="none"/>
        <c:tickLblPos val="nextTo"/>
        <c:spPr>
          <a:ln w="3175">
            <a:solidFill>
              <a:srgbClr val="99CC00"/>
            </a:solidFill>
            <a:prstDash val="solid"/>
          </a:ln>
        </c:spPr>
        <c:txPr>
          <a:bodyPr rot="0" vert="horz"/>
          <a:lstStyle/>
          <a:p>
            <a:pPr>
              <a:defRPr sz="275" b="0" i="0" u="none" strike="noStrike" baseline="0">
                <a:solidFill>
                  <a:srgbClr val="000000"/>
                </a:solidFill>
                <a:latin typeface="MathSoftText"/>
                <a:ea typeface="MathSoftText"/>
                <a:cs typeface="MathSoftText"/>
              </a:defRPr>
            </a:pPr>
            <a:endParaRPr lang="en-US"/>
          </a:p>
        </c:txPr>
        <c:crossAx val="1"/>
        <c:crosses val="autoZero"/>
        <c:crossBetween val="midCat"/>
        <c:majorUnit val="100000"/>
        <c:minorUnit val="20000"/>
      </c:valAx>
      <c:valAx>
        <c:axId val="1"/>
        <c:scaling>
          <c:orientation val="minMax"/>
          <c:max val="125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275" b="0" i="0" u="none" strike="noStrike" baseline="0">
                <a:solidFill>
                  <a:srgbClr val="000000"/>
                </a:solidFill>
                <a:latin typeface="MathSoftText"/>
                <a:ea typeface="MathSoftText"/>
                <a:cs typeface="MathSoftText"/>
              </a:defRPr>
            </a:pPr>
            <a:endParaRPr lang="en-US"/>
          </a:p>
        </c:txPr>
        <c:crossAx val="1707955168"/>
        <c:crosses val="autoZero"/>
        <c:crossBetween val="midCat"/>
        <c:majorUnit val="25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7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0" i="0" u="none" strike="noStrike" baseline="0">
                <a:solidFill>
                  <a:srgbClr val="000000"/>
                </a:solidFill>
                <a:latin typeface="MathSoftText"/>
                <a:ea typeface="MathSoftText"/>
                <a:cs typeface="MathSoftText"/>
              </a:defRPr>
            </a:pPr>
            <a:r>
              <a:rPr lang="en-US"/>
              <a:t>lens 20 pulse count vs peak current</a:t>
            </a:r>
          </a:p>
        </c:rich>
      </c:tx>
      <c:layout>
        <c:manualLayout>
          <c:xMode val="edge"/>
          <c:yMode val="edge"/>
          <c:x val="0.23609509524163289"/>
          <c:y val="3.9549309670348136E-2"/>
        </c:manualLayout>
      </c:layout>
      <c:overlay val="0"/>
      <c:spPr>
        <a:noFill/>
        <a:ln w="25400">
          <a:noFill/>
        </a:ln>
      </c:spPr>
    </c:title>
    <c:autoTitleDeleted val="0"/>
    <c:plotArea>
      <c:layout>
        <c:manualLayout>
          <c:layoutTarget val="inner"/>
          <c:xMode val="edge"/>
          <c:yMode val="edge"/>
          <c:x val="0.14840263129474066"/>
          <c:y val="0.22034615387765391"/>
          <c:w val="0.8229600462708343"/>
          <c:h val="0.5395655819311781"/>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20'!$E$37:$E$47</c:f>
              <c:numCache>
                <c:formatCode>0</c:formatCode>
                <c:ptCount val="11"/>
                <c:pt idx="0">
                  <c:v>295856.77884028893</c:v>
                </c:pt>
                <c:pt idx="1">
                  <c:v>435148.7517964021</c:v>
                </c:pt>
                <c:pt idx="2">
                  <c:v>447585.53509605507</c:v>
                </c:pt>
                <c:pt idx="3">
                  <c:v>477433.81501522212</c:v>
                </c:pt>
                <c:pt idx="4" formatCode="General">
                  <c:v>499820.02495459735</c:v>
                </c:pt>
                <c:pt idx="5" formatCode="General">
                  <c:v>522206.23489397269</c:v>
                </c:pt>
                <c:pt idx="6" formatCode="General">
                  <c:v>547079.80149327859</c:v>
                </c:pt>
                <c:pt idx="7" formatCode="General">
                  <c:v>566978.65477272333</c:v>
                </c:pt>
                <c:pt idx="8" formatCode="General">
                  <c:v>594339.57803195983</c:v>
                </c:pt>
                <c:pt idx="9" formatCode="General">
                  <c:v>614238.43131140468</c:v>
                </c:pt>
                <c:pt idx="10" formatCode="General">
                  <c:v>626675.21461105754</c:v>
                </c:pt>
              </c:numCache>
            </c:numRef>
          </c:cat>
          <c:val>
            <c:numRef>
              <c:f>'Lens 20'!$A$37:$A$47</c:f>
              <c:numCache>
                <c:formatCode>General</c:formatCode>
                <c:ptCount val="11"/>
                <c:pt idx="0">
                  <c:v>1100</c:v>
                </c:pt>
                <c:pt idx="1">
                  <c:v>10025</c:v>
                </c:pt>
                <c:pt idx="2">
                  <c:v>34375</c:v>
                </c:pt>
                <c:pt idx="3">
                  <c:v>15734</c:v>
                </c:pt>
                <c:pt idx="4">
                  <c:v>59766</c:v>
                </c:pt>
                <c:pt idx="5">
                  <c:v>40000</c:v>
                </c:pt>
                <c:pt idx="6">
                  <c:v>102000</c:v>
                </c:pt>
                <c:pt idx="7">
                  <c:v>57000</c:v>
                </c:pt>
                <c:pt idx="8">
                  <c:v>40000</c:v>
                </c:pt>
                <c:pt idx="9">
                  <c:v>40000</c:v>
                </c:pt>
                <c:pt idx="10">
                  <c:v>8615</c:v>
                </c:pt>
              </c:numCache>
            </c:numRef>
          </c:val>
          <c:extLst>
            <c:ext xmlns:c16="http://schemas.microsoft.com/office/drawing/2014/chart" uri="{C3380CC4-5D6E-409C-BE32-E72D297353CC}">
              <c16:uniqueId val="{00000000-C29B-41FF-94D1-8237576FE221}"/>
            </c:ext>
          </c:extLst>
        </c:ser>
        <c:dLbls>
          <c:showLegendKey val="0"/>
          <c:showVal val="0"/>
          <c:showCatName val="0"/>
          <c:showSerName val="0"/>
          <c:showPercent val="0"/>
          <c:showBubbleSize val="0"/>
        </c:dLbls>
        <c:gapWidth val="150"/>
        <c:axId val="1707234288"/>
        <c:axId val="1"/>
      </c:barChart>
      <c:catAx>
        <c:axId val="1707234288"/>
        <c:scaling>
          <c:orientation val="minMax"/>
        </c:scaling>
        <c:delete val="0"/>
        <c:axPos val="b"/>
        <c:numFmt formatCode="0" sourceLinked="0"/>
        <c:majorTickMark val="out"/>
        <c:minorTickMark val="none"/>
        <c:tickLblPos val="nextTo"/>
        <c:spPr>
          <a:ln w="3175">
            <a:solidFill>
              <a:srgbClr val="99CC00"/>
            </a:solidFill>
            <a:prstDash val="solid"/>
          </a:ln>
        </c:spPr>
        <c:txPr>
          <a:bodyPr rot="-2700000" vert="horz"/>
          <a:lstStyle/>
          <a:p>
            <a:pPr>
              <a:defRPr sz="97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140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975" b="0" i="0" u="none" strike="noStrike" baseline="0">
                <a:solidFill>
                  <a:srgbClr val="000000"/>
                </a:solidFill>
                <a:latin typeface="MathSoftText"/>
                <a:ea typeface="MathSoftText"/>
                <a:cs typeface="MathSoftText"/>
              </a:defRPr>
            </a:pPr>
            <a:endParaRPr lang="en-US"/>
          </a:p>
        </c:txPr>
        <c:crossAx val="1707234288"/>
        <c:crosses val="autoZero"/>
        <c:crossBetween val="between"/>
        <c:majorUnit val="20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MathSoftText"/>
                <a:ea typeface="MathSoftText"/>
                <a:cs typeface="MathSoftText"/>
              </a:defRPr>
            </a:pPr>
            <a:r>
              <a:rPr lang="en-US"/>
              <a:t>lens 16  pulse count vs peak current</a:t>
            </a:r>
          </a:p>
        </c:rich>
      </c:tx>
      <c:layout>
        <c:manualLayout>
          <c:xMode val="edge"/>
          <c:yMode val="edge"/>
          <c:x val="0.26159298651247842"/>
          <c:y val="3.9217037852946279E-2"/>
        </c:manualLayout>
      </c:layout>
      <c:overlay val="0"/>
      <c:spPr>
        <a:noFill/>
        <a:ln w="25400">
          <a:noFill/>
        </a:ln>
      </c:spPr>
    </c:title>
    <c:autoTitleDeleted val="0"/>
    <c:plotArea>
      <c:layout>
        <c:manualLayout>
          <c:layoutTarget val="inner"/>
          <c:xMode val="edge"/>
          <c:yMode val="edge"/>
          <c:x val="0.20628475507841151"/>
          <c:y val="0.22409735915969303"/>
          <c:w val="0.76833597181379365"/>
          <c:h val="0.51822514305679013"/>
        </c:manualLayout>
      </c:layout>
      <c:barChart>
        <c:barDir val="col"/>
        <c:grouping val="clustered"/>
        <c:varyColors val="0"/>
        <c:ser>
          <c:idx val="0"/>
          <c:order val="0"/>
          <c:spPr>
            <a:solidFill>
              <a:srgbClr val="9999FF"/>
            </a:solidFill>
            <a:ln w="12700">
              <a:solidFill>
                <a:srgbClr val="000000"/>
              </a:solidFill>
              <a:prstDash val="solid"/>
            </a:ln>
          </c:spPr>
          <c:invertIfNegative val="0"/>
          <c:dLbls>
            <c:dLbl>
              <c:idx val="0"/>
              <c:layout>
                <c:manualLayout>
                  <c:xMode val="edge"/>
                  <c:yMode val="edge"/>
                  <c:x val="0.21973810867048185"/>
                  <c:y val="0.53223122800427092"/>
                </c:manualLayout>
              </c:layout>
              <c:numFmt formatCode="0" sourceLinked="0"/>
              <c:spPr>
                <a:noFill/>
                <a:ln w="25400">
                  <a:noFill/>
                </a:ln>
              </c:spPr>
              <c:txPr>
                <a:bodyPr rot="-5400000" vert="horz"/>
                <a:lstStyle/>
                <a:p>
                  <a:pPr algn="ctr">
                    <a:defRPr sz="105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D3-49D3-B802-B45795FB3666}"/>
                </c:ext>
              </c:extLst>
            </c:dLbl>
            <c:dLbl>
              <c:idx val="1"/>
              <c:layout>
                <c:manualLayout>
                  <c:xMode val="edge"/>
                  <c:yMode val="edge"/>
                  <c:x val="0.31092194968340292"/>
                  <c:y val="0.51262270907779783"/>
                </c:manualLayout>
              </c:layout>
              <c:numFmt formatCode="0" sourceLinked="0"/>
              <c:spPr>
                <a:noFill/>
                <a:ln w="25400">
                  <a:noFill/>
                </a:ln>
              </c:spPr>
              <c:txPr>
                <a:bodyPr rot="-5400000" vert="horz"/>
                <a:lstStyle/>
                <a:p>
                  <a:pPr algn="ctr">
                    <a:defRPr sz="105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D3-49D3-B802-B45795FB3666}"/>
                </c:ext>
              </c:extLst>
            </c:dLbl>
            <c:dLbl>
              <c:idx val="2"/>
              <c:layout>
                <c:manualLayout>
                  <c:xMode val="edge"/>
                  <c:yMode val="edge"/>
                  <c:x val="0.39612652243318147"/>
                  <c:y val="0.45939958627737071"/>
                </c:manualLayout>
              </c:layout>
              <c:numFmt formatCode="0" sourceLinked="0"/>
              <c:spPr>
                <a:noFill/>
                <a:ln w="25400">
                  <a:noFill/>
                </a:ln>
              </c:spPr>
              <c:txPr>
                <a:bodyPr rot="-5400000" vert="horz"/>
                <a:lstStyle/>
                <a:p>
                  <a:pPr algn="ctr">
                    <a:defRPr sz="105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D3-49D3-B802-B45795FB3666}"/>
                </c:ext>
              </c:extLst>
            </c:dLbl>
            <c:dLbl>
              <c:idx val="3"/>
              <c:layout>
                <c:manualLayout>
                  <c:xMode val="edge"/>
                  <c:yMode val="edge"/>
                  <c:x val="0.48133109518296019"/>
                  <c:y val="0.52382757703578242"/>
                </c:manualLayout>
              </c:layout>
              <c:numFmt formatCode="0" sourceLinked="0"/>
              <c:spPr>
                <a:noFill/>
                <a:ln w="25400">
                  <a:noFill/>
                </a:ln>
              </c:spPr>
              <c:txPr>
                <a:bodyPr rot="-5400000" vert="horz"/>
                <a:lstStyle/>
                <a:p>
                  <a:pPr algn="ctr">
                    <a:defRPr sz="105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D3-49D3-B802-B45795FB3666}"/>
                </c:ext>
              </c:extLst>
            </c:dLbl>
            <c:dLbl>
              <c:idx val="4"/>
              <c:layout>
                <c:manualLayout>
                  <c:xMode val="edge"/>
                  <c:yMode val="edge"/>
                  <c:x val="0.56803048499852449"/>
                  <c:y val="0.49021297316182849"/>
                </c:manualLayout>
              </c:layout>
              <c:numFmt formatCode="0" sourceLinked="0"/>
              <c:spPr>
                <a:noFill/>
                <a:ln w="25400">
                  <a:noFill/>
                </a:ln>
              </c:spPr>
              <c:txPr>
                <a:bodyPr rot="-5400000" vert="horz"/>
                <a:lstStyle/>
                <a:p>
                  <a:pPr algn="ctr">
                    <a:defRPr sz="105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9D3-49D3-B802-B45795FB3666}"/>
                </c:ext>
              </c:extLst>
            </c:dLbl>
            <c:dLbl>
              <c:idx val="5"/>
              <c:layout>
                <c:manualLayout>
                  <c:xMode val="edge"/>
                  <c:yMode val="edge"/>
                  <c:x val="0.64725578948516083"/>
                  <c:y val="0.50982149208830163"/>
                </c:manualLayout>
              </c:layout>
              <c:numFmt formatCode="0" sourceLinked="0"/>
              <c:spPr>
                <a:noFill/>
                <a:ln w="25400">
                  <a:noFill/>
                </a:ln>
              </c:spPr>
              <c:txPr>
                <a:bodyPr rot="-5400000" vert="horz"/>
                <a:lstStyle/>
                <a:p>
                  <a:pPr algn="ctr">
                    <a:defRPr sz="105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D3-49D3-B802-B45795FB3666}"/>
                </c:ext>
              </c:extLst>
            </c:dLbl>
            <c:dLbl>
              <c:idx val="6"/>
              <c:layout>
                <c:manualLayout>
                  <c:xMode val="edge"/>
                  <c:yMode val="edge"/>
                  <c:x val="0.73843963049808192"/>
                  <c:y val="0.50702027509880543"/>
                </c:manualLayout>
              </c:layout>
              <c:numFmt formatCode="0" sourceLinked="0"/>
              <c:spPr>
                <a:noFill/>
                <a:ln w="25400">
                  <a:noFill/>
                </a:ln>
              </c:spPr>
              <c:txPr>
                <a:bodyPr rot="-5400000" vert="horz"/>
                <a:lstStyle/>
                <a:p>
                  <a:pPr algn="ctr">
                    <a:defRPr sz="105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9D3-49D3-B802-B45795FB3666}"/>
                </c:ext>
              </c:extLst>
            </c:dLbl>
            <c:dLbl>
              <c:idx val="7"/>
              <c:layout>
                <c:manualLayout>
                  <c:xMode val="edge"/>
                  <c:yMode val="edge"/>
                  <c:x val="0.82364420324786047"/>
                  <c:y val="0.48741175617233229"/>
                </c:manualLayout>
              </c:layout>
              <c:numFmt formatCode="0" sourceLinked="0"/>
              <c:spPr>
                <a:noFill/>
                <a:ln w="25400">
                  <a:noFill/>
                </a:ln>
              </c:spPr>
              <c:txPr>
                <a:bodyPr rot="-5400000" vert="horz"/>
                <a:lstStyle/>
                <a:p>
                  <a:pPr algn="ctr">
                    <a:defRPr sz="105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D3-49D3-B802-B45795FB3666}"/>
                </c:ext>
              </c:extLst>
            </c:dLbl>
            <c:dLbl>
              <c:idx val="8"/>
              <c:layout>
                <c:manualLayout>
                  <c:xMode val="edge"/>
                  <c:yMode val="edge"/>
                  <c:x val="0.90884877599763925"/>
                  <c:y val="0.49581540714082084"/>
                </c:manualLayout>
              </c:layout>
              <c:numFmt formatCode="0" sourceLinked="0"/>
              <c:spPr>
                <a:noFill/>
                <a:ln w="25400">
                  <a:noFill/>
                </a:ln>
              </c:spPr>
              <c:txPr>
                <a:bodyPr rot="-5400000" vert="horz"/>
                <a:lstStyle/>
                <a:p>
                  <a:pPr algn="ctr">
                    <a:defRPr sz="105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9D3-49D3-B802-B45795FB3666}"/>
                </c:ext>
              </c:extLst>
            </c:dLbl>
            <c:numFmt formatCode="0" sourceLinked="0"/>
            <c:spPr>
              <a:noFill/>
              <a:ln w="25400">
                <a:noFill/>
              </a:ln>
            </c:spPr>
            <c:txPr>
              <a:bodyPr rot="-5400000" vert="horz" wrap="square" lIns="38100" tIns="19050" rIns="38100" bIns="19050" anchor="ctr">
                <a:spAutoFit/>
              </a:bodyPr>
              <a:lstStyle/>
              <a:p>
                <a:pPr algn="ctr">
                  <a:defRPr sz="105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16'!$F$39:$F$47</c:f>
              <c:numCache>
                <c:formatCode>0</c:formatCode>
                <c:ptCount val="9"/>
                <c:pt idx="0">
                  <c:v>392.86368857758202</c:v>
                </c:pt>
                <c:pt idx="1">
                  <c:v>395.35104523751261</c:v>
                </c:pt>
                <c:pt idx="2">
                  <c:v>412.76254185702675</c:v>
                </c:pt>
                <c:pt idx="3">
                  <c:v>440.12346511626328</c:v>
                </c:pt>
                <c:pt idx="4">
                  <c:v>469.97174503543022</c:v>
                </c:pt>
                <c:pt idx="5">
                  <c:v>474.94645835529155</c:v>
                </c:pt>
                <c:pt idx="6">
                  <c:v>519.71887823404211</c:v>
                </c:pt>
                <c:pt idx="7">
                  <c:v>562.00394145286225</c:v>
                </c:pt>
                <c:pt idx="8">
                  <c:v>599.314291351821</c:v>
                </c:pt>
              </c:numCache>
            </c:numRef>
          </c:cat>
          <c:val>
            <c:numRef>
              <c:f>'Lens 16'!$A$39:$A$47</c:f>
              <c:numCache>
                <c:formatCode>General</c:formatCode>
                <c:ptCount val="9"/>
                <c:pt idx="0">
                  <c:v>298500</c:v>
                </c:pt>
                <c:pt idx="1">
                  <c:v>34500</c:v>
                </c:pt>
                <c:pt idx="2">
                  <c:v>121775</c:v>
                </c:pt>
                <c:pt idx="3">
                  <c:v>256086</c:v>
                </c:pt>
                <c:pt idx="4">
                  <c:v>125000</c:v>
                </c:pt>
                <c:pt idx="5">
                  <c:v>36300</c:v>
                </c:pt>
                <c:pt idx="6">
                  <c:v>78800</c:v>
                </c:pt>
                <c:pt idx="7">
                  <c:v>44445</c:v>
                </c:pt>
                <c:pt idx="8">
                  <c:v>471955</c:v>
                </c:pt>
              </c:numCache>
            </c:numRef>
          </c:val>
          <c:extLst>
            <c:ext xmlns:c16="http://schemas.microsoft.com/office/drawing/2014/chart" uri="{C3380CC4-5D6E-409C-BE32-E72D297353CC}">
              <c16:uniqueId val="{00000009-29D3-49D3-B802-B45795FB3666}"/>
            </c:ext>
          </c:extLst>
        </c:ser>
        <c:dLbls>
          <c:showLegendKey val="0"/>
          <c:showVal val="1"/>
          <c:showCatName val="0"/>
          <c:showSerName val="0"/>
          <c:showPercent val="0"/>
          <c:showBubbleSize val="0"/>
        </c:dLbls>
        <c:gapWidth val="150"/>
        <c:axId val="1707200688"/>
        <c:axId val="1"/>
      </c:barChart>
      <c:catAx>
        <c:axId val="1707200688"/>
        <c:scaling>
          <c:orientation val="minMax"/>
        </c:scaling>
        <c:delete val="0"/>
        <c:axPos val="b"/>
        <c:title>
          <c:tx>
            <c:rich>
              <a:bodyPr/>
              <a:lstStyle/>
              <a:p>
                <a:pPr>
                  <a:defRPr sz="1050" b="0" i="0" u="none" strike="noStrike" baseline="0">
                    <a:solidFill>
                      <a:srgbClr val="000000"/>
                    </a:solidFill>
                    <a:latin typeface="MathSoftText"/>
                    <a:ea typeface="MathSoftText"/>
                    <a:cs typeface="MathSoftText"/>
                  </a:defRPr>
                </a:pPr>
                <a:r>
                  <a:rPr lang="en-US"/>
                  <a:t>kiloamps</a:t>
                </a:r>
              </a:p>
            </c:rich>
          </c:tx>
          <c:layout>
            <c:manualLayout>
              <c:xMode val="edge"/>
              <c:yMode val="edge"/>
              <c:x val="0.53364969248545591"/>
              <c:y val="0.86277483276481803"/>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105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105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2.8401524249926226E-2"/>
              <c:y val="0.28292291593911245"/>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1050" b="0" i="0" u="none" strike="noStrike" baseline="0">
                <a:solidFill>
                  <a:srgbClr val="000000"/>
                </a:solidFill>
                <a:latin typeface="MathSoftText"/>
                <a:ea typeface="MathSoftText"/>
                <a:cs typeface="MathSoftText"/>
              </a:defRPr>
            </a:pPr>
            <a:endParaRPr lang="en-US"/>
          </a:p>
        </c:txPr>
        <c:crossAx val="1707200688"/>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20 Rogowski and Bdot vs Pot</a:t>
            </a:r>
          </a:p>
        </c:rich>
      </c:tx>
      <c:layout>
        <c:manualLayout>
          <c:xMode val="edge"/>
          <c:yMode val="edge"/>
          <c:x val="0.24088378676715672"/>
          <c:y val="4.1271226051092146E-2"/>
        </c:manualLayout>
      </c:layout>
      <c:overlay val="0"/>
      <c:spPr>
        <a:noFill/>
        <a:ln w="25400">
          <a:noFill/>
        </a:ln>
      </c:spPr>
    </c:title>
    <c:autoTitleDeleted val="0"/>
    <c:plotArea>
      <c:layout>
        <c:manualLayout>
          <c:layoutTarget val="inner"/>
          <c:xMode val="edge"/>
          <c:yMode val="edge"/>
          <c:x val="0.17518820855793218"/>
          <c:y val="0.26350090478774213"/>
          <c:w val="0.41972174967004577"/>
          <c:h val="0.45398348656201354"/>
        </c:manualLayout>
      </c:layout>
      <c:scatterChart>
        <c:scatterStyle val="lineMarker"/>
        <c:varyColors val="0"/>
        <c:ser>
          <c:idx val="1"/>
          <c:order val="1"/>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74819964071616851"/>
                  <c:y val="0.63176722955133358"/>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20'!$A$7:$A$31</c:f>
              <c:numCache>
                <c:formatCode>General</c:formatCode>
                <c:ptCount val="25"/>
                <c:pt idx="0">
                  <c:v>0</c:v>
                </c:pt>
                <c:pt idx="1">
                  <c:v>0</c:v>
                </c:pt>
                <c:pt idx="2">
                  <c:v>2.8</c:v>
                </c:pt>
                <c:pt idx="3">
                  <c:v>2.8</c:v>
                </c:pt>
                <c:pt idx="4">
                  <c:v>2.8</c:v>
                </c:pt>
                <c:pt idx="5">
                  <c:v>3.05</c:v>
                </c:pt>
                <c:pt idx="6">
                  <c:v>3.05</c:v>
                </c:pt>
                <c:pt idx="7">
                  <c:v>3.65</c:v>
                </c:pt>
                <c:pt idx="8">
                  <c:v>3.65</c:v>
                </c:pt>
                <c:pt idx="9">
                  <c:v>4.0999999999999996</c:v>
                </c:pt>
                <c:pt idx="10">
                  <c:v>4.0999999999999996</c:v>
                </c:pt>
                <c:pt idx="11">
                  <c:v>4.0999999999999996</c:v>
                </c:pt>
                <c:pt idx="12">
                  <c:v>4.55</c:v>
                </c:pt>
                <c:pt idx="13">
                  <c:v>4.55</c:v>
                </c:pt>
                <c:pt idx="14">
                  <c:v>5.05</c:v>
                </c:pt>
                <c:pt idx="15">
                  <c:v>5.05</c:v>
                </c:pt>
                <c:pt idx="16">
                  <c:v>5.05</c:v>
                </c:pt>
                <c:pt idx="17">
                  <c:v>5.45</c:v>
                </c:pt>
                <c:pt idx="18">
                  <c:v>5.45</c:v>
                </c:pt>
                <c:pt idx="19">
                  <c:v>6</c:v>
                </c:pt>
                <c:pt idx="20">
                  <c:v>6</c:v>
                </c:pt>
                <c:pt idx="21">
                  <c:v>6.4</c:v>
                </c:pt>
                <c:pt idx="22">
                  <c:v>6.4</c:v>
                </c:pt>
                <c:pt idx="23">
                  <c:v>6.65</c:v>
                </c:pt>
                <c:pt idx="24">
                  <c:v>6.65</c:v>
                </c:pt>
              </c:numCache>
            </c:numRef>
          </c:xVal>
          <c:yVal>
            <c:numRef>
              <c:f>'Lens 20'!$D$7:$D$31</c:f>
              <c:numCache>
                <c:formatCode>0.00</c:formatCode>
                <c:ptCount val="25"/>
                <c:pt idx="0">
                  <c:v>2.6</c:v>
                </c:pt>
                <c:pt idx="1">
                  <c:v>2.6</c:v>
                </c:pt>
                <c:pt idx="2">
                  <c:v>4</c:v>
                </c:pt>
                <c:pt idx="3">
                  <c:v>4</c:v>
                </c:pt>
                <c:pt idx="4">
                  <c:v>4</c:v>
                </c:pt>
                <c:pt idx="5">
                  <c:v>4.2</c:v>
                </c:pt>
                <c:pt idx="6">
                  <c:v>4.2</c:v>
                </c:pt>
                <c:pt idx="7">
                  <c:v>4.4000000000000004</c:v>
                </c:pt>
                <c:pt idx="8">
                  <c:v>4.4000000000000004</c:v>
                </c:pt>
                <c:pt idx="9">
                  <c:v>4.5999999999999996</c:v>
                </c:pt>
                <c:pt idx="10">
                  <c:v>4.5999999999999996</c:v>
                </c:pt>
                <c:pt idx="11">
                  <c:v>4.5999999999999996</c:v>
                </c:pt>
                <c:pt idx="12" formatCode="General">
                  <c:v>4.8</c:v>
                </c:pt>
                <c:pt idx="13" formatCode="General">
                  <c:v>4.8</c:v>
                </c:pt>
                <c:pt idx="14" formatCode="General">
                  <c:v>5</c:v>
                </c:pt>
                <c:pt idx="15" formatCode="General">
                  <c:v>5</c:v>
                </c:pt>
                <c:pt idx="16" formatCode="General">
                  <c:v>5</c:v>
                </c:pt>
                <c:pt idx="17" formatCode="General">
                  <c:v>5.2</c:v>
                </c:pt>
                <c:pt idx="18" formatCode="General">
                  <c:v>5.2</c:v>
                </c:pt>
                <c:pt idx="19" formatCode="General">
                  <c:v>5.4</c:v>
                </c:pt>
                <c:pt idx="20" formatCode="General">
                  <c:v>5.4</c:v>
                </c:pt>
                <c:pt idx="21" formatCode="General">
                  <c:v>5.6</c:v>
                </c:pt>
                <c:pt idx="22" formatCode="General">
                  <c:v>5.6</c:v>
                </c:pt>
                <c:pt idx="23" formatCode="General">
                  <c:v>5.6</c:v>
                </c:pt>
                <c:pt idx="24" formatCode="General">
                  <c:v>5.7</c:v>
                </c:pt>
              </c:numCache>
            </c:numRef>
          </c:yVal>
          <c:smooth val="0"/>
          <c:extLst>
            <c:ext xmlns:c16="http://schemas.microsoft.com/office/drawing/2014/chart" uri="{C3380CC4-5D6E-409C-BE32-E72D297353CC}">
              <c16:uniqueId val="{00000001-78D0-4809-9ED6-0ACBB720840A}"/>
            </c:ext>
          </c:extLst>
        </c:ser>
        <c:dLbls>
          <c:showLegendKey val="0"/>
          <c:showVal val="0"/>
          <c:showCatName val="0"/>
          <c:showSerName val="0"/>
          <c:showPercent val="0"/>
          <c:showBubbleSize val="0"/>
        </c:dLbls>
        <c:axId val="1564265968"/>
        <c:axId val="1"/>
      </c:scatterChart>
      <c:scatterChart>
        <c:scatterStyle val="lineMarker"/>
        <c:varyColors val="0"/>
        <c:ser>
          <c:idx val="0"/>
          <c:order val="0"/>
          <c:tx>
            <c:v>rog vs pot</c:v>
          </c:tx>
          <c:spPr>
            <a:ln w="19050">
              <a:noFill/>
            </a:ln>
          </c:spPr>
          <c:marker>
            <c:symbol val="diamond"/>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Mode val="edge"/>
                  <c:yMode val="edge"/>
                  <c:x val="0.73177574616386232"/>
                  <c:y val="0.80637626284441555"/>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20'!$A$7:$A$31</c:f>
              <c:numCache>
                <c:formatCode>General</c:formatCode>
                <c:ptCount val="25"/>
                <c:pt idx="0">
                  <c:v>0</c:v>
                </c:pt>
                <c:pt idx="1">
                  <c:v>0</c:v>
                </c:pt>
                <c:pt idx="2">
                  <c:v>2.8</c:v>
                </c:pt>
                <c:pt idx="3">
                  <c:v>2.8</c:v>
                </c:pt>
                <c:pt idx="4">
                  <c:v>2.8</c:v>
                </c:pt>
                <c:pt idx="5">
                  <c:v>3.05</c:v>
                </c:pt>
                <c:pt idx="6">
                  <c:v>3.05</c:v>
                </c:pt>
                <c:pt idx="7">
                  <c:v>3.65</c:v>
                </c:pt>
                <c:pt idx="8">
                  <c:v>3.65</c:v>
                </c:pt>
                <c:pt idx="9">
                  <c:v>4.0999999999999996</c:v>
                </c:pt>
                <c:pt idx="10">
                  <c:v>4.0999999999999996</c:v>
                </c:pt>
                <c:pt idx="11">
                  <c:v>4.0999999999999996</c:v>
                </c:pt>
                <c:pt idx="12">
                  <c:v>4.55</c:v>
                </c:pt>
                <c:pt idx="13">
                  <c:v>4.55</c:v>
                </c:pt>
                <c:pt idx="14">
                  <c:v>5.05</c:v>
                </c:pt>
                <c:pt idx="15">
                  <c:v>5.05</c:v>
                </c:pt>
                <c:pt idx="16">
                  <c:v>5.05</c:v>
                </c:pt>
                <c:pt idx="17">
                  <c:v>5.45</c:v>
                </c:pt>
                <c:pt idx="18">
                  <c:v>5.45</c:v>
                </c:pt>
                <c:pt idx="19">
                  <c:v>6</c:v>
                </c:pt>
                <c:pt idx="20">
                  <c:v>6</c:v>
                </c:pt>
                <c:pt idx="21">
                  <c:v>6.4</c:v>
                </c:pt>
                <c:pt idx="22">
                  <c:v>6.4</c:v>
                </c:pt>
                <c:pt idx="23">
                  <c:v>6.65</c:v>
                </c:pt>
                <c:pt idx="24">
                  <c:v>6.65</c:v>
                </c:pt>
              </c:numCache>
            </c:numRef>
          </c:xVal>
          <c:yVal>
            <c:numRef>
              <c:f>'Lens 20'!$C$7:$C$31</c:f>
              <c:numCache>
                <c:formatCode>General</c:formatCode>
                <c:ptCount val="25"/>
                <c:pt idx="0">
                  <c:v>0.28000000000000003</c:v>
                </c:pt>
                <c:pt idx="1">
                  <c:v>0.28000000000000003</c:v>
                </c:pt>
                <c:pt idx="2" formatCode="0.000">
                  <c:v>0.43</c:v>
                </c:pt>
                <c:pt idx="3" formatCode="0.000">
                  <c:v>0.43</c:v>
                </c:pt>
                <c:pt idx="4" formatCode="0.000">
                  <c:v>0.43</c:v>
                </c:pt>
                <c:pt idx="5" formatCode="0.000">
                  <c:v>0.44</c:v>
                </c:pt>
                <c:pt idx="6" formatCode="0.000">
                  <c:v>0.44</c:v>
                </c:pt>
                <c:pt idx="7" formatCode="0.000">
                  <c:v>0.47</c:v>
                </c:pt>
                <c:pt idx="8" formatCode="0.000">
                  <c:v>0.47</c:v>
                </c:pt>
                <c:pt idx="9" formatCode="0.000">
                  <c:v>0.49</c:v>
                </c:pt>
                <c:pt idx="10" formatCode="0.000">
                  <c:v>0.49</c:v>
                </c:pt>
                <c:pt idx="11" formatCode="0.000">
                  <c:v>0.49</c:v>
                </c:pt>
                <c:pt idx="12" formatCode="0.000">
                  <c:v>0.51500000000000001</c:v>
                </c:pt>
                <c:pt idx="13" formatCode="0.000">
                  <c:v>0.51500000000000001</c:v>
                </c:pt>
                <c:pt idx="14" formatCode="0.000">
                  <c:v>0.54</c:v>
                </c:pt>
                <c:pt idx="15" formatCode="0.000">
                  <c:v>0.54</c:v>
                </c:pt>
                <c:pt idx="16" formatCode="0.000">
                  <c:v>0.54</c:v>
                </c:pt>
                <c:pt idx="17" formatCode="0.000">
                  <c:v>0.55500000000000005</c:v>
                </c:pt>
                <c:pt idx="18" formatCode="0.000">
                  <c:v>0.55500000000000005</c:v>
                </c:pt>
                <c:pt idx="19" formatCode="0.000">
                  <c:v>0.57999999999999996</c:v>
                </c:pt>
                <c:pt idx="20" formatCode="0.000">
                  <c:v>0.57999999999999996</c:v>
                </c:pt>
                <c:pt idx="21" formatCode="0.000">
                  <c:v>0.6</c:v>
                </c:pt>
                <c:pt idx="22" formatCode="0.000">
                  <c:v>0.6</c:v>
                </c:pt>
                <c:pt idx="23" formatCode="0.000">
                  <c:v>0.6</c:v>
                </c:pt>
                <c:pt idx="24" formatCode="0.000">
                  <c:v>0.61</c:v>
                </c:pt>
              </c:numCache>
            </c:numRef>
          </c:yVal>
          <c:smooth val="0"/>
          <c:extLst>
            <c:ext xmlns:c16="http://schemas.microsoft.com/office/drawing/2014/chart" uri="{C3380CC4-5D6E-409C-BE32-E72D297353CC}">
              <c16:uniqueId val="{00000003-78D0-4809-9ED6-0ACBB720840A}"/>
            </c:ext>
          </c:extLst>
        </c:ser>
        <c:dLbls>
          <c:showLegendKey val="0"/>
          <c:showVal val="0"/>
          <c:showCatName val="0"/>
          <c:showSerName val="0"/>
          <c:showPercent val="0"/>
          <c:showBubbleSize val="0"/>
        </c:dLbls>
        <c:axId val="3"/>
        <c:axId val="4"/>
      </c:scatterChart>
      <c:valAx>
        <c:axId val="1564265968"/>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2117838235620899"/>
              <c:y val="0.82859923071808073"/>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2921438001875334E-2"/>
              <c:y val="0.3682663247635915"/>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56426596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3"/>
        <c:crosses val="max"/>
        <c:crossBetween val="midCat"/>
      </c:valAx>
      <c:spPr>
        <a:noFill/>
        <a:ln w="12700">
          <a:solidFill>
            <a:srgbClr val="99CC00"/>
          </a:solidFill>
          <a:prstDash val="solid"/>
        </a:ln>
      </c:spPr>
    </c:plotArea>
    <c:legend>
      <c:legendPos val="r"/>
      <c:layout>
        <c:manualLayout>
          <c:xMode val="edge"/>
          <c:yMode val="edge"/>
          <c:x val="0.67337967664455167"/>
          <c:y val="0.19365729147050931"/>
          <c:w val="0.30657936497638127"/>
          <c:h val="0.29524800175012073"/>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20 Rogowski vs Bdot</a:t>
            </a:r>
          </a:p>
        </c:rich>
      </c:tx>
      <c:layout>
        <c:manualLayout>
          <c:xMode val="edge"/>
          <c:yMode val="edge"/>
          <c:x val="0.30110473345894589"/>
          <c:y val="4.1271226051092146E-2"/>
        </c:manualLayout>
      </c:layout>
      <c:overlay val="0"/>
      <c:spPr>
        <a:noFill/>
        <a:ln w="25400">
          <a:noFill/>
        </a:ln>
      </c:spPr>
    </c:title>
    <c:autoTitleDeleted val="0"/>
    <c:plotArea>
      <c:layout>
        <c:manualLayout>
          <c:layoutTarget val="inner"/>
          <c:xMode val="edge"/>
          <c:yMode val="edge"/>
          <c:x val="0.14234041945331988"/>
          <c:y val="0.23175380782536359"/>
          <c:w val="0.79747132437308699"/>
          <c:h val="0.52065239018300857"/>
        </c:manualLayout>
      </c:layout>
      <c:scatterChart>
        <c:scatterStyle val="lineMarker"/>
        <c:varyColors val="0"/>
        <c:ser>
          <c:idx val="0"/>
          <c:order val="0"/>
          <c:spPr>
            <a:ln w="19050">
              <a:noFill/>
            </a:ln>
          </c:spPr>
          <c:marker>
            <c:symbol val="diamond"/>
            <c:size val="5"/>
            <c:spPr>
              <a:solidFill>
                <a:srgbClr val="FF0000"/>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Mode val="edge"/>
                  <c:yMode val="edge"/>
                  <c:x val="0.75549914940608232"/>
                  <c:y val="2.2222967873665001E-2"/>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20'!$D$7:$D$31</c:f>
              <c:numCache>
                <c:formatCode>0.00</c:formatCode>
                <c:ptCount val="25"/>
                <c:pt idx="0">
                  <c:v>2.6</c:v>
                </c:pt>
                <c:pt idx="1">
                  <c:v>2.6</c:v>
                </c:pt>
                <c:pt idx="2">
                  <c:v>4</c:v>
                </c:pt>
                <c:pt idx="3">
                  <c:v>4</c:v>
                </c:pt>
                <c:pt idx="4">
                  <c:v>4</c:v>
                </c:pt>
                <c:pt idx="5">
                  <c:v>4.2</c:v>
                </c:pt>
                <c:pt idx="6">
                  <c:v>4.2</c:v>
                </c:pt>
                <c:pt idx="7">
                  <c:v>4.4000000000000004</c:v>
                </c:pt>
                <c:pt idx="8">
                  <c:v>4.4000000000000004</c:v>
                </c:pt>
                <c:pt idx="9">
                  <c:v>4.5999999999999996</c:v>
                </c:pt>
                <c:pt idx="10">
                  <c:v>4.5999999999999996</c:v>
                </c:pt>
                <c:pt idx="11">
                  <c:v>4.5999999999999996</c:v>
                </c:pt>
                <c:pt idx="12" formatCode="General">
                  <c:v>4.8</c:v>
                </c:pt>
                <c:pt idx="13" formatCode="General">
                  <c:v>4.8</c:v>
                </c:pt>
                <c:pt idx="14" formatCode="General">
                  <c:v>5</c:v>
                </c:pt>
                <c:pt idx="15" formatCode="General">
                  <c:v>5</c:v>
                </c:pt>
                <c:pt idx="16" formatCode="General">
                  <c:v>5</c:v>
                </c:pt>
                <c:pt idx="17" formatCode="General">
                  <c:v>5.2</c:v>
                </c:pt>
                <c:pt idx="18" formatCode="General">
                  <c:v>5.2</c:v>
                </c:pt>
                <c:pt idx="19" formatCode="General">
                  <c:v>5.4</c:v>
                </c:pt>
                <c:pt idx="20" formatCode="General">
                  <c:v>5.4</c:v>
                </c:pt>
                <c:pt idx="21" formatCode="General">
                  <c:v>5.6</c:v>
                </c:pt>
                <c:pt idx="22" formatCode="General">
                  <c:v>5.6</c:v>
                </c:pt>
                <c:pt idx="23" formatCode="General">
                  <c:v>5.6</c:v>
                </c:pt>
                <c:pt idx="24" formatCode="General">
                  <c:v>5.7</c:v>
                </c:pt>
              </c:numCache>
            </c:numRef>
          </c:xVal>
          <c:yVal>
            <c:numRef>
              <c:f>'Lens 20'!$C$7:$C$31</c:f>
              <c:numCache>
                <c:formatCode>General</c:formatCode>
                <c:ptCount val="25"/>
                <c:pt idx="0">
                  <c:v>0.28000000000000003</c:v>
                </c:pt>
                <c:pt idx="1">
                  <c:v>0.28000000000000003</c:v>
                </c:pt>
                <c:pt idx="2" formatCode="0.000">
                  <c:v>0.43</c:v>
                </c:pt>
                <c:pt idx="3" formatCode="0.000">
                  <c:v>0.43</c:v>
                </c:pt>
                <c:pt idx="4" formatCode="0.000">
                  <c:v>0.43</c:v>
                </c:pt>
                <c:pt idx="5" formatCode="0.000">
                  <c:v>0.44</c:v>
                </c:pt>
                <c:pt idx="6" formatCode="0.000">
                  <c:v>0.44</c:v>
                </c:pt>
                <c:pt idx="7" formatCode="0.000">
                  <c:v>0.47</c:v>
                </c:pt>
                <c:pt idx="8" formatCode="0.000">
                  <c:v>0.47</c:v>
                </c:pt>
                <c:pt idx="9" formatCode="0.000">
                  <c:v>0.49</c:v>
                </c:pt>
                <c:pt idx="10" formatCode="0.000">
                  <c:v>0.49</c:v>
                </c:pt>
                <c:pt idx="11" formatCode="0.000">
                  <c:v>0.49</c:v>
                </c:pt>
                <c:pt idx="12" formatCode="0.000">
                  <c:v>0.51500000000000001</c:v>
                </c:pt>
                <c:pt idx="13" formatCode="0.000">
                  <c:v>0.51500000000000001</c:v>
                </c:pt>
                <c:pt idx="14" formatCode="0.000">
                  <c:v>0.54</c:v>
                </c:pt>
                <c:pt idx="15" formatCode="0.000">
                  <c:v>0.54</c:v>
                </c:pt>
                <c:pt idx="16" formatCode="0.000">
                  <c:v>0.54</c:v>
                </c:pt>
                <c:pt idx="17" formatCode="0.000">
                  <c:v>0.55500000000000005</c:v>
                </c:pt>
                <c:pt idx="18" formatCode="0.000">
                  <c:v>0.55500000000000005</c:v>
                </c:pt>
                <c:pt idx="19" formatCode="0.000">
                  <c:v>0.57999999999999996</c:v>
                </c:pt>
                <c:pt idx="20" formatCode="0.000">
                  <c:v>0.57999999999999996</c:v>
                </c:pt>
                <c:pt idx="21" formatCode="0.000">
                  <c:v>0.6</c:v>
                </c:pt>
                <c:pt idx="22" formatCode="0.000">
                  <c:v>0.6</c:v>
                </c:pt>
                <c:pt idx="23" formatCode="0.000">
                  <c:v>0.6</c:v>
                </c:pt>
                <c:pt idx="24" formatCode="0.000">
                  <c:v>0.61</c:v>
                </c:pt>
              </c:numCache>
            </c:numRef>
          </c:yVal>
          <c:smooth val="0"/>
          <c:extLst>
            <c:ext xmlns:c16="http://schemas.microsoft.com/office/drawing/2014/chart" uri="{C3380CC4-5D6E-409C-BE32-E72D297353CC}">
              <c16:uniqueId val="{00000001-AADC-4645-A919-4816C50288C8}"/>
            </c:ext>
          </c:extLst>
        </c:ser>
        <c:dLbls>
          <c:showLegendKey val="0"/>
          <c:showVal val="0"/>
          <c:showCatName val="0"/>
          <c:showSerName val="0"/>
          <c:showPercent val="0"/>
          <c:showBubbleSize val="0"/>
        </c:dLbls>
        <c:axId val="1838608384"/>
        <c:axId val="1"/>
      </c:scatterChart>
      <c:valAx>
        <c:axId val="1838608384"/>
        <c:scaling>
          <c:orientation val="minMax"/>
          <c:min val="4"/>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0.46899343332696414"/>
              <c:y val="0.86352103737669705"/>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minorUnit val="0.1"/>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Rogowski (volts)</a:t>
                </a:r>
              </a:p>
            </c:rich>
          </c:tx>
          <c:layout>
            <c:manualLayout>
              <c:xMode val="edge"/>
              <c:yMode val="edge"/>
              <c:x val="3.4672666277090737E-2"/>
              <c:y val="0.31429625992754789"/>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838608384"/>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MathSoftText"/>
                <a:ea typeface="MathSoftText"/>
                <a:cs typeface="MathSoftText"/>
              </a:defRPr>
            </a:pPr>
            <a:r>
              <a:rPr lang="en-US"/>
              <a:t>lens 20 pulse count vs gradient</a:t>
            </a:r>
          </a:p>
        </c:rich>
      </c:tx>
      <c:layout>
        <c:manualLayout>
          <c:xMode val="edge"/>
          <c:yMode val="edge"/>
          <c:x val="0.31301799328443253"/>
          <c:y val="3.5212403164010753E-2"/>
        </c:manualLayout>
      </c:layout>
      <c:overlay val="0"/>
      <c:spPr>
        <a:noFill/>
        <a:ln w="25400">
          <a:noFill/>
        </a:ln>
      </c:spPr>
    </c:title>
    <c:autoTitleDeleted val="0"/>
    <c:plotArea>
      <c:layout>
        <c:manualLayout>
          <c:layoutTarget val="inner"/>
          <c:xMode val="edge"/>
          <c:yMode val="edge"/>
          <c:x val="0.21138877468559084"/>
          <c:y val="0.21831689961686668"/>
          <c:w val="0.76425172386328999"/>
          <c:h val="0.53288103454869606"/>
        </c:manualLayout>
      </c:layout>
      <c:barChart>
        <c:barDir val="col"/>
        <c:grouping val="clustered"/>
        <c:varyColors val="0"/>
        <c:ser>
          <c:idx val="0"/>
          <c:order val="0"/>
          <c:spPr>
            <a:solidFill>
              <a:srgbClr val="9999FF"/>
            </a:solidFill>
            <a:ln w="12700">
              <a:solidFill>
                <a:srgbClr val="000000"/>
              </a:solidFill>
              <a:prstDash val="solid"/>
            </a:ln>
          </c:spPr>
          <c:invertIfNegative val="0"/>
          <c:dLbls>
            <c:dLbl>
              <c:idx val="0"/>
              <c:layout>
                <c:manualLayout>
                  <c:xMode val="edge"/>
                  <c:yMode val="edge"/>
                  <c:x val="0.22087416842148275"/>
                  <c:y val="0.55635596999136983"/>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9A5-40D1-8CD6-B3ADAE70C861}"/>
                </c:ext>
              </c:extLst>
            </c:dLbl>
            <c:dLbl>
              <c:idx val="1"/>
              <c:layout>
                <c:manualLayout>
                  <c:xMode val="edge"/>
                  <c:yMode val="edge"/>
                  <c:x val="0.28456181207675685"/>
                  <c:y val="0.47654118948627883"/>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9A5-40D1-8CD6-B3ADAE70C861}"/>
                </c:ext>
              </c:extLst>
            </c:dLbl>
            <c:dLbl>
              <c:idx val="2"/>
              <c:layout>
                <c:manualLayout>
                  <c:xMode val="edge"/>
                  <c:yMode val="edge"/>
                  <c:x val="0.34824945573203098"/>
                  <c:y val="0.4812361765748136"/>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9A5-40D1-8CD6-B3ADAE70C861}"/>
                </c:ext>
              </c:extLst>
            </c:dLbl>
            <c:dLbl>
              <c:idx val="3"/>
              <c:layout>
                <c:manualLayout>
                  <c:xMode val="edge"/>
                  <c:yMode val="edge"/>
                  <c:x val="0.41193709938730522"/>
                  <c:y val="0.46715121530920933"/>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A5-40D1-8CD6-B3ADAE70C861}"/>
                </c:ext>
              </c:extLst>
            </c:dLbl>
            <c:dLbl>
              <c:idx val="4"/>
              <c:layout>
                <c:manualLayout>
                  <c:xMode val="edge"/>
                  <c:yMode val="edge"/>
                  <c:x val="0.47562474304257935"/>
                  <c:y val="0.48593116366334838"/>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9A5-40D1-8CD6-B3ADAE70C861}"/>
                </c:ext>
              </c:extLst>
            </c:dLbl>
            <c:dLbl>
              <c:idx val="5"/>
              <c:layout>
                <c:manualLayout>
                  <c:xMode val="edge"/>
                  <c:yMode val="edge"/>
                  <c:x val="0.53931238669785342"/>
                  <c:y val="0.50001612492895264"/>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A5-40D1-8CD6-B3ADAE70C861}"/>
                </c:ext>
              </c:extLst>
            </c:dLbl>
            <c:dLbl>
              <c:idx val="6"/>
              <c:layout>
                <c:manualLayout>
                  <c:xMode val="edge"/>
                  <c:yMode val="edge"/>
                  <c:x val="0.60300003035312766"/>
                  <c:y val="0.48593116366334838"/>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A5-40D1-8CD6-B3ADAE70C861}"/>
                </c:ext>
              </c:extLst>
            </c:dLbl>
            <c:dLbl>
              <c:idx val="7"/>
              <c:layout>
                <c:manualLayout>
                  <c:xMode val="edge"/>
                  <c:yMode val="edge"/>
                  <c:x val="0.66668767400840179"/>
                  <c:y val="0.48593116366334838"/>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A5-40D1-8CD6-B3ADAE70C861}"/>
                </c:ext>
              </c:extLst>
            </c:dLbl>
            <c:dLbl>
              <c:idx val="8"/>
              <c:layout>
                <c:manualLayout>
                  <c:xMode val="edge"/>
                  <c:yMode val="edge"/>
                  <c:x val="0.73037531766367603"/>
                  <c:y val="0.49297364429615054"/>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A5-40D1-8CD6-B3ADAE70C861}"/>
                </c:ext>
              </c:extLst>
            </c:dLbl>
            <c:dLbl>
              <c:idx val="9"/>
              <c:layout>
                <c:manualLayout>
                  <c:xMode val="edge"/>
                  <c:yMode val="edge"/>
                  <c:x val="0.79406296131895016"/>
                  <c:y val="0.50001612492895264"/>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A5-40D1-8CD6-B3ADAE70C861}"/>
                </c:ext>
              </c:extLst>
            </c:dLbl>
            <c:dLbl>
              <c:idx val="10"/>
              <c:layout>
                <c:manualLayout>
                  <c:xMode val="edge"/>
                  <c:yMode val="edge"/>
                  <c:x val="0.85775060497422428"/>
                  <c:y val="0.47184620239774411"/>
                </c:manualLayout>
              </c:layout>
              <c:spPr>
                <a:noFill/>
                <a:ln w="25400">
                  <a:noFill/>
                </a:ln>
              </c:spPr>
              <c:txPr>
                <a:bodyPr rot="-5400000" vert="horz"/>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A5-40D1-8CD6-B3ADAE70C861}"/>
                </c:ext>
              </c:extLst>
            </c:dLbl>
            <c:spPr>
              <a:noFill/>
              <a:ln w="25400">
                <a:noFill/>
              </a:ln>
            </c:spPr>
            <c:txPr>
              <a:bodyPr rot="-5400000" vert="horz" wrap="square" lIns="38100" tIns="19050" rIns="38100" bIns="19050" anchor="ctr">
                <a:spAutoFit/>
              </a:bodyPr>
              <a:lstStyle/>
              <a:p>
                <a:pPr algn="ctr">
                  <a:defRPr sz="12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20'!$F$37:$F$48</c:f>
              <c:numCache>
                <c:formatCode>0</c:formatCode>
                <c:ptCount val="12"/>
                <c:pt idx="0">
                  <c:v>463.00240363508271</c:v>
                </c:pt>
                <c:pt idx="1">
                  <c:v>680.27002305202802</c:v>
                </c:pt>
                <c:pt idx="2">
                  <c:v>699.66891764282673</c:v>
                </c:pt>
                <c:pt idx="3">
                  <c:v>746.22626466074348</c:v>
                </c:pt>
                <c:pt idx="4">
                  <c:v>781.14427492418088</c:v>
                </c:pt>
                <c:pt idx="5">
                  <c:v>816.06228518761861</c:v>
                </c:pt>
                <c:pt idx="6">
                  <c:v>854.86007436921602</c:v>
                </c:pt>
                <c:pt idx="7">
                  <c:v>885.89830571449386</c:v>
                </c:pt>
                <c:pt idx="8">
                  <c:v>928.57587381425094</c:v>
                </c:pt>
                <c:pt idx="9">
                  <c:v>959.61410515952912</c:v>
                </c:pt>
                <c:pt idx="10">
                  <c:v>979.01299975032759</c:v>
                </c:pt>
              </c:numCache>
            </c:numRef>
          </c:cat>
          <c:val>
            <c:numRef>
              <c:f>'Lens 20'!$A$37:$A$48</c:f>
              <c:numCache>
                <c:formatCode>General</c:formatCode>
                <c:ptCount val="12"/>
                <c:pt idx="0">
                  <c:v>1100</c:v>
                </c:pt>
                <c:pt idx="1">
                  <c:v>10025</c:v>
                </c:pt>
                <c:pt idx="2">
                  <c:v>34375</c:v>
                </c:pt>
                <c:pt idx="3">
                  <c:v>15734</c:v>
                </c:pt>
                <c:pt idx="4">
                  <c:v>59766</c:v>
                </c:pt>
                <c:pt idx="5">
                  <c:v>40000</c:v>
                </c:pt>
                <c:pt idx="6">
                  <c:v>102000</c:v>
                </c:pt>
                <c:pt idx="7">
                  <c:v>57000</c:v>
                </c:pt>
                <c:pt idx="8">
                  <c:v>40000</c:v>
                </c:pt>
                <c:pt idx="9">
                  <c:v>40000</c:v>
                </c:pt>
                <c:pt idx="10">
                  <c:v>8615</c:v>
                </c:pt>
              </c:numCache>
            </c:numRef>
          </c:val>
          <c:extLst>
            <c:ext xmlns:c16="http://schemas.microsoft.com/office/drawing/2014/chart" uri="{C3380CC4-5D6E-409C-BE32-E72D297353CC}">
              <c16:uniqueId val="{0000000B-39A5-40D1-8CD6-B3ADAE70C861}"/>
            </c:ext>
          </c:extLst>
        </c:ser>
        <c:dLbls>
          <c:showLegendKey val="0"/>
          <c:showVal val="1"/>
          <c:showCatName val="0"/>
          <c:showSerName val="0"/>
          <c:showPercent val="0"/>
          <c:showBubbleSize val="0"/>
        </c:dLbls>
        <c:gapWidth val="150"/>
        <c:axId val="1707234768"/>
        <c:axId val="1"/>
      </c:barChart>
      <c:catAx>
        <c:axId val="1707234768"/>
        <c:scaling>
          <c:orientation val="minMax"/>
        </c:scaling>
        <c:delete val="0"/>
        <c:axPos val="b"/>
        <c:title>
          <c:tx>
            <c:rich>
              <a:bodyPr/>
              <a:lstStyle/>
              <a:p>
                <a:pPr>
                  <a:defRPr sz="1200" b="0" i="0" u="none" strike="noStrike" baseline="0">
                    <a:solidFill>
                      <a:srgbClr val="000000"/>
                    </a:solidFill>
                    <a:latin typeface="MathSoftText"/>
                    <a:ea typeface="MathSoftText"/>
                    <a:cs typeface="MathSoftText"/>
                  </a:defRPr>
                </a:pPr>
                <a:r>
                  <a:rPr lang="en-US"/>
                  <a:t>gradient (T/m)</a:t>
                </a:r>
              </a:p>
            </c:rich>
          </c:tx>
          <c:layout>
            <c:manualLayout>
              <c:xMode val="edge"/>
              <c:yMode val="edge"/>
              <c:x val="0.4268427181151353"/>
              <c:y val="0.85683514365759494"/>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12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120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7941574943567584E-2"/>
              <c:y val="0.30047917366622506"/>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1200" b="0" i="0" u="none" strike="noStrike" baseline="0">
                <a:solidFill>
                  <a:srgbClr val="000000"/>
                </a:solidFill>
                <a:latin typeface="MathSoftText"/>
                <a:ea typeface="MathSoftText"/>
                <a:cs typeface="MathSoftText"/>
              </a:defRPr>
            </a:pPr>
            <a:endParaRPr lang="en-US"/>
          </a:p>
        </c:txPr>
        <c:crossAx val="1707234768"/>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00" b="0" i="0" u="none" strike="noStrike" baseline="0">
                <a:solidFill>
                  <a:srgbClr val="000000"/>
                </a:solidFill>
                <a:latin typeface="MathSoftText"/>
                <a:ea typeface="MathSoftText"/>
                <a:cs typeface="MathSoftText"/>
              </a:defRPr>
            </a:pPr>
            <a:r>
              <a:rPr lang="en-US"/>
              <a:t>lens 22 pulse count vs peak current</a:t>
            </a:r>
          </a:p>
        </c:rich>
      </c:tx>
      <c:layout>
        <c:manualLayout>
          <c:xMode val="edge"/>
          <c:yMode val="edge"/>
          <c:x val="0.3937001947593573"/>
          <c:y val="6.5791595964214578E-2"/>
        </c:manualLayout>
      </c:layout>
      <c:overlay val="0"/>
      <c:spPr>
        <a:noFill/>
        <a:ln w="25400">
          <a:noFill/>
        </a:ln>
      </c:spPr>
    </c:title>
    <c:autoTitleDeleted val="0"/>
    <c:plotArea>
      <c:layout>
        <c:manualLayout>
          <c:layoutTarget val="inner"/>
          <c:xMode val="edge"/>
          <c:yMode val="edge"/>
          <c:x val="0.10465448215122158"/>
          <c:y val="0.30264134143538707"/>
          <c:w val="0.86713713782440727"/>
          <c:h val="0.35527461820675865"/>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22'!$D$26:$D$30</c:f>
              <c:numCache>
                <c:formatCode>General</c:formatCode>
                <c:ptCount val="5"/>
                <c:pt idx="0" formatCode="0.00E+00">
                  <c:v>295856.77884028893</c:v>
                </c:pt>
                <c:pt idx="1">
                  <c:v>315755.63211973367</c:v>
                </c:pt>
                <c:pt idx="2">
                  <c:v>350578.62535876187</c:v>
                </c:pt>
                <c:pt idx="3">
                  <c:v>504794.73827445868</c:v>
                </c:pt>
                <c:pt idx="4">
                  <c:v>554541.87147307058</c:v>
                </c:pt>
              </c:numCache>
            </c:numRef>
          </c:cat>
          <c:val>
            <c:numRef>
              <c:f>'Lens 22'!$A$26:$A$30</c:f>
              <c:numCache>
                <c:formatCode>General</c:formatCode>
                <c:ptCount val="5"/>
                <c:pt idx="0">
                  <c:v>8201</c:v>
                </c:pt>
                <c:pt idx="1">
                  <c:v>11761</c:v>
                </c:pt>
                <c:pt idx="2">
                  <c:v>31329</c:v>
                </c:pt>
                <c:pt idx="3">
                  <c:v>17710</c:v>
                </c:pt>
                <c:pt idx="4">
                  <c:v>10759</c:v>
                </c:pt>
              </c:numCache>
            </c:numRef>
          </c:val>
          <c:extLst>
            <c:ext xmlns:c16="http://schemas.microsoft.com/office/drawing/2014/chart" uri="{C3380CC4-5D6E-409C-BE32-E72D297353CC}">
              <c16:uniqueId val="{00000000-B189-4660-8E8F-D8DC07C38725}"/>
            </c:ext>
          </c:extLst>
        </c:ser>
        <c:dLbls>
          <c:showLegendKey val="0"/>
          <c:showVal val="0"/>
          <c:showCatName val="0"/>
          <c:showSerName val="0"/>
          <c:showPercent val="0"/>
          <c:showBubbleSize val="0"/>
        </c:dLbls>
        <c:gapWidth val="150"/>
        <c:axId val="1707226128"/>
        <c:axId val="1"/>
      </c:barChart>
      <c:catAx>
        <c:axId val="1707226128"/>
        <c:scaling>
          <c:orientation val="minMax"/>
        </c:scaling>
        <c:delete val="0"/>
        <c:axPos val="b"/>
        <c:title>
          <c:tx>
            <c:rich>
              <a:bodyPr/>
              <a:lstStyle/>
              <a:p>
                <a:pPr>
                  <a:defRPr sz="425" b="0" i="0" u="none" strike="noStrike" baseline="0">
                    <a:solidFill>
                      <a:srgbClr val="000000"/>
                    </a:solidFill>
                    <a:latin typeface="MathSoftText"/>
                    <a:ea typeface="MathSoftText"/>
                    <a:cs typeface="MathSoftText"/>
                  </a:defRPr>
                </a:pPr>
                <a:r>
                  <a:rPr lang="en-US"/>
                  <a:t>amps</a:t>
                </a:r>
              </a:p>
            </c:rich>
          </c:tx>
          <c:layout>
            <c:manualLayout>
              <c:xMode val="edge"/>
              <c:yMode val="edge"/>
              <c:x val="0.52327241075610786"/>
              <c:y val="0.78291999197415352"/>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42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425"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1562462871003331E-2"/>
              <c:y val="0.29606218183896554"/>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425" b="0" i="0" u="none" strike="noStrike" baseline="0">
                <a:solidFill>
                  <a:srgbClr val="000000"/>
                </a:solidFill>
                <a:latin typeface="MathSoftText"/>
                <a:ea typeface="MathSoftText"/>
                <a:cs typeface="MathSoftText"/>
              </a:defRPr>
            </a:pPr>
            <a:endParaRPr lang="en-US"/>
          </a:p>
        </c:txPr>
        <c:crossAx val="1707226128"/>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2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5" b="0" i="0" u="none" strike="noStrike" baseline="0">
                <a:solidFill>
                  <a:srgbClr val="000000"/>
                </a:solidFill>
                <a:latin typeface="MathSoftText"/>
                <a:ea typeface="MathSoftText"/>
                <a:cs typeface="MathSoftText"/>
              </a:defRPr>
            </a:pPr>
            <a:r>
              <a:rPr lang="en-US"/>
              <a:t>lens 22 pulse count vs peak current</a:t>
            </a:r>
          </a:p>
        </c:rich>
      </c:tx>
      <c:layout>
        <c:manualLayout>
          <c:xMode val="edge"/>
          <c:yMode val="edge"/>
          <c:x val="0.42765535572335645"/>
          <c:y val="8.5717308514336413E-2"/>
        </c:manualLayout>
      </c:layout>
      <c:overlay val="0"/>
      <c:spPr>
        <a:noFill/>
        <a:ln w="25400">
          <a:noFill/>
        </a:ln>
      </c:spPr>
    </c:title>
    <c:autoTitleDeleted val="0"/>
    <c:plotArea>
      <c:layout>
        <c:manualLayout>
          <c:layoutTarget val="inner"/>
          <c:xMode val="edge"/>
          <c:yMode val="edge"/>
          <c:x val="6.3416573662398862E-2"/>
          <c:y val="0.39048996100975469"/>
          <c:w val="0.89271022924761501"/>
          <c:h val="0.2857243617144547"/>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22'!$D$26:$D$30</c:f>
              <c:numCache>
                <c:formatCode>General</c:formatCode>
                <c:ptCount val="5"/>
                <c:pt idx="0" formatCode="0.00E+00">
                  <c:v>295856.77884028893</c:v>
                </c:pt>
                <c:pt idx="1">
                  <c:v>315755.63211973367</c:v>
                </c:pt>
                <c:pt idx="2">
                  <c:v>350578.62535876187</c:v>
                </c:pt>
                <c:pt idx="3">
                  <c:v>504794.73827445868</c:v>
                </c:pt>
                <c:pt idx="4">
                  <c:v>554541.87147307058</c:v>
                </c:pt>
              </c:numCache>
            </c:numRef>
          </c:xVal>
          <c:yVal>
            <c:numRef>
              <c:f>'Lens 22'!$A$26:$A$30</c:f>
              <c:numCache>
                <c:formatCode>General</c:formatCode>
                <c:ptCount val="5"/>
                <c:pt idx="0">
                  <c:v>8201</c:v>
                </c:pt>
                <c:pt idx="1">
                  <c:v>11761</c:v>
                </c:pt>
                <c:pt idx="2">
                  <c:v>31329</c:v>
                </c:pt>
                <c:pt idx="3">
                  <c:v>17710</c:v>
                </c:pt>
                <c:pt idx="4">
                  <c:v>10759</c:v>
                </c:pt>
              </c:numCache>
            </c:numRef>
          </c:yVal>
          <c:smooth val="0"/>
          <c:extLst>
            <c:ext xmlns:c16="http://schemas.microsoft.com/office/drawing/2014/chart" uri="{C3380CC4-5D6E-409C-BE32-E72D297353CC}">
              <c16:uniqueId val="{00000000-B19C-46A2-BE2B-08F83ADB3F06}"/>
            </c:ext>
          </c:extLst>
        </c:ser>
        <c:dLbls>
          <c:showLegendKey val="0"/>
          <c:showVal val="0"/>
          <c:showCatName val="0"/>
          <c:showSerName val="0"/>
          <c:showPercent val="0"/>
          <c:showBubbleSize val="0"/>
        </c:dLbls>
        <c:axId val="1203016192"/>
        <c:axId val="1"/>
      </c:scatterChart>
      <c:valAx>
        <c:axId val="1203016192"/>
        <c:scaling>
          <c:orientation val="minMax"/>
          <c:max val="700000"/>
          <c:min val="200000"/>
        </c:scaling>
        <c:delete val="0"/>
        <c:axPos val="b"/>
        <c:numFmt formatCode="0" sourceLinked="0"/>
        <c:majorTickMark val="out"/>
        <c:minorTickMark val="none"/>
        <c:tickLblPos val="nextTo"/>
        <c:spPr>
          <a:ln w="3175">
            <a:solidFill>
              <a:srgbClr val="99CC00"/>
            </a:solidFill>
            <a:prstDash val="solid"/>
          </a:ln>
        </c:spPr>
        <c:txPr>
          <a:bodyPr rot="0" vert="horz"/>
          <a:lstStyle/>
          <a:p>
            <a:pPr>
              <a:defRPr sz="275" b="0" i="0" u="none" strike="noStrike" baseline="0">
                <a:solidFill>
                  <a:srgbClr val="000000"/>
                </a:solidFill>
                <a:latin typeface="MathSoftText"/>
                <a:ea typeface="MathSoftText"/>
                <a:cs typeface="MathSoftText"/>
              </a:defRPr>
            </a:pPr>
            <a:endParaRPr lang="en-US"/>
          </a:p>
        </c:txPr>
        <c:crossAx val="1"/>
        <c:crosses val="autoZero"/>
        <c:crossBetween val="midCat"/>
        <c:majorUnit val="100000"/>
        <c:minorUnit val="20000"/>
      </c:valAx>
      <c:valAx>
        <c:axId val="1"/>
        <c:scaling>
          <c:orientation val="minMax"/>
          <c:max val="40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275" b="0" i="0" u="none" strike="noStrike" baseline="0">
                <a:solidFill>
                  <a:srgbClr val="000000"/>
                </a:solidFill>
                <a:latin typeface="MathSoftText"/>
                <a:ea typeface="MathSoftText"/>
                <a:cs typeface="MathSoftText"/>
              </a:defRPr>
            </a:pPr>
            <a:endParaRPr lang="en-US"/>
          </a:p>
        </c:txPr>
        <c:crossAx val="1203016192"/>
        <c:crosses val="autoZero"/>
        <c:crossBetween val="midCat"/>
        <c:majorUnit val="10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7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0" i="0" u="none" strike="noStrike" baseline="0">
                <a:solidFill>
                  <a:srgbClr val="000000"/>
                </a:solidFill>
                <a:latin typeface="MathSoftText"/>
                <a:ea typeface="MathSoftText"/>
                <a:cs typeface="MathSoftText"/>
              </a:defRPr>
            </a:pPr>
            <a:r>
              <a:rPr lang="en-US"/>
              <a:t>lens 22 pulse count vs peak current</a:t>
            </a:r>
          </a:p>
        </c:rich>
      </c:tx>
      <c:layout>
        <c:manualLayout>
          <c:xMode val="edge"/>
          <c:yMode val="edge"/>
          <c:x val="0.24320519322278034"/>
          <c:y val="3.2855214509156377E-2"/>
        </c:manualLayout>
      </c:layout>
      <c:overlay val="0"/>
      <c:spPr>
        <a:noFill/>
        <a:ln w="25400">
          <a:noFill/>
        </a:ln>
      </c:spPr>
    </c:title>
    <c:autoTitleDeleted val="0"/>
    <c:plotArea>
      <c:layout>
        <c:manualLayout>
          <c:layoutTarget val="inner"/>
          <c:xMode val="edge"/>
          <c:yMode val="edge"/>
          <c:x val="0.13435811373845907"/>
          <c:y val="0.16838297435942642"/>
          <c:w val="0.83676192353571976"/>
          <c:h val="0.72281471920144025"/>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50" b="0" i="0" u="none" strike="noStrike" baseline="0">
                    <a:solidFill>
                      <a:srgbClr val="000000"/>
                    </a:solidFill>
                    <a:latin typeface="MathSoftText"/>
                    <a:ea typeface="MathSoftText"/>
                    <a:cs typeface="MathSoftTex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22'!$D$26:$D$30</c:f>
              <c:numCache>
                <c:formatCode>General</c:formatCode>
                <c:ptCount val="5"/>
                <c:pt idx="0" formatCode="0.00E+00">
                  <c:v>295856.77884028893</c:v>
                </c:pt>
                <c:pt idx="1">
                  <c:v>315755.63211973367</c:v>
                </c:pt>
                <c:pt idx="2">
                  <c:v>350578.62535876187</c:v>
                </c:pt>
                <c:pt idx="3">
                  <c:v>504794.73827445868</c:v>
                </c:pt>
                <c:pt idx="4">
                  <c:v>554541.87147307058</c:v>
                </c:pt>
              </c:numCache>
            </c:numRef>
          </c:cat>
          <c:val>
            <c:numRef>
              <c:f>'Lens 22'!$A$26:$A$30</c:f>
              <c:numCache>
                <c:formatCode>General</c:formatCode>
                <c:ptCount val="5"/>
                <c:pt idx="0">
                  <c:v>8201</c:v>
                </c:pt>
                <c:pt idx="1">
                  <c:v>11761</c:v>
                </c:pt>
                <c:pt idx="2">
                  <c:v>31329</c:v>
                </c:pt>
                <c:pt idx="3">
                  <c:v>17710</c:v>
                </c:pt>
                <c:pt idx="4">
                  <c:v>10759</c:v>
                </c:pt>
              </c:numCache>
            </c:numRef>
          </c:val>
          <c:extLst>
            <c:ext xmlns:c16="http://schemas.microsoft.com/office/drawing/2014/chart" uri="{C3380CC4-5D6E-409C-BE32-E72D297353CC}">
              <c16:uniqueId val="{00000000-BDB6-495A-B8FC-9702D9928C1A}"/>
            </c:ext>
          </c:extLst>
        </c:ser>
        <c:dLbls>
          <c:showLegendKey val="0"/>
          <c:showVal val="1"/>
          <c:showCatName val="0"/>
          <c:showSerName val="0"/>
          <c:showPercent val="0"/>
          <c:showBubbleSize val="0"/>
        </c:dLbls>
        <c:gapWidth val="150"/>
        <c:axId val="1707245328"/>
        <c:axId val="1"/>
      </c:barChart>
      <c:catAx>
        <c:axId val="1707245328"/>
        <c:scaling>
          <c:orientation val="minMax"/>
        </c:scaling>
        <c:delete val="0"/>
        <c:axPos val="b"/>
        <c:numFmt formatCode="0" sourceLinked="0"/>
        <c:majorTickMark val="out"/>
        <c:minorTickMark val="none"/>
        <c:tickLblPos val="nextTo"/>
        <c:spPr>
          <a:ln w="3175">
            <a:solidFill>
              <a:srgbClr val="99CC00"/>
            </a:solidFill>
            <a:prstDash val="solid"/>
          </a:ln>
        </c:spPr>
        <c:txPr>
          <a:bodyPr rot="0" vert="horz"/>
          <a:lstStyle/>
          <a:p>
            <a:pPr>
              <a:defRPr sz="95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40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950" b="0" i="0" u="none" strike="noStrike" baseline="0">
                <a:solidFill>
                  <a:srgbClr val="000000"/>
                </a:solidFill>
                <a:latin typeface="MathSoftText"/>
                <a:ea typeface="MathSoftText"/>
                <a:cs typeface="MathSoftText"/>
              </a:defRPr>
            </a:pPr>
            <a:endParaRPr lang="en-US"/>
          </a:p>
        </c:txPr>
        <c:crossAx val="1707245328"/>
        <c:crosses val="autoZero"/>
        <c:crossBetween val="between"/>
        <c:majorUnit val="10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22 Rogowski and Bdot vs Pot</a:t>
            </a:r>
          </a:p>
        </c:rich>
      </c:tx>
      <c:layout>
        <c:manualLayout>
          <c:xMode val="edge"/>
          <c:yMode val="edge"/>
          <c:x val="0.24132405481003652"/>
          <c:y val="3.8576901405916741E-2"/>
        </c:manualLayout>
      </c:layout>
      <c:overlay val="0"/>
      <c:spPr>
        <a:noFill/>
        <a:ln w="25400">
          <a:noFill/>
        </a:ln>
      </c:spPr>
    </c:title>
    <c:autoTitleDeleted val="0"/>
    <c:plotArea>
      <c:layout>
        <c:manualLayout>
          <c:layoutTarget val="inner"/>
          <c:xMode val="edge"/>
          <c:yMode val="edge"/>
          <c:x val="0.1755084034982084"/>
          <c:y val="0.25223358611560948"/>
          <c:w val="0.38940927026164984"/>
          <c:h val="0.48072754059680861"/>
        </c:manualLayout>
      </c:layout>
      <c:scatterChart>
        <c:scatterStyle val="lineMarker"/>
        <c:varyColors val="0"/>
        <c:ser>
          <c:idx val="1"/>
          <c:order val="1"/>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69289255131063521"/>
                  <c:y val="0.63503514622047552"/>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22'!$A$14:$A$19</c:f>
              <c:numCache>
                <c:formatCode>General</c:formatCode>
                <c:ptCount val="6"/>
                <c:pt idx="0">
                  <c:v>1.1000000000000001</c:v>
                </c:pt>
                <c:pt idx="1">
                  <c:v>1.1000000000000001</c:v>
                </c:pt>
                <c:pt idx="2">
                  <c:v>4.2</c:v>
                </c:pt>
                <c:pt idx="3">
                  <c:v>4.2</c:v>
                </c:pt>
                <c:pt idx="4">
                  <c:v>5.2</c:v>
                </c:pt>
                <c:pt idx="5">
                  <c:v>5.2</c:v>
                </c:pt>
              </c:numCache>
            </c:numRef>
          </c:xVal>
          <c:yVal>
            <c:numRef>
              <c:f>'Lens 22'!$D$14:$D$19</c:f>
              <c:numCache>
                <c:formatCode>0.00</c:formatCode>
                <c:ptCount val="6"/>
                <c:pt idx="0">
                  <c:v>3</c:v>
                </c:pt>
                <c:pt idx="1">
                  <c:v>3</c:v>
                </c:pt>
                <c:pt idx="2">
                  <c:v>4.5999999999999996</c:v>
                </c:pt>
                <c:pt idx="3" formatCode="General">
                  <c:v>4.5999999999999996</c:v>
                </c:pt>
                <c:pt idx="4" formatCode="General">
                  <c:v>5.0999999999999996</c:v>
                </c:pt>
                <c:pt idx="5" formatCode="General">
                  <c:v>5.0999999999999996</c:v>
                </c:pt>
              </c:numCache>
            </c:numRef>
          </c:yVal>
          <c:smooth val="0"/>
          <c:extLst>
            <c:ext xmlns:c16="http://schemas.microsoft.com/office/drawing/2014/chart" uri="{C3380CC4-5D6E-409C-BE32-E72D297353CC}">
              <c16:uniqueId val="{00000001-A2B0-41CB-AA81-24491B770F75}"/>
            </c:ext>
          </c:extLst>
        </c:ser>
        <c:dLbls>
          <c:showLegendKey val="0"/>
          <c:showVal val="0"/>
          <c:showCatName val="0"/>
          <c:showSerName val="0"/>
          <c:showPercent val="0"/>
          <c:showBubbleSize val="0"/>
        </c:dLbls>
        <c:axId val="1203017184"/>
        <c:axId val="1"/>
      </c:scatterChart>
      <c:scatterChart>
        <c:scatterStyle val="lineMarker"/>
        <c:varyColors val="0"/>
        <c:ser>
          <c:idx val="0"/>
          <c:order val="0"/>
          <c:tx>
            <c:v>rog vs pot</c:v>
          </c:tx>
          <c:spPr>
            <a:ln w="19050">
              <a:noFill/>
            </a:ln>
          </c:spPr>
          <c:marker>
            <c:symbol val="diamond"/>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Mode val="edge"/>
                  <c:yMode val="edge"/>
                  <c:x val="0.70020540145639376"/>
                  <c:y val="0.84275692302156557"/>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22'!$A$14:$A$19</c:f>
              <c:numCache>
                <c:formatCode>General</c:formatCode>
                <c:ptCount val="6"/>
                <c:pt idx="0">
                  <c:v>1.1000000000000001</c:v>
                </c:pt>
                <c:pt idx="1">
                  <c:v>1.1000000000000001</c:v>
                </c:pt>
                <c:pt idx="2">
                  <c:v>4.2</c:v>
                </c:pt>
                <c:pt idx="3">
                  <c:v>4.2</c:v>
                </c:pt>
                <c:pt idx="4">
                  <c:v>5.2</c:v>
                </c:pt>
                <c:pt idx="5">
                  <c:v>5.2</c:v>
                </c:pt>
              </c:numCache>
            </c:numRef>
          </c:xVal>
          <c:yVal>
            <c:numRef>
              <c:f>'Lens 22'!$C$14:$C$19</c:f>
              <c:numCache>
                <c:formatCode>0.000</c:formatCode>
                <c:ptCount val="6"/>
                <c:pt idx="0">
                  <c:v>0.35</c:v>
                </c:pt>
                <c:pt idx="1">
                  <c:v>0.35</c:v>
                </c:pt>
                <c:pt idx="2">
                  <c:v>0.52</c:v>
                </c:pt>
                <c:pt idx="3">
                  <c:v>0.52</c:v>
                </c:pt>
                <c:pt idx="4">
                  <c:v>0.57999999999999996</c:v>
                </c:pt>
                <c:pt idx="5">
                  <c:v>0.57999999999999996</c:v>
                </c:pt>
              </c:numCache>
            </c:numRef>
          </c:yVal>
          <c:smooth val="0"/>
          <c:extLst>
            <c:ext xmlns:c16="http://schemas.microsoft.com/office/drawing/2014/chart" uri="{C3380CC4-5D6E-409C-BE32-E72D297353CC}">
              <c16:uniqueId val="{00000003-A2B0-41CB-AA81-24491B770F75}"/>
            </c:ext>
          </c:extLst>
        </c:ser>
        <c:dLbls>
          <c:showLegendKey val="0"/>
          <c:showVal val="0"/>
          <c:showCatName val="0"/>
          <c:showSerName val="0"/>
          <c:showPercent val="0"/>
          <c:showBubbleSize val="0"/>
        </c:dLbls>
        <c:axId val="3"/>
        <c:axId val="4"/>
      </c:scatterChart>
      <c:valAx>
        <c:axId val="1203017184"/>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0531149358542498"/>
              <c:y val="0.83682201511296306"/>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3018163556750444E-2"/>
              <c:y val="0.37983410615056479"/>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203017184"/>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0.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3"/>
        <c:crosses val="max"/>
        <c:crossBetween val="midCat"/>
      </c:valAx>
      <c:spPr>
        <a:noFill/>
        <a:ln w="12700">
          <a:solidFill>
            <a:srgbClr val="99CC00"/>
          </a:solidFill>
          <a:prstDash val="solid"/>
        </a:ln>
      </c:spPr>
    </c:plotArea>
    <c:legend>
      <c:legendPos val="r"/>
      <c:layout>
        <c:manualLayout>
          <c:xMode val="edge"/>
          <c:yMode val="edge"/>
          <c:x val="0.67278221340979871"/>
          <c:y val="0.19585196098388499"/>
          <c:w val="0.30713970612186464"/>
          <c:h val="0.27597321775001976"/>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22 Rogowski vs Bdot</a:t>
            </a:r>
          </a:p>
        </c:rich>
      </c:tx>
      <c:layout>
        <c:manualLayout>
          <c:xMode val="edge"/>
          <c:yMode val="edge"/>
          <c:x val="0.30110473345894589"/>
          <c:y val="4.1271226051092146E-2"/>
        </c:manualLayout>
      </c:layout>
      <c:overlay val="0"/>
      <c:spPr>
        <a:noFill/>
        <a:ln w="25400">
          <a:noFill/>
        </a:ln>
      </c:spPr>
    </c:title>
    <c:autoTitleDeleted val="0"/>
    <c:plotArea>
      <c:layout>
        <c:manualLayout>
          <c:layoutTarget val="inner"/>
          <c:xMode val="edge"/>
          <c:yMode val="edge"/>
          <c:x val="0.17153845421297523"/>
          <c:y val="0.23175380782536359"/>
          <c:w val="0.76827328961343155"/>
          <c:h val="0.52065239018300857"/>
        </c:manualLayout>
      </c:layout>
      <c:scatterChart>
        <c:scatterStyle val="lineMarker"/>
        <c:varyColors val="0"/>
        <c:ser>
          <c:idx val="0"/>
          <c:order val="0"/>
          <c:spPr>
            <a:ln w="19050">
              <a:noFill/>
            </a:ln>
          </c:spPr>
          <c:marker>
            <c:symbol val="diamond"/>
            <c:size val="5"/>
            <c:spPr>
              <a:solidFill>
                <a:srgbClr val="FF0000"/>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Mode val="edge"/>
                  <c:yMode val="edge"/>
                  <c:x val="0.7336006233363408"/>
                  <c:y val="2.5397677569902858E-2"/>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22'!$D$14:$D$19</c:f>
              <c:numCache>
                <c:formatCode>0.00</c:formatCode>
                <c:ptCount val="6"/>
                <c:pt idx="0">
                  <c:v>3</c:v>
                </c:pt>
                <c:pt idx="1">
                  <c:v>3</c:v>
                </c:pt>
                <c:pt idx="2">
                  <c:v>4.5999999999999996</c:v>
                </c:pt>
                <c:pt idx="3" formatCode="General">
                  <c:v>4.5999999999999996</c:v>
                </c:pt>
                <c:pt idx="4" formatCode="General">
                  <c:v>5.0999999999999996</c:v>
                </c:pt>
                <c:pt idx="5" formatCode="General">
                  <c:v>5.0999999999999996</c:v>
                </c:pt>
              </c:numCache>
            </c:numRef>
          </c:xVal>
          <c:yVal>
            <c:numRef>
              <c:f>'Lens 22'!$C$14:$C$19</c:f>
              <c:numCache>
                <c:formatCode>0.000</c:formatCode>
                <c:ptCount val="6"/>
                <c:pt idx="0">
                  <c:v>0.35</c:v>
                </c:pt>
                <c:pt idx="1">
                  <c:v>0.35</c:v>
                </c:pt>
                <c:pt idx="2">
                  <c:v>0.52</c:v>
                </c:pt>
                <c:pt idx="3">
                  <c:v>0.52</c:v>
                </c:pt>
                <c:pt idx="4">
                  <c:v>0.57999999999999996</c:v>
                </c:pt>
                <c:pt idx="5">
                  <c:v>0.57999999999999996</c:v>
                </c:pt>
              </c:numCache>
            </c:numRef>
          </c:yVal>
          <c:smooth val="0"/>
          <c:extLst>
            <c:ext xmlns:c16="http://schemas.microsoft.com/office/drawing/2014/chart" uri="{C3380CC4-5D6E-409C-BE32-E72D297353CC}">
              <c16:uniqueId val="{00000001-8818-4B4A-93AD-01D0E566E530}"/>
            </c:ext>
          </c:extLst>
        </c:ser>
        <c:dLbls>
          <c:showLegendKey val="0"/>
          <c:showVal val="0"/>
          <c:showCatName val="0"/>
          <c:showSerName val="0"/>
          <c:showPercent val="0"/>
          <c:showBubbleSize val="0"/>
        </c:dLbls>
        <c:axId val="1203012720"/>
        <c:axId val="1"/>
      </c:scatterChart>
      <c:valAx>
        <c:axId val="1203012720"/>
        <c:scaling>
          <c:orientation val="minMax"/>
          <c:min val="3"/>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0.4835924507067918"/>
              <c:y val="0.86352103737669705"/>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minorUnit val="0.1"/>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Rogowski (volts)</a:t>
                </a:r>
              </a:p>
            </c:rich>
          </c:tx>
          <c:layout>
            <c:manualLayout>
              <c:xMode val="edge"/>
              <c:yMode val="edge"/>
              <c:x val="3.4672666277090737E-2"/>
              <c:y val="0.31429625992754789"/>
            </c:manualLayout>
          </c:layout>
          <c:overlay val="0"/>
          <c:spPr>
            <a:noFill/>
            <a:ln w="25400">
              <a:noFill/>
            </a:ln>
          </c:spPr>
        </c:title>
        <c:numFmt formatCode="0.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203012720"/>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00" b="0" i="0" u="none" strike="noStrike" baseline="0">
                <a:solidFill>
                  <a:srgbClr val="000000"/>
                </a:solidFill>
                <a:latin typeface="MathSoftText"/>
                <a:ea typeface="MathSoftText"/>
                <a:cs typeface="MathSoftText"/>
              </a:defRPr>
            </a:pPr>
            <a:r>
              <a:rPr lang="en-US"/>
              <a:t>lens 23 pulse count vs peak current</a:t>
            </a:r>
          </a:p>
        </c:rich>
      </c:tx>
      <c:layout>
        <c:manualLayout>
          <c:xMode val="edge"/>
          <c:yMode val="edge"/>
          <c:x val="0.40797329975380936"/>
          <c:y val="7.2003011844733733E-2"/>
        </c:manualLayout>
      </c:layout>
      <c:overlay val="0"/>
      <c:spPr>
        <a:noFill/>
        <a:ln w="25400">
          <a:noFill/>
        </a:ln>
      </c:spPr>
    </c:title>
    <c:autoTitleDeleted val="0"/>
    <c:plotArea>
      <c:layout>
        <c:manualLayout>
          <c:layoutTarget val="inner"/>
          <c:xMode val="edge"/>
          <c:yMode val="edge"/>
          <c:x val="9.2871970675663926E-2"/>
          <c:y val="0.3440143899248389"/>
          <c:w val="0.87896686532324786"/>
          <c:h val="0.27201137808010523"/>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23'!$D$24:$D$27</c:f>
              <c:numCache>
                <c:formatCode>0</c:formatCode>
                <c:ptCount val="4"/>
                <c:pt idx="0" formatCode="General">
                  <c:v>315755.63211973367</c:v>
                </c:pt>
                <c:pt idx="1">
                  <c:v>395351.04523751262</c:v>
                </c:pt>
                <c:pt idx="2" formatCode="General">
                  <c:v>482408.52833508328</c:v>
                </c:pt>
                <c:pt idx="3" formatCode="General">
                  <c:v>519718.87823404215</c:v>
                </c:pt>
              </c:numCache>
            </c:numRef>
          </c:cat>
          <c:val>
            <c:numRef>
              <c:f>'Lens 23'!$A$24:$A$27</c:f>
              <c:numCache>
                <c:formatCode>General</c:formatCode>
                <c:ptCount val="4"/>
                <c:pt idx="0">
                  <c:v>433</c:v>
                </c:pt>
                <c:pt idx="1">
                  <c:v>1000</c:v>
                </c:pt>
                <c:pt idx="2">
                  <c:v>45267</c:v>
                </c:pt>
                <c:pt idx="3">
                  <c:v>53300</c:v>
                </c:pt>
              </c:numCache>
            </c:numRef>
          </c:val>
          <c:extLst>
            <c:ext xmlns:c16="http://schemas.microsoft.com/office/drawing/2014/chart" uri="{C3380CC4-5D6E-409C-BE32-E72D297353CC}">
              <c16:uniqueId val="{00000000-AB12-4AAD-97BB-A765591AAFAC}"/>
            </c:ext>
          </c:extLst>
        </c:ser>
        <c:dLbls>
          <c:showLegendKey val="0"/>
          <c:showVal val="0"/>
          <c:showCatName val="0"/>
          <c:showSerName val="0"/>
          <c:showPercent val="0"/>
          <c:showBubbleSize val="0"/>
        </c:dLbls>
        <c:gapWidth val="150"/>
        <c:axId val="1192828080"/>
        <c:axId val="1"/>
      </c:barChart>
      <c:catAx>
        <c:axId val="1192828080"/>
        <c:scaling>
          <c:orientation val="minMax"/>
        </c:scaling>
        <c:delete val="0"/>
        <c:axPos val="b"/>
        <c:title>
          <c:tx>
            <c:rich>
              <a:bodyPr/>
              <a:lstStyle/>
              <a:p>
                <a:pPr>
                  <a:defRPr sz="350" b="0" i="0" u="none" strike="noStrike" baseline="0">
                    <a:solidFill>
                      <a:srgbClr val="000000"/>
                    </a:solidFill>
                    <a:latin typeface="MathSoftText"/>
                    <a:ea typeface="MathSoftText"/>
                    <a:cs typeface="MathSoftText"/>
                  </a:defRPr>
                </a:pPr>
                <a:r>
                  <a:rPr lang="en-US"/>
                  <a:t>amps</a:t>
                </a:r>
              </a:p>
            </c:rich>
          </c:tx>
          <c:layout>
            <c:manualLayout>
              <c:xMode val="edge"/>
              <c:yMode val="edge"/>
              <c:x val="0.52074640700282981"/>
              <c:y val="0.75203145704499674"/>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35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35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1510132907814549E-2"/>
              <c:y val="0.29601238202834979"/>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350" b="0" i="0" u="none" strike="noStrike" baseline="0">
                <a:solidFill>
                  <a:srgbClr val="000000"/>
                </a:solidFill>
                <a:latin typeface="MathSoftText"/>
                <a:ea typeface="MathSoftText"/>
                <a:cs typeface="MathSoftText"/>
              </a:defRPr>
            </a:pPr>
            <a:endParaRPr lang="en-US"/>
          </a:p>
        </c:txPr>
        <c:crossAx val="1192828080"/>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00" b="0" i="0" u="none" strike="noStrike" baseline="0">
                <a:solidFill>
                  <a:srgbClr val="000000"/>
                </a:solidFill>
                <a:latin typeface="MathSoftText"/>
                <a:ea typeface="MathSoftText"/>
                <a:cs typeface="MathSoftText"/>
              </a:defRPr>
            </a:pPr>
            <a:r>
              <a:rPr lang="en-US"/>
              <a:t>lens 23 pulse count vs peak current</a:t>
            </a:r>
          </a:p>
        </c:rich>
      </c:tx>
      <c:layout>
        <c:manualLayout>
          <c:xMode val="edge"/>
          <c:yMode val="edge"/>
          <c:x val="0.39676010188782884"/>
          <c:y val="6.757017303102994E-2"/>
        </c:manualLayout>
      </c:layout>
      <c:overlay val="0"/>
      <c:spPr>
        <a:noFill/>
        <a:ln w="25400">
          <a:noFill/>
        </a:ln>
      </c:spPr>
    </c:title>
    <c:autoTitleDeleted val="0"/>
    <c:plotArea>
      <c:layout>
        <c:manualLayout>
          <c:layoutTarget val="inner"/>
          <c:xMode val="edge"/>
          <c:yMode val="edge"/>
          <c:x val="7.642510159314736E-2"/>
          <c:y val="0.30406577863963469"/>
          <c:w val="0.87482350334283576"/>
          <c:h val="0.4527201593079006"/>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23'!$D$24:$D$27</c:f>
              <c:numCache>
                <c:formatCode>0</c:formatCode>
                <c:ptCount val="4"/>
                <c:pt idx="0" formatCode="General">
                  <c:v>315755.63211973367</c:v>
                </c:pt>
                <c:pt idx="1">
                  <c:v>395351.04523751262</c:v>
                </c:pt>
                <c:pt idx="2" formatCode="General">
                  <c:v>482408.52833508328</c:v>
                </c:pt>
                <c:pt idx="3" formatCode="General">
                  <c:v>519718.87823404215</c:v>
                </c:pt>
              </c:numCache>
            </c:numRef>
          </c:xVal>
          <c:yVal>
            <c:numRef>
              <c:f>'Lens 23'!$A$24:$A$27</c:f>
              <c:numCache>
                <c:formatCode>General</c:formatCode>
                <c:ptCount val="4"/>
                <c:pt idx="0">
                  <c:v>433</c:v>
                </c:pt>
                <c:pt idx="1">
                  <c:v>1000</c:v>
                </c:pt>
                <c:pt idx="2">
                  <c:v>45267</c:v>
                </c:pt>
                <c:pt idx="3">
                  <c:v>53300</c:v>
                </c:pt>
              </c:numCache>
            </c:numRef>
          </c:yVal>
          <c:smooth val="0"/>
          <c:extLst>
            <c:ext xmlns:c16="http://schemas.microsoft.com/office/drawing/2014/chart" uri="{C3380CC4-5D6E-409C-BE32-E72D297353CC}">
              <c16:uniqueId val="{00000000-8109-4BFB-BD0A-FD5D39B27B48}"/>
            </c:ext>
          </c:extLst>
        </c:ser>
        <c:dLbls>
          <c:showLegendKey val="0"/>
          <c:showVal val="0"/>
          <c:showCatName val="0"/>
          <c:showSerName val="0"/>
          <c:showPercent val="0"/>
          <c:showBubbleSize val="0"/>
        </c:dLbls>
        <c:axId val="1838611360"/>
        <c:axId val="1"/>
      </c:scatterChart>
      <c:valAx>
        <c:axId val="1838611360"/>
        <c:scaling>
          <c:orientation val="minMax"/>
          <c:max val="700000"/>
          <c:min val="200000"/>
        </c:scaling>
        <c:delete val="0"/>
        <c:axPos val="b"/>
        <c:numFmt formatCode="0" sourceLinked="0"/>
        <c:majorTickMark val="out"/>
        <c:minorTickMark val="none"/>
        <c:tickLblPos val="nextTo"/>
        <c:spPr>
          <a:ln w="3175">
            <a:solidFill>
              <a:srgbClr val="99CC00"/>
            </a:solidFill>
            <a:prstDash val="solid"/>
          </a:ln>
        </c:spPr>
        <c:txPr>
          <a:bodyPr rot="0" vert="horz"/>
          <a:lstStyle/>
          <a:p>
            <a:pPr>
              <a:defRPr sz="400" b="0" i="0" u="none" strike="noStrike" baseline="0">
                <a:solidFill>
                  <a:srgbClr val="000000"/>
                </a:solidFill>
                <a:latin typeface="MathSoftText"/>
                <a:ea typeface="MathSoftText"/>
                <a:cs typeface="MathSoftText"/>
              </a:defRPr>
            </a:pPr>
            <a:endParaRPr lang="en-US"/>
          </a:p>
        </c:txPr>
        <c:crossAx val="1"/>
        <c:crosses val="autoZero"/>
        <c:crossBetween val="midCat"/>
        <c:majorUnit val="100000"/>
        <c:minorUnit val="20000"/>
      </c:valAx>
      <c:valAx>
        <c:axId val="1"/>
        <c:scaling>
          <c:orientation val="minMax"/>
          <c:max val="125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400" b="0" i="0" u="none" strike="noStrike" baseline="0">
                <a:solidFill>
                  <a:srgbClr val="000000"/>
                </a:solidFill>
                <a:latin typeface="MathSoftText"/>
                <a:ea typeface="MathSoftText"/>
                <a:cs typeface="MathSoftText"/>
              </a:defRPr>
            </a:pPr>
            <a:endParaRPr lang="en-US"/>
          </a:p>
        </c:txPr>
        <c:crossAx val="1838611360"/>
        <c:crosses val="autoZero"/>
        <c:crossBetween val="midCat"/>
        <c:majorUnit val="25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MathSoftText"/>
                <a:ea typeface="MathSoftText"/>
                <a:cs typeface="MathSoftText"/>
              </a:defRPr>
            </a:pPr>
            <a:r>
              <a:rPr lang="en-US"/>
              <a:t>lens 16 pulse count vs peak current</a:t>
            </a:r>
          </a:p>
        </c:rich>
      </c:tx>
      <c:layout>
        <c:manualLayout>
          <c:xMode val="edge"/>
          <c:yMode val="edge"/>
          <c:x val="0.3237395947649645"/>
          <c:y val="5.2886299181266534E-2"/>
        </c:manualLayout>
      </c:layout>
      <c:overlay val="0"/>
      <c:spPr>
        <a:noFill/>
        <a:ln w="25400">
          <a:noFill/>
        </a:ln>
      </c:spPr>
    </c:title>
    <c:autoTitleDeleted val="0"/>
    <c:plotArea>
      <c:layout>
        <c:manualLayout>
          <c:layoutTarget val="inner"/>
          <c:xMode val="edge"/>
          <c:yMode val="edge"/>
          <c:x val="0.12203796242448924"/>
          <c:y val="0.28847072280690839"/>
          <c:w val="0.84918082187040411"/>
          <c:h val="0.480784538011514"/>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16'!$D$39:$D$47</c:f>
              <c:numCache>
                <c:formatCode>General</c:formatCode>
                <c:ptCount val="9"/>
                <c:pt idx="0">
                  <c:v>392863.68857758201</c:v>
                </c:pt>
                <c:pt idx="1">
                  <c:v>395351.04523751262</c:v>
                </c:pt>
                <c:pt idx="2">
                  <c:v>412762.54185702675</c:v>
                </c:pt>
                <c:pt idx="3">
                  <c:v>440123.46511626325</c:v>
                </c:pt>
                <c:pt idx="4">
                  <c:v>469971.74503543024</c:v>
                </c:pt>
                <c:pt idx="5">
                  <c:v>474946.45835529157</c:v>
                </c:pt>
                <c:pt idx="6">
                  <c:v>519718.87823404215</c:v>
                </c:pt>
                <c:pt idx="7">
                  <c:v>562003.94145286223</c:v>
                </c:pt>
                <c:pt idx="8">
                  <c:v>599314.29135182104</c:v>
                </c:pt>
              </c:numCache>
            </c:numRef>
          </c:cat>
          <c:val>
            <c:numRef>
              <c:f>'Lens 16'!$A$39:$A$47</c:f>
              <c:numCache>
                <c:formatCode>General</c:formatCode>
                <c:ptCount val="9"/>
                <c:pt idx="0">
                  <c:v>298500</c:v>
                </c:pt>
                <c:pt idx="1">
                  <c:v>34500</c:v>
                </c:pt>
                <c:pt idx="2">
                  <c:v>121775</c:v>
                </c:pt>
                <c:pt idx="3">
                  <c:v>256086</c:v>
                </c:pt>
                <c:pt idx="4">
                  <c:v>125000</c:v>
                </c:pt>
                <c:pt idx="5">
                  <c:v>36300</c:v>
                </c:pt>
                <c:pt idx="6">
                  <c:v>78800</c:v>
                </c:pt>
                <c:pt idx="7">
                  <c:v>44445</c:v>
                </c:pt>
                <c:pt idx="8">
                  <c:v>471955</c:v>
                </c:pt>
              </c:numCache>
            </c:numRef>
          </c:val>
          <c:extLst>
            <c:ext xmlns:c16="http://schemas.microsoft.com/office/drawing/2014/chart" uri="{C3380CC4-5D6E-409C-BE32-E72D297353CC}">
              <c16:uniqueId val="{00000000-2756-4AD8-ACEA-590FDBC882FF}"/>
            </c:ext>
          </c:extLst>
        </c:ser>
        <c:dLbls>
          <c:showLegendKey val="0"/>
          <c:showVal val="0"/>
          <c:showCatName val="0"/>
          <c:showSerName val="0"/>
          <c:showPercent val="0"/>
          <c:showBubbleSize val="0"/>
        </c:dLbls>
        <c:gapWidth val="150"/>
        <c:axId val="1707198288"/>
        <c:axId val="1"/>
      </c:barChart>
      <c:catAx>
        <c:axId val="1707198288"/>
        <c:scaling>
          <c:orientation val="minMax"/>
        </c:scaling>
        <c:delete val="0"/>
        <c:axPos val="b"/>
        <c:numFmt formatCode="0" sourceLinked="0"/>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500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707198288"/>
        <c:crosses val="autoZero"/>
        <c:crossBetween val="between"/>
        <c:majorUnit val="100000"/>
        <c:minorUnit val="50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0" i="0" u="none" strike="noStrike" baseline="0">
                <a:solidFill>
                  <a:srgbClr val="000000"/>
                </a:solidFill>
                <a:latin typeface="MathSoftText"/>
                <a:ea typeface="MathSoftText"/>
                <a:cs typeface="MathSoftText"/>
              </a:defRPr>
            </a:pPr>
            <a:r>
              <a:rPr lang="en-US"/>
              <a:t>lens 23 pulse count vs peak current</a:t>
            </a:r>
          </a:p>
        </c:rich>
      </c:tx>
      <c:layout>
        <c:manualLayout>
          <c:xMode val="edge"/>
          <c:yMode val="edge"/>
          <c:x val="0.24320519322278034"/>
          <c:y val="3.2922927408600179E-2"/>
        </c:manualLayout>
      </c:layout>
      <c:overlay val="0"/>
      <c:spPr>
        <a:noFill/>
        <a:ln w="25400">
          <a:noFill/>
        </a:ln>
      </c:spPr>
    </c:title>
    <c:autoTitleDeleted val="0"/>
    <c:plotArea>
      <c:layout>
        <c:manualLayout>
          <c:layoutTarget val="inner"/>
          <c:xMode val="edge"/>
          <c:yMode val="edge"/>
          <c:x val="0.13435811373845907"/>
          <c:y val="0.16873000296907595"/>
          <c:w val="0.83676192353571976"/>
          <c:h val="0.7222467200261665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23'!$D$24:$D$27</c:f>
              <c:numCache>
                <c:formatCode>0</c:formatCode>
                <c:ptCount val="4"/>
                <c:pt idx="0" formatCode="General">
                  <c:v>315755.63211973367</c:v>
                </c:pt>
                <c:pt idx="1">
                  <c:v>395351.04523751262</c:v>
                </c:pt>
                <c:pt idx="2" formatCode="General">
                  <c:v>482408.52833508328</c:v>
                </c:pt>
                <c:pt idx="3" formatCode="General">
                  <c:v>519718.87823404215</c:v>
                </c:pt>
              </c:numCache>
            </c:numRef>
          </c:cat>
          <c:val>
            <c:numRef>
              <c:f>'Lens 23'!$A$24:$A$27</c:f>
              <c:numCache>
                <c:formatCode>General</c:formatCode>
                <c:ptCount val="4"/>
                <c:pt idx="0">
                  <c:v>433</c:v>
                </c:pt>
                <c:pt idx="1">
                  <c:v>1000</c:v>
                </c:pt>
                <c:pt idx="2">
                  <c:v>45267</c:v>
                </c:pt>
                <c:pt idx="3">
                  <c:v>53300</c:v>
                </c:pt>
              </c:numCache>
            </c:numRef>
          </c:val>
          <c:extLst>
            <c:ext xmlns:c16="http://schemas.microsoft.com/office/drawing/2014/chart" uri="{C3380CC4-5D6E-409C-BE32-E72D297353CC}">
              <c16:uniqueId val="{00000000-FE22-459D-BAD8-88BB1852A126}"/>
            </c:ext>
          </c:extLst>
        </c:ser>
        <c:dLbls>
          <c:showLegendKey val="0"/>
          <c:showVal val="0"/>
          <c:showCatName val="0"/>
          <c:showSerName val="0"/>
          <c:showPercent val="0"/>
          <c:showBubbleSize val="0"/>
        </c:dLbls>
        <c:gapWidth val="150"/>
        <c:axId val="1192820400"/>
        <c:axId val="1"/>
      </c:barChart>
      <c:catAx>
        <c:axId val="1192820400"/>
        <c:scaling>
          <c:orientation val="minMax"/>
        </c:scaling>
        <c:delete val="0"/>
        <c:axPos val="b"/>
        <c:numFmt formatCode="0" sourceLinked="0"/>
        <c:majorTickMark val="out"/>
        <c:minorTickMark val="none"/>
        <c:tickLblPos val="nextTo"/>
        <c:spPr>
          <a:ln w="3175">
            <a:solidFill>
              <a:srgbClr val="99CC00"/>
            </a:solidFill>
            <a:prstDash val="solid"/>
          </a:ln>
        </c:spPr>
        <c:txPr>
          <a:bodyPr rot="0" vert="horz"/>
          <a:lstStyle/>
          <a:p>
            <a:pPr>
              <a:defRPr sz="95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75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950" b="0" i="0" u="none" strike="noStrike" baseline="0">
                <a:solidFill>
                  <a:srgbClr val="000000"/>
                </a:solidFill>
                <a:latin typeface="MathSoftText"/>
                <a:ea typeface="MathSoftText"/>
                <a:cs typeface="MathSoftText"/>
              </a:defRPr>
            </a:pPr>
            <a:endParaRPr lang="en-US"/>
          </a:p>
        </c:txPr>
        <c:crossAx val="1192820400"/>
        <c:crosses val="autoZero"/>
        <c:crossBetween val="between"/>
        <c:majorUnit val="25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23 Rogowski and Bdot vs Pot</a:t>
            </a:r>
          </a:p>
        </c:rich>
      </c:tx>
      <c:layout>
        <c:manualLayout>
          <c:xMode val="edge"/>
          <c:yMode val="edge"/>
          <c:x val="0.24132405481003652"/>
          <c:y val="4.1271226051092146E-2"/>
        </c:manualLayout>
      </c:layout>
      <c:overlay val="0"/>
      <c:spPr>
        <a:noFill/>
        <a:ln w="25400">
          <a:noFill/>
        </a:ln>
      </c:spPr>
    </c:title>
    <c:autoTitleDeleted val="0"/>
    <c:plotArea>
      <c:layout>
        <c:manualLayout>
          <c:layoutTarget val="inner"/>
          <c:xMode val="edge"/>
          <c:yMode val="edge"/>
          <c:x val="0.1755084034982084"/>
          <c:y val="0.26350090478774213"/>
          <c:w val="0.46985062186499532"/>
          <c:h val="0.45398348656201354"/>
        </c:manualLayout>
      </c:layout>
      <c:scatterChart>
        <c:scatterStyle val="lineMarker"/>
        <c:varyColors val="0"/>
        <c:ser>
          <c:idx val="1"/>
          <c:order val="0"/>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73311322711230775"/>
                  <c:y val="0.58414658410776577"/>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23'!$A$9:$A$18</c:f>
              <c:numCache>
                <c:formatCode>General</c:formatCode>
                <c:ptCount val="10"/>
                <c:pt idx="0">
                  <c:v>3.75</c:v>
                </c:pt>
                <c:pt idx="1">
                  <c:v>3.75</c:v>
                </c:pt>
                <c:pt idx="2">
                  <c:v>3.75</c:v>
                </c:pt>
                <c:pt idx="3">
                  <c:v>0.4</c:v>
                </c:pt>
                <c:pt idx="4">
                  <c:v>0.4</c:v>
                </c:pt>
                <c:pt idx="5">
                  <c:v>3.75</c:v>
                </c:pt>
                <c:pt idx="6">
                  <c:v>3.75</c:v>
                </c:pt>
                <c:pt idx="7">
                  <c:v>3.75</c:v>
                </c:pt>
                <c:pt idx="8">
                  <c:v>4.5</c:v>
                </c:pt>
                <c:pt idx="9">
                  <c:v>4.5</c:v>
                </c:pt>
              </c:numCache>
            </c:numRef>
          </c:xVal>
          <c:yVal>
            <c:numRef>
              <c:f>'Lens 23'!$D$9:$D$18</c:f>
              <c:numCache>
                <c:formatCode>0.00</c:formatCode>
                <c:ptCount val="10"/>
                <c:pt idx="0">
                  <c:v>4.3</c:v>
                </c:pt>
                <c:pt idx="1">
                  <c:v>4.3</c:v>
                </c:pt>
                <c:pt idx="2">
                  <c:v>4.3</c:v>
                </c:pt>
                <c:pt idx="3">
                  <c:v>3</c:v>
                </c:pt>
                <c:pt idx="4">
                  <c:v>3</c:v>
                </c:pt>
                <c:pt idx="5">
                  <c:v>4.3</c:v>
                </c:pt>
                <c:pt idx="6">
                  <c:v>4.3</c:v>
                </c:pt>
                <c:pt idx="7">
                  <c:v>4.3</c:v>
                </c:pt>
                <c:pt idx="8">
                  <c:v>4.7</c:v>
                </c:pt>
                <c:pt idx="9" formatCode="General">
                  <c:v>4.7</c:v>
                </c:pt>
              </c:numCache>
            </c:numRef>
          </c:yVal>
          <c:smooth val="0"/>
          <c:extLst>
            <c:ext xmlns:c16="http://schemas.microsoft.com/office/drawing/2014/chart" uri="{C3380CC4-5D6E-409C-BE32-E72D297353CC}">
              <c16:uniqueId val="{00000001-6FF0-4B95-9906-19BE93616DE7}"/>
            </c:ext>
          </c:extLst>
        </c:ser>
        <c:dLbls>
          <c:showLegendKey val="0"/>
          <c:showVal val="0"/>
          <c:showCatName val="0"/>
          <c:showSerName val="0"/>
          <c:showPercent val="0"/>
          <c:showBubbleSize val="0"/>
        </c:dLbls>
        <c:axId val="1838609872"/>
        <c:axId val="1"/>
      </c:scatterChart>
      <c:valAx>
        <c:axId val="1838609872"/>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4553216938709769"/>
              <c:y val="0.82859923071808073"/>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3018163556750444E-2"/>
              <c:y val="0.3682663247635915"/>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838609872"/>
        <c:crosses val="autoZero"/>
        <c:crossBetween val="midCat"/>
      </c:valAx>
      <c:spPr>
        <a:noFill/>
        <a:ln w="12700">
          <a:solidFill>
            <a:srgbClr val="99CC00"/>
          </a:solidFill>
          <a:prstDash val="solid"/>
        </a:ln>
      </c:spPr>
    </c:plotArea>
    <c:legend>
      <c:legendPos val="r"/>
      <c:layout>
        <c:manualLayout>
          <c:xMode val="edge"/>
          <c:yMode val="edge"/>
          <c:x val="0.67278221340979871"/>
          <c:y val="0.26667561448398003"/>
          <c:w val="0.30713970612186464"/>
          <c:h val="0.14921135572317928"/>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MathSoftText"/>
                <a:ea typeface="MathSoftText"/>
                <a:cs typeface="MathSoftText"/>
              </a:defRPr>
            </a:pPr>
            <a:r>
              <a:rPr lang="en-US"/>
              <a:t>lens 24 pulse count vs peak current</a:t>
            </a:r>
          </a:p>
        </c:rich>
      </c:tx>
      <c:layout>
        <c:manualLayout>
          <c:xMode val="edge"/>
          <c:yMode val="edge"/>
          <c:x val="0.33172572696607833"/>
          <c:y val="5.4055849352752906E-2"/>
        </c:manualLayout>
      </c:layout>
      <c:overlay val="0"/>
      <c:spPr>
        <a:noFill/>
        <a:ln w="25400">
          <a:noFill/>
        </a:ln>
      </c:spPr>
    </c:title>
    <c:autoTitleDeleted val="0"/>
    <c:plotArea>
      <c:layout>
        <c:manualLayout>
          <c:layoutTarget val="inner"/>
          <c:xMode val="edge"/>
          <c:yMode val="edge"/>
          <c:x val="0.1262175936748981"/>
          <c:y val="0.30271275637541628"/>
          <c:w val="0.84630514733297058"/>
          <c:h val="0.39460770027509617"/>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24'!$D$31:$D$33</c:f>
              <c:numCache>
                <c:formatCode>General</c:formatCode>
                <c:ptCount val="3"/>
                <c:pt idx="0">
                  <c:v>295856.77884028893</c:v>
                </c:pt>
                <c:pt idx="1">
                  <c:v>435148.7517964021</c:v>
                </c:pt>
                <c:pt idx="2">
                  <c:v>552054.51481313992</c:v>
                </c:pt>
              </c:numCache>
            </c:numRef>
          </c:cat>
          <c:val>
            <c:numRef>
              <c:f>'Lens 24'!$A$31:$A$33</c:f>
              <c:numCache>
                <c:formatCode>General</c:formatCode>
                <c:ptCount val="3"/>
                <c:pt idx="0">
                  <c:v>1923</c:v>
                </c:pt>
                <c:pt idx="1">
                  <c:v>86877</c:v>
                </c:pt>
                <c:pt idx="2">
                  <c:v>110150</c:v>
                </c:pt>
              </c:numCache>
            </c:numRef>
          </c:val>
          <c:extLst>
            <c:ext xmlns:c16="http://schemas.microsoft.com/office/drawing/2014/chart" uri="{C3380CC4-5D6E-409C-BE32-E72D297353CC}">
              <c16:uniqueId val="{00000000-A290-4DA5-B6BC-51FA66E643C8}"/>
            </c:ext>
          </c:extLst>
        </c:ser>
        <c:dLbls>
          <c:showLegendKey val="0"/>
          <c:showVal val="0"/>
          <c:showCatName val="0"/>
          <c:showSerName val="0"/>
          <c:showPercent val="0"/>
          <c:showBubbleSize val="0"/>
        </c:dLbls>
        <c:gapWidth val="150"/>
        <c:axId val="1192816080"/>
        <c:axId val="1"/>
      </c:barChart>
      <c:catAx>
        <c:axId val="1192816080"/>
        <c:scaling>
          <c:orientation val="minMax"/>
        </c:scaling>
        <c:delete val="0"/>
        <c:axPos val="b"/>
        <c:title>
          <c:tx>
            <c:rich>
              <a:bodyPr/>
              <a:lstStyle/>
              <a:p>
                <a:pPr>
                  <a:defRPr sz="525" b="0" i="0" u="none" strike="noStrike" baseline="0">
                    <a:solidFill>
                      <a:srgbClr val="000000"/>
                    </a:solidFill>
                    <a:latin typeface="MathSoftText"/>
                    <a:ea typeface="MathSoftText"/>
                    <a:cs typeface="MathSoftText"/>
                  </a:defRPr>
                </a:pPr>
                <a:r>
                  <a:rPr lang="en-US"/>
                  <a:t>amps</a:t>
                </a:r>
              </a:p>
            </c:rich>
          </c:tx>
          <c:layout>
            <c:manualLayout>
              <c:xMode val="edge"/>
              <c:yMode val="edge"/>
              <c:x val="0.52752481458995859"/>
              <c:y val="0.81624332522656884"/>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52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525"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0745311279782868E-2"/>
              <c:y val="0.29730717144014096"/>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525" b="0" i="0" u="none" strike="noStrike" baseline="0">
                <a:solidFill>
                  <a:srgbClr val="000000"/>
                </a:solidFill>
                <a:latin typeface="MathSoftText"/>
                <a:ea typeface="MathSoftText"/>
                <a:cs typeface="MathSoftText"/>
              </a:defRPr>
            </a:pPr>
            <a:endParaRPr lang="en-US"/>
          </a:p>
        </c:txPr>
        <c:crossAx val="1192816080"/>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2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0" i="0" u="none" strike="noStrike" baseline="0">
                <a:solidFill>
                  <a:srgbClr val="000000"/>
                </a:solidFill>
                <a:latin typeface="MathSoftText"/>
                <a:ea typeface="MathSoftText"/>
                <a:cs typeface="MathSoftText"/>
              </a:defRPr>
            </a:pPr>
            <a:r>
              <a:rPr lang="en-US"/>
              <a:t>lens 24 pulse count vs peak current</a:t>
            </a:r>
          </a:p>
        </c:rich>
      </c:tx>
      <c:layout>
        <c:manualLayout>
          <c:xMode val="edge"/>
          <c:yMode val="edge"/>
          <c:x val="0.36877216415929154"/>
          <c:y val="5.8141708111402311E-2"/>
        </c:manualLayout>
      </c:layout>
      <c:overlay val="0"/>
      <c:spPr>
        <a:noFill/>
        <a:ln w="25400">
          <a:noFill/>
        </a:ln>
      </c:spPr>
    </c:title>
    <c:autoTitleDeleted val="0"/>
    <c:plotArea>
      <c:layout>
        <c:manualLayout>
          <c:layoutTarget val="inner"/>
          <c:xMode val="edge"/>
          <c:yMode val="edge"/>
          <c:x val="8.5349016159137342E-2"/>
          <c:y val="0.27908019893473107"/>
          <c:w val="0.85993159677319519"/>
          <c:h val="0.51164703138034029"/>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24'!$D$31:$D$33</c:f>
              <c:numCache>
                <c:formatCode>General</c:formatCode>
                <c:ptCount val="3"/>
                <c:pt idx="0">
                  <c:v>295856.77884028893</c:v>
                </c:pt>
                <c:pt idx="1">
                  <c:v>435148.7517964021</c:v>
                </c:pt>
                <c:pt idx="2">
                  <c:v>552054.51481313992</c:v>
                </c:pt>
              </c:numCache>
            </c:numRef>
          </c:xVal>
          <c:yVal>
            <c:numRef>
              <c:f>'Lens 24'!$A$31:$A$33</c:f>
              <c:numCache>
                <c:formatCode>General</c:formatCode>
                <c:ptCount val="3"/>
                <c:pt idx="0">
                  <c:v>1923</c:v>
                </c:pt>
                <c:pt idx="1">
                  <c:v>86877</c:v>
                </c:pt>
                <c:pt idx="2">
                  <c:v>110150</c:v>
                </c:pt>
              </c:numCache>
            </c:numRef>
          </c:yVal>
          <c:smooth val="0"/>
          <c:extLst>
            <c:ext xmlns:c16="http://schemas.microsoft.com/office/drawing/2014/chart" uri="{C3380CC4-5D6E-409C-BE32-E72D297353CC}">
              <c16:uniqueId val="{00000000-3CB7-48D9-893E-B46DDF19FB09}"/>
            </c:ext>
          </c:extLst>
        </c:ser>
        <c:dLbls>
          <c:showLegendKey val="0"/>
          <c:showVal val="0"/>
          <c:showCatName val="0"/>
          <c:showSerName val="0"/>
          <c:showPercent val="0"/>
          <c:showBubbleSize val="0"/>
        </c:dLbls>
        <c:axId val="1838619792"/>
        <c:axId val="1"/>
      </c:scatterChart>
      <c:valAx>
        <c:axId val="1838619792"/>
        <c:scaling>
          <c:orientation val="minMax"/>
          <c:max val="700000"/>
          <c:min val="200000"/>
        </c:scaling>
        <c:delete val="0"/>
        <c:axPos val="b"/>
        <c:numFmt formatCode="0" sourceLinked="0"/>
        <c:majorTickMark val="out"/>
        <c:minorTickMark val="none"/>
        <c:tickLblPos val="nextTo"/>
        <c:spPr>
          <a:ln w="3175">
            <a:solidFill>
              <a:srgbClr val="99CC00"/>
            </a:solidFill>
            <a:prstDash val="solid"/>
          </a:ln>
        </c:spPr>
        <c:txPr>
          <a:bodyPr rot="0" vert="horz"/>
          <a:lstStyle/>
          <a:p>
            <a:pPr>
              <a:defRPr sz="475" b="0" i="0" u="none" strike="noStrike" baseline="0">
                <a:solidFill>
                  <a:srgbClr val="000000"/>
                </a:solidFill>
                <a:latin typeface="MathSoftText"/>
                <a:ea typeface="MathSoftText"/>
                <a:cs typeface="MathSoftText"/>
              </a:defRPr>
            </a:pPr>
            <a:endParaRPr lang="en-US"/>
          </a:p>
        </c:txPr>
        <c:crossAx val="1"/>
        <c:crosses val="autoZero"/>
        <c:crossBetween val="midCat"/>
        <c:majorUnit val="100000"/>
        <c:minorUnit val="20000"/>
      </c:valAx>
      <c:valAx>
        <c:axId val="1"/>
        <c:scaling>
          <c:orientation val="minMax"/>
          <c:max val="125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475" b="0" i="0" u="none" strike="noStrike" baseline="0">
                <a:solidFill>
                  <a:srgbClr val="000000"/>
                </a:solidFill>
                <a:latin typeface="MathSoftText"/>
                <a:ea typeface="MathSoftText"/>
                <a:cs typeface="MathSoftText"/>
              </a:defRPr>
            </a:pPr>
            <a:endParaRPr lang="en-US"/>
          </a:p>
        </c:txPr>
        <c:crossAx val="1838619792"/>
        <c:crosses val="autoZero"/>
        <c:crossBetween val="midCat"/>
        <c:majorUnit val="25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50" b="0" i="0" u="none" strike="noStrike" baseline="0">
                <a:solidFill>
                  <a:srgbClr val="000000"/>
                </a:solidFill>
                <a:latin typeface="MathSoftText"/>
                <a:ea typeface="MathSoftText"/>
                <a:cs typeface="MathSoftText"/>
              </a:defRPr>
            </a:pPr>
            <a:r>
              <a:rPr lang="en-US"/>
              <a:t>lens 24 pulse count vs peak current</a:t>
            </a:r>
          </a:p>
        </c:rich>
      </c:tx>
      <c:layout>
        <c:manualLayout>
          <c:xMode val="edge"/>
          <c:yMode val="edge"/>
          <c:x val="0.39328994523260874"/>
          <c:y val="6.6178626325402709E-2"/>
        </c:manualLayout>
      </c:layout>
      <c:overlay val="0"/>
      <c:spPr>
        <a:noFill/>
        <a:ln w="25400">
          <a:noFill/>
        </a:ln>
      </c:spPr>
    </c:title>
    <c:autoTitleDeleted val="0"/>
    <c:plotArea>
      <c:layout>
        <c:manualLayout>
          <c:layoutTarget val="inner"/>
          <c:xMode val="edge"/>
          <c:yMode val="edge"/>
          <c:x val="7.0590502990468249E-2"/>
          <c:y val="0.32353995092419102"/>
          <c:w val="0.90086927625930913"/>
          <c:h val="0.42648448076370626"/>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24'!$D$31:$D$33</c:f>
              <c:numCache>
                <c:formatCode>General</c:formatCode>
                <c:ptCount val="3"/>
                <c:pt idx="0">
                  <c:v>295856.77884028893</c:v>
                </c:pt>
                <c:pt idx="1">
                  <c:v>435148.7517964021</c:v>
                </c:pt>
                <c:pt idx="2">
                  <c:v>552054.51481313992</c:v>
                </c:pt>
              </c:numCache>
            </c:numRef>
          </c:cat>
          <c:val>
            <c:numRef>
              <c:f>'Lens 24'!$A$31:$A$33</c:f>
              <c:numCache>
                <c:formatCode>General</c:formatCode>
                <c:ptCount val="3"/>
                <c:pt idx="0">
                  <c:v>1923</c:v>
                </c:pt>
                <c:pt idx="1">
                  <c:v>86877</c:v>
                </c:pt>
                <c:pt idx="2">
                  <c:v>110150</c:v>
                </c:pt>
              </c:numCache>
            </c:numRef>
          </c:val>
          <c:extLst>
            <c:ext xmlns:c16="http://schemas.microsoft.com/office/drawing/2014/chart" uri="{C3380CC4-5D6E-409C-BE32-E72D297353CC}">
              <c16:uniqueId val="{00000000-A7B3-47F8-8553-B8F378F6A75B}"/>
            </c:ext>
          </c:extLst>
        </c:ser>
        <c:dLbls>
          <c:showLegendKey val="0"/>
          <c:showVal val="0"/>
          <c:showCatName val="0"/>
          <c:showSerName val="0"/>
          <c:showPercent val="0"/>
          <c:showBubbleSize val="0"/>
        </c:dLbls>
        <c:gapWidth val="150"/>
        <c:axId val="1192812240"/>
        <c:axId val="1"/>
      </c:barChart>
      <c:catAx>
        <c:axId val="1192812240"/>
        <c:scaling>
          <c:orientation val="minMax"/>
        </c:scaling>
        <c:delete val="0"/>
        <c:axPos val="b"/>
        <c:numFmt formatCode="0" sourceLinked="0"/>
        <c:majorTickMark val="out"/>
        <c:minorTickMark val="none"/>
        <c:tickLblPos val="nextTo"/>
        <c:spPr>
          <a:ln w="3175">
            <a:solidFill>
              <a:srgbClr val="99CC00"/>
            </a:solidFill>
            <a:prstDash val="solid"/>
          </a:ln>
        </c:spPr>
        <c:txPr>
          <a:bodyPr rot="0" vert="horz"/>
          <a:lstStyle/>
          <a:p>
            <a:pPr>
              <a:defRPr sz="37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125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375" b="0" i="0" u="none" strike="noStrike" baseline="0">
                <a:solidFill>
                  <a:srgbClr val="000000"/>
                </a:solidFill>
                <a:latin typeface="MathSoftText"/>
                <a:ea typeface="MathSoftText"/>
                <a:cs typeface="MathSoftText"/>
              </a:defRPr>
            </a:pPr>
            <a:endParaRPr lang="en-US"/>
          </a:p>
        </c:txPr>
        <c:crossAx val="1192812240"/>
        <c:crosses val="autoZero"/>
        <c:crossBetween val="between"/>
        <c:majorUnit val="25000"/>
        <c:minorUnit val="5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7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24 Rogowski and Bdot vs Pot</a:t>
            </a:r>
          </a:p>
        </c:rich>
      </c:tx>
      <c:layout>
        <c:manualLayout>
          <c:xMode val="edge"/>
          <c:yMode val="edge"/>
          <c:x val="0.24132405481003652"/>
          <c:y val="3.8576901405916741E-2"/>
        </c:manualLayout>
      </c:layout>
      <c:overlay val="0"/>
      <c:spPr>
        <a:noFill/>
        <a:ln w="25400">
          <a:noFill/>
        </a:ln>
      </c:spPr>
    </c:title>
    <c:autoTitleDeleted val="0"/>
    <c:plotArea>
      <c:layout>
        <c:manualLayout>
          <c:layoutTarget val="inner"/>
          <c:xMode val="edge"/>
          <c:yMode val="edge"/>
          <c:x val="0.1755084034982084"/>
          <c:y val="0.25223358611560948"/>
          <c:w val="0.41866067084468456"/>
          <c:h val="0.48072754059680861"/>
        </c:manualLayout>
      </c:layout>
      <c:scatterChart>
        <c:scatterStyle val="lineMarker"/>
        <c:varyColors val="0"/>
        <c:ser>
          <c:idx val="1"/>
          <c:order val="1"/>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73311322711230775"/>
                  <c:y val="0.64987241599198187"/>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24'!$A$7:$A$25</c:f>
              <c:numCache>
                <c:formatCode>General</c:formatCode>
                <c:ptCount val="19"/>
                <c:pt idx="0">
                  <c:v>0</c:v>
                </c:pt>
                <c:pt idx="1">
                  <c:v>0</c:v>
                </c:pt>
                <c:pt idx="2">
                  <c:v>0</c:v>
                </c:pt>
                <c:pt idx="3">
                  <c:v>2.8</c:v>
                </c:pt>
                <c:pt idx="4">
                  <c:v>2.8</c:v>
                </c:pt>
                <c:pt idx="5">
                  <c:v>2.8</c:v>
                </c:pt>
                <c:pt idx="6">
                  <c:v>5.15</c:v>
                </c:pt>
                <c:pt idx="7">
                  <c:v>5.15</c:v>
                </c:pt>
                <c:pt idx="8">
                  <c:v>0</c:v>
                </c:pt>
                <c:pt idx="9">
                  <c:v>0</c:v>
                </c:pt>
                <c:pt idx="10">
                  <c:v>2.8</c:v>
                </c:pt>
                <c:pt idx="11">
                  <c:v>2.8</c:v>
                </c:pt>
                <c:pt idx="12">
                  <c:v>5.15</c:v>
                </c:pt>
                <c:pt idx="13">
                  <c:v>5.15</c:v>
                </c:pt>
                <c:pt idx="14">
                  <c:v>2.8</c:v>
                </c:pt>
                <c:pt idx="15">
                  <c:v>2.8</c:v>
                </c:pt>
                <c:pt idx="16">
                  <c:v>5.15</c:v>
                </c:pt>
                <c:pt idx="17">
                  <c:v>5.15</c:v>
                </c:pt>
                <c:pt idx="18">
                  <c:v>5.15</c:v>
                </c:pt>
              </c:numCache>
            </c:numRef>
          </c:xVal>
          <c:yVal>
            <c:numRef>
              <c:f>'Lens 24'!$D$7:$D$25</c:f>
              <c:numCache>
                <c:formatCode>0.00</c:formatCode>
                <c:ptCount val="19"/>
                <c:pt idx="0">
                  <c:v>2.6</c:v>
                </c:pt>
                <c:pt idx="1">
                  <c:v>2.6</c:v>
                </c:pt>
                <c:pt idx="2">
                  <c:v>2.6</c:v>
                </c:pt>
                <c:pt idx="3">
                  <c:v>3.92</c:v>
                </c:pt>
                <c:pt idx="4">
                  <c:v>3.92</c:v>
                </c:pt>
                <c:pt idx="5">
                  <c:v>3.92</c:v>
                </c:pt>
                <c:pt idx="6">
                  <c:v>4.96</c:v>
                </c:pt>
                <c:pt idx="7">
                  <c:v>4.96</c:v>
                </c:pt>
                <c:pt idx="8">
                  <c:v>2.64</c:v>
                </c:pt>
                <c:pt idx="9">
                  <c:v>2.64</c:v>
                </c:pt>
                <c:pt idx="10">
                  <c:v>3.92</c:v>
                </c:pt>
                <c:pt idx="11">
                  <c:v>3.92</c:v>
                </c:pt>
                <c:pt idx="12">
                  <c:v>4.96</c:v>
                </c:pt>
                <c:pt idx="13">
                  <c:v>4.96</c:v>
                </c:pt>
                <c:pt idx="14">
                  <c:v>3.92</c:v>
                </c:pt>
                <c:pt idx="15">
                  <c:v>3.92</c:v>
                </c:pt>
                <c:pt idx="16" formatCode="General">
                  <c:v>4.88</c:v>
                </c:pt>
                <c:pt idx="17" formatCode="General">
                  <c:v>4.88</c:v>
                </c:pt>
                <c:pt idx="18" formatCode="General">
                  <c:v>4.88</c:v>
                </c:pt>
              </c:numCache>
            </c:numRef>
          </c:yVal>
          <c:smooth val="0"/>
          <c:extLst>
            <c:ext xmlns:c16="http://schemas.microsoft.com/office/drawing/2014/chart" uri="{C3380CC4-5D6E-409C-BE32-E72D297353CC}">
              <c16:uniqueId val="{00000001-758B-4EF8-9A5A-953EAD148E36}"/>
            </c:ext>
          </c:extLst>
        </c:ser>
        <c:dLbls>
          <c:showLegendKey val="0"/>
          <c:showVal val="0"/>
          <c:showCatName val="0"/>
          <c:showSerName val="0"/>
          <c:showPercent val="0"/>
          <c:showBubbleSize val="0"/>
        </c:dLbls>
        <c:axId val="1838613840"/>
        <c:axId val="1"/>
      </c:scatterChart>
      <c:scatterChart>
        <c:scatterStyle val="lineMarker"/>
        <c:varyColors val="0"/>
        <c:ser>
          <c:idx val="0"/>
          <c:order val="0"/>
          <c:tx>
            <c:v>rog vs pot</c:v>
          </c:tx>
          <c:spPr>
            <a:ln w="19050">
              <a:noFill/>
            </a:ln>
          </c:spPr>
          <c:marker>
            <c:symbol val="diamond"/>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Mode val="edge"/>
                  <c:yMode val="edge"/>
                  <c:x val="0.73311322711230775"/>
                  <c:y val="0.80714747556995015"/>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24'!$A$7:$A$25</c:f>
              <c:numCache>
                <c:formatCode>General</c:formatCode>
                <c:ptCount val="19"/>
                <c:pt idx="0">
                  <c:v>0</c:v>
                </c:pt>
                <c:pt idx="1">
                  <c:v>0</c:v>
                </c:pt>
                <c:pt idx="2">
                  <c:v>0</c:v>
                </c:pt>
                <c:pt idx="3">
                  <c:v>2.8</c:v>
                </c:pt>
                <c:pt idx="4">
                  <c:v>2.8</c:v>
                </c:pt>
                <c:pt idx="5">
                  <c:v>2.8</c:v>
                </c:pt>
                <c:pt idx="6">
                  <c:v>5.15</c:v>
                </c:pt>
                <c:pt idx="7">
                  <c:v>5.15</c:v>
                </c:pt>
                <c:pt idx="8">
                  <c:v>0</c:v>
                </c:pt>
                <c:pt idx="9">
                  <c:v>0</c:v>
                </c:pt>
                <c:pt idx="10">
                  <c:v>2.8</c:v>
                </c:pt>
                <c:pt idx="11">
                  <c:v>2.8</c:v>
                </c:pt>
                <c:pt idx="12">
                  <c:v>5.15</c:v>
                </c:pt>
                <c:pt idx="13">
                  <c:v>5.15</c:v>
                </c:pt>
                <c:pt idx="14">
                  <c:v>2.8</c:v>
                </c:pt>
                <c:pt idx="15">
                  <c:v>2.8</c:v>
                </c:pt>
                <c:pt idx="16">
                  <c:v>5.15</c:v>
                </c:pt>
                <c:pt idx="17">
                  <c:v>5.15</c:v>
                </c:pt>
                <c:pt idx="18">
                  <c:v>5.15</c:v>
                </c:pt>
              </c:numCache>
            </c:numRef>
          </c:xVal>
          <c:yVal>
            <c:numRef>
              <c:f>'Lens 24'!$C$7:$C$25</c:f>
              <c:numCache>
                <c:formatCode>0.000</c:formatCode>
                <c:ptCount val="19"/>
                <c:pt idx="0" formatCode="General">
                  <c:v>0.34</c:v>
                </c:pt>
                <c:pt idx="1">
                  <c:v>0.34</c:v>
                </c:pt>
                <c:pt idx="2">
                  <c:v>0.34</c:v>
                </c:pt>
                <c:pt idx="3">
                  <c:v>0.52</c:v>
                </c:pt>
                <c:pt idx="4">
                  <c:v>0.52</c:v>
                </c:pt>
                <c:pt idx="5">
                  <c:v>0.52</c:v>
                </c:pt>
                <c:pt idx="6">
                  <c:v>0.66</c:v>
                </c:pt>
                <c:pt idx="7">
                  <c:v>0.66</c:v>
                </c:pt>
                <c:pt idx="8">
                  <c:v>0.33600000000000002</c:v>
                </c:pt>
                <c:pt idx="9">
                  <c:v>0.33600000000000002</c:v>
                </c:pt>
                <c:pt idx="10">
                  <c:v>0.52</c:v>
                </c:pt>
                <c:pt idx="11">
                  <c:v>0.52</c:v>
                </c:pt>
                <c:pt idx="12">
                  <c:v>0.65600000000000003</c:v>
                </c:pt>
                <c:pt idx="13">
                  <c:v>0.65600000000000003</c:v>
                </c:pt>
                <c:pt idx="14">
                  <c:v>0.52</c:v>
                </c:pt>
                <c:pt idx="15">
                  <c:v>0.52</c:v>
                </c:pt>
                <c:pt idx="16" formatCode="General">
                  <c:v>0.64800000000000002</c:v>
                </c:pt>
                <c:pt idx="17" formatCode="General">
                  <c:v>0.64800000000000002</c:v>
                </c:pt>
                <c:pt idx="18" formatCode="General">
                  <c:v>0.64800000000000002</c:v>
                </c:pt>
              </c:numCache>
            </c:numRef>
          </c:yVal>
          <c:smooth val="0"/>
          <c:extLst>
            <c:ext xmlns:c16="http://schemas.microsoft.com/office/drawing/2014/chart" uri="{C3380CC4-5D6E-409C-BE32-E72D297353CC}">
              <c16:uniqueId val="{00000003-758B-4EF8-9A5A-953EAD148E36}"/>
            </c:ext>
          </c:extLst>
        </c:ser>
        <c:dLbls>
          <c:showLegendKey val="0"/>
          <c:showVal val="0"/>
          <c:showCatName val="0"/>
          <c:showSerName val="0"/>
          <c:showPercent val="0"/>
          <c:showBubbleSize val="0"/>
        </c:dLbls>
        <c:axId val="3"/>
        <c:axId val="4"/>
      </c:scatterChart>
      <c:valAx>
        <c:axId val="1838613840"/>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1993719387694236"/>
              <c:y val="0.83682201511296306"/>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3018163556750444E-2"/>
              <c:y val="0.37983410615056479"/>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838613840"/>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3"/>
        <c:crosses val="max"/>
        <c:crossBetween val="midCat"/>
      </c:valAx>
      <c:spPr>
        <a:noFill/>
        <a:ln w="12700">
          <a:solidFill>
            <a:srgbClr val="99CC00"/>
          </a:solidFill>
          <a:prstDash val="solid"/>
        </a:ln>
      </c:spPr>
    </c:plotArea>
    <c:legend>
      <c:legendPos val="r"/>
      <c:layout>
        <c:manualLayout>
          <c:xMode val="edge"/>
          <c:yMode val="edge"/>
          <c:x val="0.67278221340979871"/>
          <c:y val="0.19585196098388499"/>
          <c:w val="0.30713970612186464"/>
          <c:h val="0.27597321775001976"/>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24 Bdot vs Rogowski</a:t>
            </a:r>
          </a:p>
        </c:rich>
      </c:tx>
      <c:layout>
        <c:manualLayout>
          <c:xMode val="edge"/>
          <c:yMode val="edge"/>
          <c:x val="0.30110473345894589"/>
          <c:y val="4.1271226051092146E-2"/>
        </c:manualLayout>
      </c:layout>
      <c:overlay val="0"/>
      <c:spPr>
        <a:noFill/>
        <a:ln w="25400">
          <a:noFill/>
        </a:ln>
      </c:spPr>
    </c:title>
    <c:autoTitleDeleted val="0"/>
    <c:plotArea>
      <c:layout>
        <c:manualLayout>
          <c:layoutTarget val="inner"/>
          <c:xMode val="edge"/>
          <c:yMode val="edge"/>
          <c:x val="0.14234041945331988"/>
          <c:y val="0.23175380782536359"/>
          <c:w val="0.79747132437308699"/>
          <c:h val="0.52065239018300857"/>
        </c:manualLayout>
      </c:layout>
      <c:scatterChart>
        <c:scatterStyle val="lineMarker"/>
        <c:varyColors val="0"/>
        <c:ser>
          <c:idx val="0"/>
          <c:order val="0"/>
          <c:spPr>
            <a:ln w="19050">
              <a:noFill/>
            </a:ln>
          </c:spPr>
          <c:marker>
            <c:symbol val="diamond"/>
            <c:size val="5"/>
            <c:spPr>
              <a:solidFill>
                <a:srgbClr val="FF0000"/>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Mode val="edge"/>
                  <c:yMode val="edge"/>
                  <c:x val="0.74090013202625471"/>
                  <c:y val="2.2222967873665001E-2"/>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24'!$D$7:$D$25</c:f>
              <c:numCache>
                <c:formatCode>0.00</c:formatCode>
                <c:ptCount val="19"/>
                <c:pt idx="0">
                  <c:v>2.6</c:v>
                </c:pt>
                <c:pt idx="1">
                  <c:v>2.6</c:v>
                </c:pt>
                <c:pt idx="2">
                  <c:v>2.6</c:v>
                </c:pt>
                <c:pt idx="3">
                  <c:v>3.92</c:v>
                </c:pt>
                <c:pt idx="4">
                  <c:v>3.92</c:v>
                </c:pt>
                <c:pt idx="5">
                  <c:v>3.92</c:v>
                </c:pt>
                <c:pt idx="6">
                  <c:v>4.96</c:v>
                </c:pt>
                <c:pt idx="7">
                  <c:v>4.96</c:v>
                </c:pt>
                <c:pt idx="8">
                  <c:v>2.64</c:v>
                </c:pt>
                <c:pt idx="9">
                  <c:v>2.64</c:v>
                </c:pt>
                <c:pt idx="10">
                  <c:v>3.92</c:v>
                </c:pt>
                <c:pt idx="11">
                  <c:v>3.92</c:v>
                </c:pt>
                <c:pt idx="12">
                  <c:v>4.96</c:v>
                </c:pt>
                <c:pt idx="13">
                  <c:v>4.96</c:v>
                </c:pt>
                <c:pt idx="14">
                  <c:v>3.92</c:v>
                </c:pt>
                <c:pt idx="15">
                  <c:v>3.92</c:v>
                </c:pt>
                <c:pt idx="16" formatCode="General">
                  <c:v>4.88</c:v>
                </c:pt>
                <c:pt idx="17" formatCode="General">
                  <c:v>4.88</c:v>
                </c:pt>
                <c:pt idx="18" formatCode="General">
                  <c:v>4.88</c:v>
                </c:pt>
              </c:numCache>
            </c:numRef>
          </c:xVal>
          <c:yVal>
            <c:numRef>
              <c:f>'Lens 24'!$C$7:$C$25</c:f>
              <c:numCache>
                <c:formatCode>0.000</c:formatCode>
                <c:ptCount val="19"/>
                <c:pt idx="0" formatCode="General">
                  <c:v>0.34</c:v>
                </c:pt>
                <c:pt idx="1">
                  <c:v>0.34</c:v>
                </c:pt>
                <c:pt idx="2">
                  <c:v>0.34</c:v>
                </c:pt>
                <c:pt idx="3">
                  <c:v>0.52</c:v>
                </c:pt>
                <c:pt idx="4">
                  <c:v>0.52</c:v>
                </c:pt>
                <c:pt idx="5">
                  <c:v>0.52</c:v>
                </c:pt>
                <c:pt idx="6">
                  <c:v>0.66</c:v>
                </c:pt>
                <c:pt idx="7">
                  <c:v>0.66</c:v>
                </c:pt>
                <c:pt idx="8">
                  <c:v>0.33600000000000002</c:v>
                </c:pt>
                <c:pt idx="9">
                  <c:v>0.33600000000000002</c:v>
                </c:pt>
                <c:pt idx="10">
                  <c:v>0.52</c:v>
                </c:pt>
                <c:pt idx="11">
                  <c:v>0.52</c:v>
                </c:pt>
                <c:pt idx="12">
                  <c:v>0.65600000000000003</c:v>
                </c:pt>
                <c:pt idx="13">
                  <c:v>0.65600000000000003</c:v>
                </c:pt>
                <c:pt idx="14">
                  <c:v>0.52</c:v>
                </c:pt>
                <c:pt idx="15">
                  <c:v>0.52</c:v>
                </c:pt>
                <c:pt idx="16" formatCode="General">
                  <c:v>0.64800000000000002</c:v>
                </c:pt>
                <c:pt idx="17" formatCode="General">
                  <c:v>0.64800000000000002</c:v>
                </c:pt>
                <c:pt idx="18" formatCode="General">
                  <c:v>0.64800000000000002</c:v>
                </c:pt>
              </c:numCache>
            </c:numRef>
          </c:yVal>
          <c:smooth val="0"/>
          <c:extLst>
            <c:ext xmlns:c16="http://schemas.microsoft.com/office/drawing/2014/chart" uri="{C3380CC4-5D6E-409C-BE32-E72D297353CC}">
              <c16:uniqueId val="{00000001-7320-4B8B-9838-2129F91021D3}"/>
            </c:ext>
          </c:extLst>
        </c:ser>
        <c:dLbls>
          <c:showLegendKey val="0"/>
          <c:showVal val="0"/>
          <c:showCatName val="0"/>
          <c:showSerName val="0"/>
          <c:showPercent val="0"/>
          <c:showBubbleSize val="0"/>
        </c:dLbls>
        <c:axId val="1838619296"/>
        <c:axId val="1"/>
      </c:scatterChart>
      <c:valAx>
        <c:axId val="1838619296"/>
        <c:scaling>
          <c:orientation val="minMax"/>
          <c:max val="5"/>
          <c:min val="2.5"/>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0.46899343332696414"/>
              <c:y val="0.86352103737669705"/>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minorUnit val="0.1"/>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Rogowski (volts)</a:t>
                </a:r>
              </a:p>
            </c:rich>
          </c:tx>
          <c:layout>
            <c:manualLayout>
              <c:xMode val="edge"/>
              <c:yMode val="edge"/>
              <c:x val="3.4672666277090737E-2"/>
              <c:y val="0.31429625992754789"/>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838619296"/>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MathSoftText"/>
                <a:ea typeface="MathSoftText"/>
                <a:cs typeface="MathSoftText"/>
              </a:defRPr>
            </a:pPr>
            <a:r>
              <a:rPr lang="en-US"/>
              <a:t>lens 25 pulse count vs peak current</a:t>
            </a:r>
          </a:p>
        </c:rich>
      </c:tx>
      <c:layout>
        <c:manualLayout>
          <c:xMode val="edge"/>
          <c:yMode val="edge"/>
          <c:x val="0.3278252116676228"/>
          <c:y val="4.8036694934442771E-2"/>
        </c:manualLayout>
      </c:layout>
      <c:overlay val="0"/>
      <c:spPr>
        <a:noFill/>
        <a:ln w="25400">
          <a:noFill/>
        </a:ln>
      </c:spPr>
    </c:title>
    <c:autoTitleDeleted val="0"/>
    <c:plotArea>
      <c:layout>
        <c:manualLayout>
          <c:layoutTarget val="inner"/>
          <c:xMode val="edge"/>
          <c:yMode val="edge"/>
          <c:x val="0.15894555717218078"/>
          <c:y val="0.26638530827281903"/>
          <c:w val="0.81294029762021613"/>
          <c:h val="0.4192293376096824"/>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25'!$D$26:$D$32</c:f>
              <c:numCache>
                <c:formatCode>0</c:formatCode>
                <c:ptCount val="7"/>
                <c:pt idx="0">
                  <c:v>295863.45722298301</c:v>
                </c:pt>
                <c:pt idx="1">
                  <c:v>370485.84143588052</c:v>
                </c:pt>
                <c:pt idx="2">
                  <c:v>395359.96950684639</c:v>
                </c:pt>
                <c:pt idx="3">
                  <c:v>420234.09757781215</c:v>
                </c:pt>
                <c:pt idx="4">
                  <c:v>445108.22564877814</c:v>
                </c:pt>
                <c:pt idx="5">
                  <c:v>469982.35371974384</c:v>
                </c:pt>
                <c:pt idx="6">
                  <c:v>527192.84828296548</c:v>
                </c:pt>
              </c:numCache>
            </c:numRef>
          </c:cat>
          <c:val>
            <c:numRef>
              <c:f>'Lens 25'!$A$26:$A$32</c:f>
              <c:numCache>
                <c:formatCode>0</c:formatCode>
                <c:ptCount val="7"/>
                <c:pt idx="0">
                  <c:v>15200</c:v>
                </c:pt>
                <c:pt idx="1">
                  <c:v>8800</c:v>
                </c:pt>
                <c:pt idx="2">
                  <c:v>30800</c:v>
                </c:pt>
                <c:pt idx="3">
                  <c:v>3700</c:v>
                </c:pt>
                <c:pt idx="4">
                  <c:v>5300</c:v>
                </c:pt>
                <c:pt idx="5">
                  <c:v>4600</c:v>
                </c:pt>
                <c:pt idx="6">
                  <c:v>85950</c:v>
                </c:pt>
              </c:numCache>
            </c:numRef>
          </c:val>
          <c:extLst>
            <c:ext xmlns:c16="http://schemas.microsoft.com/office/drawing/2014/chart" uri="{C3380CC4-5D6E-409C-BE32-E72D297353CC}">
              <c16:uniqueId val="{00000000-F81C-4F38-95E9-9AADAF62A108}"/>
            </c:ext>
          </c:extLst>
        </c:ser>
        <c:dLbls>
          <c:showLegendKey val="0"/>
          <c:showVal val="0"/>
          <c:showCatName val="0"/>
          <c:showSerName val="0"/>
          <c:showPercent val="0"/>
          <c:showBubbleSize val="0"/>
        </c:dLbls>
        <c:gapWidth val="150"/>
        <c:axId val="1192805040"/>
        <c:axId val="1"/>
      </c:barChart>
      <c:catAx>
        <c:axId val="1192805040"/>
        <c:scaling>
          <c:orientation val="minMax"/>
        </c:scaling>
        <c:delete val="0"/>
        <c:axPos val="b"/>
        <c:title>
          <c:tx>
            <c:rich>
              <a:bodyPr/>
              <a:lstStyle/>
              <a:p>
                <a:pPr>
                  <a:defRPr sz="800" b="0" i="0" u="none" strike="noStrike" baseline="0">
                    <a:solidFill>
                      <a:srgbClr val="000000"/>
                    </a:solidFill>
                    <a:latin typeface="MathSoftText"/>
                    <a:ea typeface="MathSoftText"/>
                    <a:cs typeface="MathSoftText"/>
                  </a:defRPr>
                </a:pPr>
                <a:r>
                  <a:rPr lang="en-US"/>
                  <a:t>amps</a:t>
                </a:r>
              </a:p>
            </c:rich>
          </c:tx>
          <c:layout>
            <c:manualLayout>
              <c:xMode val="edge"/>
              <c:yMode val="edge"/>
              <c:x val="0.5347855725688998"/>
              <c:y val="0.82099078615229459"/>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80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1457974856994107E-2"/>
              <c:y val="0.25328439147251641"/>
            </c:manualLayout>
          </c:layout>
          <c:overlay val="0"/>
          <c:spPr>
            <a:noFill/>
            <a:ln w="25400">
              <a:noFill/>
            </a:ln>
          </c:spPr>
        </c:title>
        <c:numFmt formatCode="0" sourceLinked="1"/>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192805040"/>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0" i="0" u="none" strike="noStrike" baseline="0">
                <a:solidFill>
                  <a:srgbClr val="000000"/>
                </a:solidFill>
                <a:latin typeface="MathSoftText"/>
                <a:ea typeface="MathSoftText"/>
                <a:cs typeface="MathSoftText"/>
              </a:defRPr>
            </a:pPr>
            <a:r>
              <a:rPr lang="en-US"/>
              <a:t>lens 25 pulse count vs peak current</a:t>
            </a:r>
          </a:p>
        </c:rich>
      </c:tx>
      <c:layout>
        <c:manualLayout>
          <c:xMode val="edge"/>
          <c:yMode val="edge"/>
          <c:x val="0.25529236064093908"/>
          <c:y val="4.0753598697060432E-2"/>
        </c:manualLayout>
      </c:layout>
      <c:overlay val="0"/>
      <c:spPr>
        <a:noFill/>
        <a:ln w="25400">
          <a:noFill/>
        </a:ln>
      </c:spPr>
    </c:title>
    <c:autoTitleDeleted val="0"/>
    <c:plotArea>
      <c:layout>
        <c:manualLayout>
          <c:layoutTarget val="inner"/>
          <c:xMode val="edge"/>
          <c:yMode val="edge"/>
          <c:x val="0.17236299508241745"/>
          <c:y val="0.23198202335249785"/>
          <c:w val="0.75774675196609942"/>
          <c:h val="0.52352699864685315"/>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25'!$D$26:$D$32</c:f>
              <c:numCache>
                <c:formatCode>0</c:formatCode>
                <c:ptCount val="7"/>
                <c:pt idx="0">
                  <c:v>295863.45722298301</c:v>
                </c:pt>
                <c:pt idx="1">
                  <c:v>370485.84143588052</c:v>
                </c:pt>
                <c:pt idx="2">
                  <c:v>395359.96950684639</c:v>
                </c:pt>
                <c:pt idx="3">
                  <c:v>420234.09757781215</c:v>
                </c:pt>
                <c:pt idx="4">
                  <c:v>445108.22564877814</c:v>
                </c:pt>
                <c:pt idx="5">
                  <c:v>469982.35371974384</c:v>
                </c:pt>
                <c:pt idx="6">
                  <c:v>527192.84828296548</c:v>
                </c:pt>
              </c:numCache>
            </c:numRef>
          </c:xVal>
          <c:yVal>
            <c:numRef>
              <c:f>'Lens 25'!$A$26:$A$32</c:f>
              <c:numCache>
                <c:formatCode>0</c:formatCode>
                <c:ptCount val="7"/>
                <c:pt idx="0">
                  <c:v>15200</c:v>
                </c:pt>
                <c:pt idx="1">
                  <c:v>8800</c:v>
                </c:pt>
                <c:pt idx="2">
                  <c:v>30800</c:v>
                </c:pt>
                <c:pt idx="3">
                  <c:v>3700</c:v>
                </c:pt>
                <c:pt idx="4">
                  <c:v>5300</c:v>
                </c:pt>
                <c:pt idx="5">
                  <c:v>4600</c:v>
                </c:pt>
                <c:pt idx="6">
                  <c:v>85950</c:v>
                </c:pt>
              </c:numCache>
            </c:numRef>
          </c:yVal>
          <c:smooth val="0"/>
          <c:extLst>
            <c:ext xmlns:c16="http://schemas.microsoft.com/office/drawing/2014/chart" uri="{C3380CC4-5D6E-409C-BE32-E72D297353CC}">
              <c16:uniqueId val="{00000000-AB10-49E3-9B74-64319CD525AD}"/>
            </c:ext>
          </c:extLst>
        </c:ser>
        <c:dLbls>
          <c:showLegendKey val="0"/>
          <c:showVal val="0"/>
          <c:showCatName val="0"/>
          <c:showSerName val="0"/>
          <c:showPercent val="0"/>
          <c:showBubbleSize val="0"/>
        </c:dLbls>
        <c:axId val="1854649392"/>
        <c:axId val="1"/>
      </c:scatterChart>
      <c:valAx>
        <c:axId val="1854649392"/>
        <c:scaling>
          <c:orientation val="minMax"/>
          <c:max val="700000"/>
          <c:min val="200000"/>
        </c:scaling>
        <c:delete val="0"/>
        <c:axPos val="b"/>
        <c:title>
          <c:tx>
            <c:rich>
              <a:bodyPr/>
              <a:lstStyle/>
              <a:p>
                <a:pPr>
                  <a:defRPr sz="925" b="0" i="0" u="none" strike="noStrike" baseline="0">
                    <a:solidFill>
                      <a:srgbClr val="000000"/>
                    </a:solidFill>
                    <a:latin typeface="MathSoftText"/>
                    <a:ea typeface="MathSoftText"/>
                    <a:cs typeface="MathSoftText"/>
                  </a:defRPr>
                </a:pPr>
                <a:r>
                  <a:rPr lang="en-US"/>
                  <a:t>amps</a:t>
                </a:r>
              </a:p>
            </c:rich>
          </c:tx>
          <c:layout>
            <c:manualLayout>
              <c:xMode val="edge"/>
              <c:yMode val="edge"/>
              <c:x val="0.51871505123859596"/>
              <c:y val="0.86523024926066749"/>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925"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max val="100000"/>
          <c:min val="0"/>
        </c:scaling>
        <c:delete val="0"/>
        <c:axPos val="l"/>
        <c:majorGridlines>
          <c:spPr>
            <a:ln w="3175">
              <a:solidFill>
                <a:srgbClr val="99CC00"/>
              </a:solidFill>
              <a:prstDash val="solid"/>
            </a:ln>
          </c:spPr>
        </c:majorGridlines>
        <c:title>
          <c:tx>
            <c:rich>
              <a:bodyPr/>
              <a:lstStyle/>
              <a:p>
                <a:pPr>
                  <a:defRPr sz="925"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0895253835527655E-2"/>
              <c:y val="0.31035432853915251"/>
            </c:manualLayout>
          </c:layout>
          <c:overlay val="0"/>
          <c:spPr>
            <a:noFill/>
            <a:ln w="25400">
              <a:noFill/>
            </a:ln>
          </c:spPr>
        </c:title>
        <c:numFmt formatCode="0" sourceLinked="1"/>
        <c:majorTickMark val="out"/>
        <c:minorTickMark val="none"/>
        <c:tickLblPos val="nextTo"/>
        <c:spPr>
          <a:ln w="3175">
            <a:solidFill>
              <a:srgbClr val="99CC00"/>
            </a:solidFill>
            <a:prstDash val="solid"/>
          </a:ln>
        </c:spPr>
        <c:txPr>
          <a:bodyPr rot="0" vert="horz"/>
          <a:lstStyle/>
          <a:p>
            <a:pPr>
              <a:defRPr sz="925" b="0" i="0" u="none" strike="noStrike" baseline="0">
                <a:solidFill>
                  <a:srgbClr val="000000"/>
                </a:solidFill>
                <a:latin typeface="MathSoftText"/>
                <a:ea typeface="MathSoftText"/>
                <a:cs typeface="MathSoftText"/>
              </a:defRPr>
            </a:pPr>
            <a:endParaRPr lang="en-US"/>
          </a:p>
        </c:txPr>
        <c:crossAx val="1854649392"/>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0" i="0" u="none" strike="noStrike" baseline="0">
                <a:solidFill>
                  <a:srgbClr val="000000"/>
                </a:solidFill>
                <a:latin typeface="MathSoftText"/>
                <a:ea typeface="MathSoftText"/>
                <a:cs typeface="MathSoftText"/>
              </a:defRPr>
            </a:pPr>
            <a:r>
              <a:rPr lang="en-US"/>
              <a:t>lens 25 pulse count vs peak current</a:t>
            </a:r>
          </a:p>
        </c:rich>
      </c:tx>
      <c:layout>
        <c:manualLayout>
          <c:xMode val="edge"/>
          <c:yMode val="edge"/>
          <c:x val="0.24407592484897842"/>
          <c:y val="3.2855214509156377E-2"/>
        </c:manualLayout>
      </c:layout>
      <c:overlay val="0"/>
      <c:spPr>
        <a:noFill/>
        <a:ln w="25400">
          <a:noFill/>
        </a:ln>
      </c:spPr>
    </c:title>
    <c:autoTitleDeleted val="0"/>
    <c:plotArea>
      <c:layout>
        <c:manualLayout>
          <c:layoutTarget val="inner"/>
          <c:xMode val="edge"/>
          <c:yMode val="edge"/>
          <c:x val="0.17966700023605359"/>
          <c:y val="0.16838297435942642"/>
          <c:w val="0.79155178405883975"/>
          <c:h val="0.66737154471723892"/>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75" b="0" i="0" u="none" strike="noStrike" baseline="0">
                    <a:solidFill>
                      <a:srgbClr val="000000"/>
                    </a:solidFill>
                    <a:latin typeface="MathSoftText"/>
                    <a:ea typeface="MathSoftText"/>
                    <a:cs typeface="MathSoftTex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25'!$D$26:$D$32</c:f>
              <c:numCache>
                <c:formatCode>0</c:formatCode>
                <c:ptCount val="7"/>
                <c:pt idx="0">
                  <c:v>295863.45722298301</c:v>
                </c:pt>
                <c:pt idx="1">
                  <c:v>370485.84143588052</c:v>
                </c:pt>
                <c:pt idx="2">
                  <c:v>395359.96950684639</c:v>
                </c:pt>
                <c:pt idx="3">
                  <c:v>420234.09757781215</c:v>
                </c:pt>
                <c:pt idx="4">
                  <c:v>445108.22564877814</c:v>
                </c:pt>
                <c:pt idx="5">
                  <c:v>469982.35371974384</c:v>
                </c:pt>
                <c:pt idx="6">
                  <c:v>527192.84828296548</c:v>
                </c:pt>
              </c:numCache>
            </c:numRef>
          </c:cat>
          <c:val>
            <c:numRef>
              <c:f>'Lens 25'!$A$26:$A$32</c:f>
              <c:numCache>
                <c:formatCode>0</c:formatCode>
                <c:ptCount val="7"/>
                <c:pt idx="0">
                  <c:v>15200</c:v>
                </c:pt>
                <c:pt idx="1">
                  <c:v>8800</c:v>
                </c:pt>
                <c:pt idx="2">
                  <c:v>30800</c:v>
                </c:pt>
                <c:pt idx="3">
                  <c:v>3700</c:v>
                </c:pt>
                <c:pt idx="4">
                  <c:v>5300</c:v>
                </c:pt>
                <c:pt idx="5">
                  <c:v>4600</c:v>
                </c:pt>
                <c:pt idx="6">
                  <c:v>85950</c:v>
                </c:pt>
              </c:numCache>
            </c:numRef>
          </c:val>
          <c:extLst>
            <c:ext xmlns:c16="http://schemas.microsoft.com/office/drawing/2014/chart" uri="{C3380CC4-5D6E-409C-BE32-E72D297353CC}">
              <c16:uniqueId val="{00000000-B6D0-434D-9895-DF1CD4ED6681}"/>
            </c:ext>
          </c:extLst>
        </c:ser>
        <c:dLbls>
          <c:showLegendKey val="0"/>
          <c:showVal val="1"/>
          <c:showCatName val="0"/>
          <c:showSerName val="0"/>
          <c:showPercent val="0"/>
          <c:showBubbleSize val="0"/>
        </c:dLbls>
        <c:gapWidth val="150"/>
        <c:axId val="1192791120"/>
        <c:axId val="1"/>
      </c:barChart>
      <c:catAx>
        <c:axId val="1192791120"/>
        <c:scaling>
          <c:orientation val="minMax"/>
        </c:scaling>
        <c:delete val="0"/>
        <c:axPos val="b"/>
        <c:title>
          <c:tx>
            <c:rich>
              <a:bodyPr/>
              <a:lstStyle/>
              <a:p>
                <a:pPr>
                  <a:defRPr sz="975" b="0" i="0" u="none" strike="noStrike" baseline="0">
                    <a:solidFill>
                      <a:srgbClr val="000000"/>
                    </a:solidFill>
                    <a:latin typeface="MathSoftText"/>
                    <a:ea typeface="MathSoftText"/>
                    <a:cs typeface="MathSoftText"/>
                  </a:defRPr>
                </a:pPr>
                <a:r>
                  <a:rPr lang="en-US"/>
                  <a:t>amps</a:t>
                </a:r>
              </a:p>
            </c:rich>
          </c:tx>
          <c:layout>
            <c:manualLayout>
              <c:xMode val="edge"/>
              <c:yMode val="edge"/>
              <c:x val="0.53730602900782054"/>
              <c:y val="0.9096787517222672"/>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97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40000"/>
          <c:min val="0"/>
        </c:scaling>
        <c:delete val="0"/>
        <c:axPos val="l"/>
        <c:majorGridlines>
          <c:spPr>
            <a:ln w="3175">
              <a:solidFill>
                <a:srgbClr val="99CC00"/>
              </a:solidFill>
              <a:prstDash val="solid"/>
            </a:ln>
          </c:spPr>
        </c:majorGridlines>
        <c:title>
          <c:tx>
            <c:rich>
              <a:bodyPr/>
              <a:lstStyle/>
              <a:p>
                <a:pPr>
                  <a:defRPr sz="975"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2204462306462435E-2"/>
              <c:y val="0.37372806504165379"/>
            </c:manualLayout>
          </c:layout>
          <c:overlay val="0"/>
          <c:spPr>
            <a:noFill/>
            <a:ln w="25400">
              <a:noFill/>
            </a:ln>
          </c:spPr>
        </c:title>
        <c:numFmt formatCode="0" sourceLinked="1"/>
        <c:majorTickMark val="out"/>
        <c:minorTickMark val="none"/>
        <c:tickLblPos val="nextTo"/>
        <c:spPr>
          <a:ln w="3175">
            <a:solidFill>
              <a:srgbClr val="99CC00"/>
            </a:solidFill>
            <a:prstDash val="solid"/>
          </a:ln>
        </c:spPr>
        <c:txPr>
          <a:bodyPr rot="0" vert="horz"/>
          <a:lstStyle/>
          <a:p>
            <a:pPr>
              <a:defRPr sz="975" b="0" i="0" u="none" strike="noStrike" baseline="0">
                <a:solidFill>
                  <a:srgbClr val="000000"/>
                </a:solidFill>
                <a:latin typeface="MathSoftText"/>
                <a:ea typeface="MathSoftText"/>
                <a:cs typeface="MathSoftText"/>
              </a:defRPr>
            </a:pPr>
            <a:endParaRPr lang="en-US"/>
          </a:p>
        </c:txPr>
        <c:crossAx val="1192791120"/>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MathSoftText"/>
                <a:ea typeface="MathSoftText"/>
                <a:cs typeface="MathSoftText"/>
              </a:defRPr>
            </a:pPr>
            <a:r>
              <a:rPr lang="en-US"/>
              <a:t>lens 16  pulse count vs peak current</a:t>
            </a:r>
          </a:p>
        </c:rich>
      </c:tx>
      <c:layout>
        <c:manualLayout>
          <c:xMode val="edge"/>
          <c:yMode val="edge"/>
          <c:x val="0.33174906442820012"/>
          <c:y val="5.6996706759606573E-2"/>
        </c:manualLayout>
      </c:layout>
      <c:overlay val="0"/>
      <c:spPr>
        <a:noFill/>
        <a:ln w="25400">
          <a:noFill/>
        </a:ln>
      </c:spPr>
    </c:title>
    <c:autoTitleDeleted val="0"/>
    <c:plotArea>
      <c:layout>
        <c:manualLayout>
          <c:layoutTarget val="inner"/>
          <c:xMode val="edge"/>
          <c:yMode val="edge"/>
          <c:x val="9.250695065786349E-2"/>
          <c:y val="0.29016505259436076"/>
          <c:w val="0.85329687244753394"/>
          <c:h val="0.50778884204013131"/>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16'!$D$39:$D$47</c:f>
              <c:numCache>
                <c:formatCode>General</c:formatCode>
                <c:ptCount val="9"/>
                <c:pt idx="0">
                  <c:v>392863.68857758201</c:v>
                </c:pt>
                <c:pt idx="1">
                  <c:v>395351.04523751262</c:v>
                </c:pt>
                <c:pt idx="2">
                  <c:v>412762.54185702675</c:v>
                </c:pt>
                <c:pt idx="3">
                  <c:v>440123.46511626325</c:v>
                </c:pt>
                <c:pt idx="4">
                  <c:v>469971.74503543024</c:v>
                </c:pt>
                <c:pt idx="5">
                  <c:v>474946.45835529157</c:v>
                </c:pt>
                <c:pt idx="6">
                  <c:v>519718.87823404215</c:v>
                </c:pt>
                <c:pt idx="7">
                  <c:v>562003.94145286223</c:v>
                </c:pt>
                <c:pt idx="8">
                  <c:v>599314.29135182104</c:v>
                </c:pt>
              </c:numCache>
            </c:numRef>
          </c:xVal>
          <c:yVal>
            <c:numRef>
              <c:f>'Lens 16'!$A$39:$A$47</c:f>
              <c:numCache>
                <c:formatCode>General</c:formatCode>
                <c:ptCount val="9"/>
                <c:pt idx="0">
                  <c:v>298500</c:v>
                </c:pt>
                <c:pt idx="1">
                  <c:v>34500</c:v>
                </c:pt>
                <c:pt idx="2">
                  <c:v>121775</c:v>
                </c:pt>
                <c:pt idx="3">
                  <c:v>256086</c:v>
                </c:pt>
                <c:pt idx="4">
                  <c:v>125000</c:v>
                </c:pt>
                <c:pt idx="5">
                  <c:v>36300</c:v>
                </c:pt>
                <c:pt idx="6">
                  <c:v>78800</c:v>
                </c:pt>
                <c:pt idx="7">
                  <c:v>44445</c:v>
                </c:pt>
                <c:pt idx="8">
                  <c:v>471955</c:v>
                </c:pt>
              </c:numCache>
            </c:numRef>
          </c:yVal>
          <c:smooth val="0"/>
          <c:extLst>
            <c:ext xmlns:c16="http://schemas.microsoft.com/office/drawing/2014/chart" uri="{C3380CC4-5D6E-409C-BE32-E72D297353CC}">
              <c16:uniqueId val="{00000000-0AA3-4963-B8FA-CF2CDF9FBA14}"/>
            </c:ext>
          </c:extLst>
        </c:ser>
        <c:dLbls>
          <c:showLegendKey val="0"/>
          <c:showVal val="0"/>
          <c:showCatName val="0"/>
          <c:showSerName val="0"/>
          <c:showPercent val="0"/>
          <c:showBubbleSize val="0"/>
        </c:dLbls>
        <c:axId val="1713792352"/>
        <c:axId val="1"/>
      </c:scatterChart>
      <c:valAx>
        <c:axId val="1713792352"/>
        <c:scaling>
          <c:orientation val="minMax"/>
          <c:max val="700000"/>
          <c:min val="200000"/>
        </c:scaling>
        <c:delete val="0"/>
        <c:axPos val="b"/>
        <c:numFmt formatCode="0" sourceLinked="0"/>
        <c:majorTickMark val="out"/>
        <c:minorTickMark val="none"/>
        <c:tickLblPos val="nextTo"/>
        <c:spPr>
          <a:ln w="3175">
            <a:solidFill>
              <a:srgbClr val="99CC00"/>
            </a:solidFill>
            <a:prstDash val="solid"/>
          </a:ln>
        </c:spPr>
        <c:txPr>
          <a:bodyPr rot="0" vert="horz"/>
          <a:lstStyle/>
          <a:p>
            <a:pPr>
              <a:defRPr sz="550" b="0" i="0" u="none" strike="noStrike" baseline="0">
                <a:solidFill>
                  <a:srgbClr val="000000"/>
                </a:solidFill>
                <a:latin typeface="MathSoftText"/>
                <a:ea typeface="MathSoftText"/>
                <a:cs typeface="MathSoftText"/>
              </a:defRPr>
            </a:pPr>
            <a:endParaRPr lang="en-US"/>
          </a:p>
        </c:txPr>
        <c:crossAx val="1"/>
        <c:crosses val="autoZero"/>
        <c:crossBetween val="midCat"/>
        <c:majorUnit val="100000"/>
        <c:minorUnit val="20000"/>
      </c:valAx>
      <c:valAx>
        <c:axId val="1"/>
        <c:scaling>
          <c:orientation val="minMax"/>
          <c:max val="500000"/>
          <c:min val="0"/>
        </c:scaling>
        <c:delete val="0"/>
        <c:axPos val="l"/>
        <c:majorGridlines>
          <c:spPr>
            <a:ln w="3175">
              <a:solidFill>
                <a:srgbClr val="99CC00"/>
              </a:solidFill>
              <a:prstDash val="solid"/>
            </a:ln>
          </c:spPr>
        </c:majorGridlines>
        <c:numFmt formatCode="General" sourceLinked="1"/>
        <c:majorTickMark val="out"/>
        <c:minorTickMark val="none"/>
        <c:tickLblPos val="nextTo"/>
        <c:spPr>
          <a:ln w="3175">
            <a:solidFill>
              <a:srgbClr val="99CC00"/>
            </a:solidFill>
            <a:prstDash val="solid"/>
          </a:ln>
        </c:spPr>
        <c:txPr>
          <a:bodyPr rot="0" vert="horz"/>
          <a:lstStyle/>
          <a:p>
            <a:pPr>
              <a:defRPr sz="550" b="0" i="0" u="none" strike="noStrike" baseline="0">
                <a:solidFill>
                  <a:srgbClr val="000000"/>
                </a:solidFill>
                <a:latin typeface="MathSoftText"/>
                <a:ea typeface="MathSoftText"/>
                <a:cs typeface="MathSoftText"/>
              </a:defRPr>
            </a:pPr>
            <a:endParaRPr lang="en-US"/>
          </a:p>
        </c:txPr>
        <c:crossAx val="1713792352"/>
        <c:crosses val="autoZero"/>
        <c:crossBetween val="midCat"/>
        <c:majorUnit val="100000"/>
        <c:minorUnit val="50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5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25 Rogowski and Bdot vs Pot</a:t>
            </a:r>
          </a:p>
        </c:rich>
      </c:tx>
      <c:layout>
        <c:manualLayout>
          <c:xMode val="edge"/>
          <c:yMode val="edge"/>
          <c:x val="0.24132405481003652"/>
          <c:y val="3.8576901405916741E-2"/>
        </c:manualLayout>
      </c:layout>
      <c:overlay val="0"/>
      <c:spPr>
        <a:noFill/>
        <a:ln w="25400">
          <a:noFill/>
        </a:ln>
      </c:spPr>
    </c:title>
    <c:autoTitleDeleted val="0"/>
    <c:plotArea>
      <c:layout>
        <c:manualLayout>
          <c:layoutTarget val="inner"/>
          <c:xMode val="edge"/>
          <c:yMode val="edge"/>
          <c:x val="0.1755084034982084"/>
          <c:y val="0.25223358611560948"/>
          <c:w val="0.41866067084468456"/>
          <c:h val="0.48072754059680861"/>
        </c:manualLayout>
      </c:layout>
      <c:scatterChart>
        <c:scatterStyle val="lineMarker"/>
        <c:varyColors val="0"/>
        <c:ser>
          <c:idx val="1"/>
          <c:order val="1"/>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73311322711230775"/>
                  <c:y val="0.59052333690595626"/>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25'!$A$7:$A$21</c:f>
              <c:numCache>
                <c:formatCode>General</c:formatCode>
                <c:ptCount val="15"/>
                <c:pt idx="0">
                  <c:v>0</c:v>
                </c:pt>
                <c:pt idx="1">
                  <c:v>0</c:v>
                </c:pt>
                <c:pt idx="2">
                  <c:v>0</c:v>
                </c:pt>
                <c:pt idx="3">
                  <c:v>1.5</c:v>
                </c:pt>
                <c:pt idx="4">
                  <c:v>1.5</c:v>
                </c:pt>
                <c:pt idx="5">
                  <c:v>2</c:v>
                </c:pt>
                <c:pt idx="6">
                  <c:v>2</c:v>
                </c:pt>
                <c:pt idx="7">
                  <c:v>2.5</c:v>
                </c:pt>
                <c:pt idx="8">
                  <c:v>2.5</c:v>
                </c:pt>
                <c:pt idx="9">
                  <c:v>3</c:v>
                </c:pt>
                <c:pt idx="10">
                  <c:v>3</c:v>
                </c:pt>
                <c:pt idx="11">
                  <c:v>3.5</c:v>
                </c:pt>
                <c:pt idx="12">
                  <c:v>3.5</c:v>
                </c:pt>
                <c:pt idx="13">
                  <c:v>4.6500000000000004</c:v>
                </c:pt>
                <c:pt idx="14">
                  <c:v>4.6500000000000004</c:v>
                </c:pt>
              </c:numCache>
            </c:numRef>
          </c:xVal>
          <c:yVal>
            <c:numRef>
              <c:f>'Lens 25'!$D$7:$D$21</c:f>
              <c:numCache>
                <c:formatCode>0.00</c:formatCode>
                <c:ptCount val="15"/>
                <c:pt idx="0">
                  <c:v>2.5</c:v>
                </c:pt>
                <c:pt idx="1">
                  <c:v>2.6</c:v>
                </c:pt>
                <c:pt idx="2">
                  <c:v>2.6</c:v>
                </c:pt>
                <c:pt idx="3">
                  <c:v>3.28</c:v>
                </c:pt>
                <c:pt idx="4">
                  <c:v>3.28</c:v>
                </c:pt>
                <c:pt idx="5">
                  <c:v>3.56</c:v>
                </c:pt>
                <c:pt idx="6">
                  <c:v>3.56</c:v>
                </c:pt>
                <c:pt idx="7">
                  <c:v>3.76</c:v>
                </c:pt>
                <c:pt idx="8">
                  <c:v>3.76</c:v>
                </c:pt>
                <c:pt idx="9">
                  <c:v>3.92</c:v>
                </c:pt>
                <c:pt idx="10">
                  <c:v>3.92</c:v>
                </c:pt>
                <c:pt idx="11" formatCode="General">
                  <c:v>4.16</c:v>
                </c:pt>
                <c:pt idx="12" formatCode="General">
                  <c:v>4.16</c:v>
                </c:pt>
                <c:pt idx="13" formatCode="General">
                  <c:v>4.72</c:v>
                </c:pt>
                <c:pt idx="14" formatCode="General">
                  <c:v>4.72</c:v>
                </c:pt>
              </c:numCache>
            </c:numRef>
          </c:yVal>
          <c:smooth val="0"/>
          <c:extLst>
            <c:ext xmlns:c16="http://schemas.microsoft.com/office/drawing/2014/chart" uri="{C3380CC4-5D6E-409C-BE32-E72D297353CC}">
              <c16:uniqueId val="{00000001-B1B3-425F-A8B0-90959D948F6D}"/>
            </c:ext>
          </c:extLst>
        </c:ser>
        <c:dLbls>
          <c:showLegendKey val="0"/>
          <c:showVal val="0"/>
          <c:showCatName val="0"/>
          <c:showSerName val="0"/>
          <c:showPercent val="0"/>
          <c:showBubbleSize val="0"/>
        </c:dLbls>
        <c:axId val="1854650384"/>
        <c:axId val="1"/>
      </c:scatterChart>
      <c:scatterChart>
        <c:scatterStyle val="lineMarker"/>
        <c:varyColors val="0"/>
        <c:ser>
          <c:idx val="0"/>
          <c:order val="0"/>
          <c:tx>
            <c:v>rog vs pot</c:v>
          </c:tx>
          <c:spPr>
            <a:ln w="19050">
              <a:noFill/>
            </a:ln>
          </c:spPr>
          <c:marker>
            <c:symbol val="diamond"/>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Mode val="edge"/>
                  <c:yMode val="edge"/>
                  <c:x val="0.73311322711230775"/>
                  <c:y val="0.84275692302156557"/>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25'!$A$7:$A$21</c:f>
              <c:numCache>
                <c:formatCode>General</c:formatCode>
                <c:ptCount val="15"/>
                <c:pt idx="0">
                  <c:v>0</c:v>
                </c:pt>
                <c:pt idx="1">
                  <c:v>0</c:v>
                </c:pt>
                <c:pt idx="2">
                  <c:v>0</c:v>
                </c:pt>
                <c:pt idx="3">
                  <c:v>1.5</c:v>
                </c:pt>
                <c:pt idx="4">
                  <c:v>1.5</c:v>
                </c:pt>
                <c:pt idx="5">
                  <c:v>2</c:v>
                </c:pt>
                <c:pt idx="6">
                  <c:v>2</c:v>
                </c:pt>
                <c:pt idx="7">
                  <c:v>2.5</c:v>
                </c:pt>
                <c:pt idx="8">
                  <c:v>2.5</c:v>
                </c:pt>
                <c:pt idx="9">
                  <c:v>3</c:v>
                </c:pt>
                <c:pt idx="10">
                  <c:v>3</c:v>
                </c:pt>
                <c:pt idx="11">
                  <c:v>3.5</c:v>
                </c:pt>
                <c:pt idx="12">
                  <c:v>3.5</c:v>
                </c:pt>
                <c:pt idx="13">
                  <c:v>4.6500000000000004</c:v>
                </c:pt>
                <c:pt idx="14">
                  <c:v>4.6500000000000004</c:v>
                </c:pt>
              </c:numCache>
            </c:numRef>
          </c:xVal>
          <c:yVal>
            <c:numRef>
              <c:f>'Lens 25'!$C$7:$C$21</c:f>
              <c:numCache>
                <c:formatCode>0.000</c:formatCode>
                <c:ptCount val="15"/>
                <c:pt idx="0" formatCode="General">
                  <c:v>0.33200000000000002</c:v>
                </c:pt>
                <c:pt idx="1">
                  <c:v>0.33600000000000002</c:v>
                </c:pt>
                <c:pt idx="2">
                  <c:v>0.32800000000000001</c:v>
                </c:pt>
                <c:pt idx="3">
                  <c:v>0.42399999999999999</c:v>
                </c:pt>
                <c:pt idx="4">
                  <c:v>0.42399999999999999</c:v>
                </c:pt>
                <c:pt idx="5">
                  <c:v>0.44800000000000001</c:v>
                </c:pt>
                <c:pt idx="6">
                  <c:v>0.44800000000000001</c:v>
                </c:pt>
                <c:pt idx="7">
                  <c:v>0.48</c:v>
                </c:pt>
                <c:pt idx="8">
                  <c:v>0.48</c:v>
                </c:pt>
                <c:pt idx="9">
                  <c:v>0.504</c:v>
                </c:pt>
                <c:pt idx="10">
                  <c:v>0.504</c:v>
                </c:pt>
                <c:pt idx="11">
                  <c:v>0.52800000000000002</c:v>
                </c:pt>
                <c:pt idx="12">
                  <c:v>0.52800000000000002</c:v>
                </c:pt>
                <c:pt idx="13" formatCode="General">
                  <c:v>0.6</c:v>
                </c:pt>
                <c:pt idx="14" formatCode="General">
                  <c:v>0.6</c:v>
                </c:pt>
              </c:numCache>
            </c:numRef>
          </c:yVal>
          <c:smooth val="0"/>
          <c:extLst>
            <c:ext xmlns:c16="http://schemas.microsoft.com/office/drawing/2014/chart" uri="{C3380CC4-5D6E-409C-BE32-E72D297353CC}">
              <c16:uniqueId val="{00000003-B1B3-425F-A8B0-90959D948F6D}"/>
            </c:ext>
          </c:extLst>
        </c:ser>
        <c:dLbls>
          <c:showLegendKey val="0"/>
          <c:showVal val="0"/>
          <c:showCatName val="0"/>
          <c:showSerName val="0"/>
          <c:showPercent val="0"/>
          <c:showBubbleSize val="0"/>
        </c:dLbls>
        <c:axId val="3"/>
        <c:axId val="4"/>
      </c:scatterChart>
      <c:valAx>
        <c:axId val="1854650384"/>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1993719387694236"/>
              <c:y val="0.83682201511296306"/>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3018163556750444E-2"/>
              <c:y val="0.37983410615056479"/>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854650384"/>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3"/>
        <c:crosses val="max"/>
        <c:crossBetween val="midCat"/>
      </c:valAx>
      <c:spPr>
        <a:noFill/>
        <a:ln w="12700">
          <a:solidFill>
            <a:srgbClr val="99CC00"/>
          </a:solidFill>
          <a:prstDash val="solid"/>
        </a:ln>
      </c:spPr>
    </c:plotArea>
    <c:legend>
      <c:legendPos val="r"/>
      <c:layout>
        <c:manualLayout>
          <c:xMode val="edge"/>
          <c:yMode val="edge"/>
          <c:x val="0.67278221340979871"/>
          <c:y val="0.19585196098388499"/>
          <c:w val="0.30713970612186464"/>
          <c:h val="0.27597321775001976"/>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25 Bdot vs Rogowski</a:t>
            </a:r>
          </a:p>
        </c:rich>
      </c:tx>
      <c:layout>
        <c:manualLayout>
          <c:xMode val="edge"/>
          <c:yMode val="edge"/>
          <c:x val="0.30110473345894589"/>
          <c:y val="4.1271226051092146E-2"/>
        </c:manualLayout>
      </c:layout>
      <c:overlay val="0"/>
      <c:spPr>
        <a:noFill/>
        <a:ln w="25400">
          <a:noFill/>
        </a:ln>
      </c:spPr>
    </c:title>
    <c:autoTitleDeleted val="0"/>
    <c:plotArea>
      <c:layout>
        <c:manualLayout>
          <c:layoutTarget val="inner"/>
          <c:xMode val="edge"/>
          <c:yMode val="edge"/>
          <c:x val="0.14234041945331988"/>
          <c:y val="0.23175380782536359"/>
          <c:w val="0.79747132437308699"/>
          <c:h val="0.52065239018300857"/>
        </c:manualLayout>
      </c:layout>
      <c:scatterChart>
        <c:scatterStyle val="lineMarker"/>
        <c:varyColors val="0"/>
        <c:ser>
          <c:idx val="0"/>
          <c:order val="0"/>
          <c:spPr>
            <a:ln w="19050">
              <a:noFill/>
            </a:ln>
          </c:spPr>
          <c:marker>
            <c:symbol val="diamond"/>
            <c:size val="5"/>
            <c:spPr>
              <a:solidFill>
                <a:srgbClr val="FF0000"/>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Mode val="edge"/>
                  <c:yMode val="edge"/>
                  <c:x val="0.7336006233363408"/>
                  <c:y val="2.2222967873665001E-2"/>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25'!$D$7:$D$21</c:f>
              <c:numCache>
                <c:formatCode>0.00</c:formatCode>
                <c:ptCount val="15"/>
                <c:pt idx="0">
                  <c:v>2.5</c:v>
                </c:pt>
                <c:pt idx="1">
                  <c:v>2.6</c:v>
                </c:pt>
                <c:pt idx="2">
                  <c:v>2.6</c:v>
                </c:pt>
                <c:pt idx="3">
                  <c:v>3.28</c:v>
                </c:pt>
                <c:pt idx="4">
                  <c:v>3.28</c:v>
                </c:pt>
                <c:pt idx="5">
                  <c:v>3.56</c:v>
                </c:pt>
                <c:pt idx="6">
                  <c:v>3.56</c:v>
                </c:pt>
                <c:pt idx="7">
                  <c:v>3.76</c:v>
                </c:pt>
                <c:pt idx="8">
                  <c:v>3.76</c:v>
                </c:pt>
                <c:pt idx="9">
                  <c:v>3.92</c:v>
                </c:pt>
                <c:pt idx="10">
                  <c:v>3.92</c:v>
                </c:pt>
                <c:pt idx="11" formatCode="General">
                  <c:v>4.16</c:v>
                </c:pt>
                <c:pt idx="12" formatCode="General">
                  <c:v>4.16</c:v>
                </c:pt>
                <c:pt idx="13" formatCode="General">
                  <c:v>4.72</c:v>
                </c:pt>
                <c:pt idx="14" formatCode="General">
                  <c:v>4.72</c:v>
                </c:pt>
              </c:numCache>
            </c:numRef>
          </c:xVal>
          <c:yVal>
            <c:numRef>
              <c:f>'Lens 25'!$C$7:$C$21</c:f>
              <c:numCache>
                <c:formatCode>0.000</c:formatCode>
                <c:ptCount val="15"/>
                <c:pt idx="0" formatCode="General">
                  <c:v>0.33200000000000002</c:v>
                </c:pt>
                <c:pt idx="1">
                  <c:v>0.33600000000000002</c:v>
                </c:pt>
                <c:pt idx="2">
                  <c:v>0.32800000000000001</c:v>
                </c:pt>
                <c:pt idx="3">
                  <c:v>0.42399999999999999</c:v>
                </c:pt>
                <c:pt idx="4">
                  <c:v>0.42399999999999999</c:v>
                </c:pt>
                <c:pt idx="5">
                  <c:v>0.44800000000000001</c:v>
                </c:pt>
                <c:pt idx="6">
                  <c:v>0.44800000000000001</c:v>
                </c:pt>
                <c:pt idx="7">
                  <c:v>0.48</c:v>
                </c:pt>
                <c:pt idx="8">
                  <c:v>0.48</c:v>
                </c:pt>
                <c:pt idx="9">
                  <c:v>0.504</c:v>
                </c:pt>
                <c:pt idx="10">
                  <c:v>0.504</c:v>
                </c:pt>
                <c:pt idx="11">
                  <c:v>0.52800000000000002</c:v>
                </c:pt>
                <c:pt idx="12">
                  <c:v>0.52800000000000002</c:v>
                </c:pt>
                <c:pt idx="13" formatCode="General">
                  <c:v>0.6</c:v>
                </c:pt>
                <c:pt idx="14" formatCode="General">
                  <c:v>0.6</c:v>
                </c:pt>
              </c:numCache>
            </c:numRef>
          </c:yVal>
          <c:smooth val="0"/>
          <c:extLst>
            <c:ext xmlns:c16="http://schemas.microsoft.com/office/drawing/2014/chart" uri="{C3380CC4-5D6E-409C-BE32-E72D297353CC}">
              <c16:uniqueId val="{00000001-9E17-46AB-83A2-7120009BA0E2}"/>
            </c:ext>
          </c:extLst>
        </c:ser>
        <c:dLbls>
          <c:showLegendKey val="0"/>
          <c:showVal val="0"/>
          <c:showCatName val="0"/>
          <c:showSerName val="0"/>
          <c:showPercent val="0"/>
          <c:showBubbleSize val="0"/>
        </c:dLbls>
        <c:axId val="1854647904"/>
        <c:axId val="1"/>
      </c:scatterChart>
      <c:valAx>
        <c:axId val="1854647904"/>
        <c:scaling>
          <c:orientation val="minMax"/>
          <c:max val="5"/>
          <c:min val="2.5"/>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0.46899343332696414"/>
              <c:y val="0.86352103737669705"/>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minorUnit val="0.1"/>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Rogowski (volts)</a:t>
                </a:r>
              </a:p>
            </c:rich>
          </c:tx>
          <c:layout>
            <c:manualLayout>
              <c:xMode val="edge"/>
              <c:yMode val="edge"/>
              <c:x val="3.4672666277090737E-2"/>
              <c:y val="0.31429625992754789"/>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854647904"/>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75" b="0" i="0" u="none" strike="noStrike" baseline="0">
                <a:solidFill>
                  <a:srgbClr val="000000"/>
                </a:solidFill>
                <a:latin typeface="MathSoftText"/>
                <a:ea typeface="MathSoftText"/>
                <a:cs typeface="MathSoftText"/>
              </a:defRPr>
            </a:pPr>
            <a:r>
              <a:rPr lang="en-US"/>
              <a:t>lens 24 retest pulse count vs peak current</a:t>
            </a:r>
          </a:p>
        </c:rich>
      </c:tx>
      <c:layout>
        <c:manualLayout>
          <c:xMode val="edge"/>
          <c:yMode val="edge"/>
          <c:x val="0.32482813670116589"/>
          <c:y val="5.9173574433866463E-2"/>
        </c:manualLayout>
      </c:layout>
      <c:overlay val="0"/>
      <c:spPr>
        <a:noFill/>
        <a:ln w="25400">
          <a:noFill/>
        </a:ln>
      </c:spPr>
    </c:title>
    <c:autoTitleDeleted val="0"/>
    <c:plotArea>
      <c:layout>
        <c:manualLayout>
          <c:layoutTarget val="inner"/>
          <c:xMode val="edge"/>
          <c:yMode val="edge"/>
          <c:x val="0.11861701621109989"/>
          <c:y val="0.28403315728255907"/>
          <c:w val="0.85039276237496242"/>
          <c:h val="0.40829766359367858"/>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24 retest'!$D$29:$D$35</c:f>
              <c:numCache>
                <c:formatCode>0.00E+00</c:formatCode>
                <c:ptCount val="7"/>
                <c:pt idx="0">
                  <c:v>295863.45722298301</c:v>
                </c:pt>
                <c:pt idx="1">
                  <c:v>345611.71336491464</c:v>
                </c:pt>
                <c:pt idx="2">
                  <c:v>395359.96950684639</c:v>
                </c:pt>
                <c:pt idx="3" formatCode="General">
                  <c:v>445108.22564877814</c:v>
                </c:pt>
                <c:pt idx="4" formatCode="General">
                  <c:v>469982.35371974384</c:v>
                </c:pt>
                <c:pt idx="5" formatCode="General">
                  <c:v>494856.48179070977</c:v>
                </c:pt>
                <c:pt idx="6" formatCode="General">
                  <c:v>504806.13301909616</c:v>
                </c:pt>
              </c:numCache>
            </c:numRef>
          </c:cat>
          <c:val>
            <c:numRef>
              <c:f>'Lens 24 retest'!$A$29:$A$35</c:f>
              <c:numCache>
                <c:formatCode>General</c:formatCode>
                <c:ptCount val="7"/>
                <c:pt idx="0">
                  <c:v>1300</c:v>
                </c:pt>
                <c:pt idx="1">
                  <c:v>2740</c:v>
                </c:pt>
                <c:pt idx="2">
                  <c:v>750</c:v>
                </c:pt>
                <c:pt idx="3">
                  <c:v>1430</c:v>
                </c:pt>
                <c:pt idx="4">
                  <c:v>4230</c:v>
                </c:pt>
                <c:pt idx="5">
                  <c:v>590</c:v>
                </c:pt>
                <c:pt idx="6">
                  <c:v>2324</c:v>
                </c:pt>
              </c:numCache>
            </c:numRef>
          </c:val>
          <c:extLst>
            <c:ext xmlns:c16="http://schemas.microsoft.com/office/drawing/2014/chart" uri="{C3380CC4-5D6E-409C-BE32-E72D297353CC}">
              <c16:uniqueId val="{00000000-1FA8-4FCB-8BE5-EF9C2185733E}"/>
            </c:ext>
          </c:extLst>
        </c:ser>
        <c:dLbls>
          <c:showLegendKey val="0"/>
          <c:showVal val="0"/>
          <c:showCatName val="0"/>
          <c:showSerName val="0"/>
          <c:showPercent val="0"/>
          <c:showBubbleSize val="0"/>
        </c:dLbls>
        <c:gapWidth val="150"/>
        <c:axId val="1192835280"/>
        <c:axId val="1"/>
      </c:barChart>
      <c:catAx>
        <c:axId val="1192835280"/>
        <c:scaling>
          <c:orientation val="minMax"/>
        </c:scaling>
        <c:delete val="0"/>
        <c:axPos val="b"/>
        <c:title>
          <c:tx>
            <c:rich>
              <a:bodyPr/>
              <a:lstStyle/>
              <a:p>
                <a:pPr>
                  <a:defRPr sz="475" b="0" i="0" u="none" strike="noStrike" baseline="0">
                    <a:solidFill>
                      <a:srgbClr val="000000"/>
                    </a:solidFill>
                    <a:latin typeface="MathSoftText"/>
                    <a:ea typeface="MathSoftText"/>
                    <a:cs typeface="MathSoftText"/>
                  </a:defRPr>
                </a:pPr>
                <a:r>
                  <a:rPr lang="en-US"/>
                  <a:t>amps</a:t>
                </a:r>
              </a:p>
            </c:rich>
          </c:tx>
          <c:layout>
            <c:manualLayout>
              <c:xMode val="edge"/>
              <c:yMode val="edge"/>
              <c:x val="0.52373974850131799"/>
              <c:y val="0.80476061230058393"/>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47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475"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4672666277090737E-2"/>
              <c:y val="0.29586787216933236"/>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475" b="0" i="0" u="none" strike="noStrike" baseline="0">
                <a:solidFill>
                  <a:srgbClr val="000000"/>
                </a:solidFill>
                <a:latin typeface="MathSoftText"/>
                <a:ea typeface="MathSoftText"/>
                <a:cs typeface="MathSoftText"/>
              </a:defRPr>
            </a:pPr>
            <a:endParaRPr lang="en-US"/>
          </a:p>
        </c:txPr>
        <c:crossAx val="1192835280"/>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25" b="0" i="0" u="none" strike="noStrike" baseline="0">
                <a:solidFill>
                  <a:srgbClr val="000000"/>
                </a:solidFill>
                <a:latin typeface="MathSoftText"/>
                <a:ea typeface="MathSoftText"/>
                <a:cs typeface="MathSoftText"/>
              </a:defRPr>
            </a:pPr>
            <a:r>
              <a:rPr lang="en-US"/>
              <a:t>lens 24 retest pulse count vs peak current</a:t>
            </a:r>
          </a:p>
        </c:rich>
      </c:tx>
      <c:layout>
        <c:manualLayout>
          <c:xMode val="edge"/>
          <c:yMode val="edge"/>
          <c:x val="0.34409753875698074"/>
          <c:y val="6.2895013236206401E-2"/>
        </c:manualLayout>
      </c:layout>
      <c:overlay val="0"/>
      <c:spPr>
        <a:noFill/>
        <a:ln w="25400">
          <a:noFill/>
        </a:ln>
      </c:spPr>
    </c:title>
    <c:autoTitleDeleted val="0"/>
    <c:plotArea>
      <c:layout>
        <c:manualLayout>
          <c:layoutTarget val="inner"/>
          <c:xMode val="edge"/>
          <c:yMode val="edge"/>
          <c:x val="0.10932265554258243"/>
          <c:y val="0.29560656221017007"/>
          <c:w val="0.82977687731501093"/>
          <c:h val="0.37737007941723838"/>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24 retest'!$D$29:$D$35</c:f>
              <c:numCache>
                <c:formatCode>0.00E+00</c:formatCode>
                <c:ptCount val="7"/>
                <c:pt idx="0">
                  <c:v>295863.45722298301</c:v>
                </c:pt>
                <c:pt idx="1">
                  <c:v>345611.71336491464</c:v>
                </c:pt>
                <c:pt idx="2">
                  <c:v>395359.96950684639</c:v>
                </c:pt>
                <c:pt idx="3" formatCode="General">
                  <c:v>445108.22564877814</c:v>
                </c:pt>
                <c:pt idx="4" formatCode="General">
                  <c:v>469982.35371974384</c:v>
                </c:pt>
                <c:pt idx="5" formatCode="General">
                  <c:v>494856.48179070977</c:v>
                </c:pt>
                <c:pt idx="6" formatCode="General">
                  <c:v>504806.13301909616</c:v>
                </c:pt>
              </c:numCache>
            </c:numRef>
          </c:xVal>
          <c:yVal>
            <c:numRef>
              <c:f>'Lens 24 retest'!$A$29:$A$35</c:f>
              <c:numCache>
                <c:formatCode>General</c:formatCode>
                <c:ptCount val="7"/>
                <c:pt idx="0">
                  <c:v>1300</c:v>
                </c:pt>
                <c:pt idx="1">
                  <c:v>2740</c:v>
                </c:pt>
                <c:pt idx="2">
                  <c:v>750</c:v>
                </c:pt>
                <c:pt idx="3">
                  <c:v>1430</c:v>
                </c:pt>
                <c:pt idx="4">
                  <c:v>4230</c:v>
                </c:pt>
                <c:pt idx="5">
                  <c:v>590</c:v>
                </c:pt>
                <c:pt idx="6">
                  <c:v>2324</c:v>
                </c:pt>
              </c:numCache>
            </c:numRef>
          </c:yVal>
          <c:smooth val="0"/>
          <c:extLst>
            <c:ext xmlns:c16="http://schemas.microsoft.com/office/drawing/2014/chart" uri="{C3380CC4-5D6E-409C-BE32-E72D297353CC}">
              <c16:uniqueId val="{00000000-D4F5-4695-8098-FE610C0A30A4}"/>
            </c:ext>
          </c:extLst>
        </c:ser>
        <c:dLbls>
          <c:showLegendKey val="0"/>
          <c:showVal val="0"/>
          <c:showCatName val="0"/>
          <c:showSerName val="0"/>
          <c:showPercent val="0"/>
          <c:showBubbleSize val="0"/>
        </c:dLbls>
        <c:axId val="1838617808"/>
        <c:axId val="1"/>
      </c:scatterChart>
      <c:valAx>
        <c:axId val="1838617808"/>
        <c:scaling>
          <c:orientation val="minMax"/>
          <c:max val="700000"/>
          <c:min val="200000"/>
        </c:scaling>
        <c:delete val="0"/>
        <c:axPos val="b"/>
        <c:title>
          <c:tx>
            <c:rich>
              <a:bodyPr/>
              <a:lstStyle/>
              <a:p>
                <a:pPr>
                  <a:defRPr sz="450" b="0" i="0" u="none" strike="noStrike" baseline="0">
                    <a:solidFill>
                      <a:srgbClr val="000000"/>
                    </a:solidFill>
                    <a:latin typeface="MathSoftText"/>
                    <a:ea typeface="MathSoftText"/>
                    <a:cs typeface="MathSoftText"/>
                  </a:defRPr>
                </a:pPr>
                <a:r>
                  <a:rPr lang="en-US"/>
                  <a:t>amps</a:t>
                </a:r>
              </a:p>
            </c:rich>
          </c:tx>
          <c:layout>
            <c:manualLayout>
              <c:xMode val="edge"/>
              <c:yMode val="edge"/>
              <c:x val="0.5036010853682894"/>
              <c:y val="0.79247716677620061"/>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45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max val="5000"/>
          <c:min val="0"/>
        </c:scaling>
        <c:delete val="0"/>
        <c:axPos val="l"/>
        <c:majorGridlines>
          <c:spPr>
            <a:ln w="3175">
              <a:solidFill>
                <a:srgbClr val="99CC00"/>
              </a:solidFill>
              <a:prstDash val="solid"/>
            </a:ln>
          </c:spPr>
        </c:majorGridlines>
        <c:title>
          <c:tx>
            <c:rich>
              <a:bodyPr/>
              <a:lstStyle/>
              <a:p>
                <a:pPr>
                  <a:defRPr sz="45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405131893949289E-2"/>
              <c:y val="0.28302755956292874"/>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450" b="0" i="0" u="none" strike="noStrike" baseline="0">
                <a:solidFill>
                  <a:srgbClr val="000000"/>
                </a:solidFill>
                <a:latin typeface="MathSoftText"/>
                <a:ea typeface="MathSoftText"/>
                <a:cs typeface="MathSoftText"/>
              </a:defRPr>
            </a:pPr>
            <a:endParaRPr lang="en-US"/>
          </a:p>
        </c:txPr>
        <c:crossAx val="1838617808"/>
        <c:crosses val="autoZero"/>
        <c:crossBetween val="midCat"/>
        <c:majorUnit val="1000"/>
        <c:minorUnit val="2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5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0" i="0" u="none" strike="noStrike" baseline="0">
                <a:solidFill>
                  <a:srgbClr val="000000"/>
                </a:solidFill>
                <a:latin typeface="MathSoftText"/>
                <a:ea typeface="MathSoftText"/>
                <a:cs typeface="MathSoftText"/>
              </a:defRPr>
            </a:pPr>
            <a:r>
              <a:rPr lang="en-US"/>
              <a:t>lens 24 retest pulse count vs peak current</a:t>
            </a:r>
          </a:p>
        </c:rich>
      </c:tx>
      <c:layout>
        <c:manualLayout>
          <c:xMode val="edge"/>
          <c:yMode val="edge"/>
          <c:x val="0.26204031997425931"/>
          <c:y val="4.8981369318199276E-2"/>
        </c:manualLayout>
      </c:layout>
      <c:overlay val="0"/>
      <c:spPr>
        <a:noFill/>
        <a:ln w="25400">
          <a:noFill/>
        </a:ln>
      </c:spPr>
    </c:title>
    <c:autoTitleDeleted val="0"/>
    <c:plotArea>
      <c:layout>
        <c:manualLayout>
          <c:layoutTarget val="inner"/>
          <c:xMode val="edge"/>
          <c:yMode val="edge"/>
          <c:x val="0.14617215127815825"/>
          <c:y val="0.25307040814402959"/>
          <c:w val="0.82355529134767191"/>
          <c:h val="0.45307766619334333"/>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24 retest'!$D$29:$D$35</c:f>
              <c:numCache>
                <c:formatCode>0.00E+00</c:formatCode>
                <c:ptCount val="7"/>
                <c:pt idx="0">
                  <c:v>295863.45722298301</c:v>
                </c:pt>
                <c:pt idx="1">
                  <c:v>345611.71336491464</c:v>
                </c:pt>
                <c:pt idx="2">
                  <c:v>395359.96950684639</c:v>
                </c:pt>
                <c:pt idx="3" formatCode="General">
                  <c:v>445108.22564877814</c:v>
                </c:pt>
                <c:pt idx="4" formatCode="General">
                  <c:v>469982.35371974384</c:v>
                </c:pt>
                <c:pt idx="5" formatCode="General">
                  <c:v>494856.48179070977</c:v>
                </c:pt>
                <c:pt idx="6" formatCode="General">
                  <c:v>504806.13301909616</c:v>
                </c:pt>
              </c:numCache>
            </c:numRef>
          </c:cat>
          <c:val>
            <c:numRef>
              <c:f>'Lens 24 retest'!$A$29:$A$35</c:f>
              <c:numCache>
                <c:formatCode>General</c:formatCode>
                <c:ptCount val="7"/>
                <c:pt idx="0">
                  <c:v>1300</c:v>
                </c:pt>
                <c:pt idx="1">
                  <c:v>2740</c:v>
                </c:pt>
                <c:pt idx="2">
                  <c:v>750</c:v>
                </c:pt>
                <c:pt idx="3">
                  <c:v>1430</c:v>
                </c:pt>
                <c:pt idx="4">
                  <c:v>4230</c:v>
                </c:pt>
                <c:pt idx="5">
                  <c:v>590</c:v>
                </c:pt>
                <c:pt idx="6">
                  <c:v>2324</c:v>
                </c:pt>
              </c:numCache>
            </c:numRef>
          </c:val>
          <c:extLst>
            <c:ext xmlns:c16="http://schemas.microsoft.com/office/drawing/2014/chart" uri="{C3380CC4-5D6E-409C-BE32-E72D297353CC}">
              <c16:uniqueId val="{00000000-DEA7-458A-931E-5FC632D37735}"/>
            </c:ext>
          </c:extLst>
        </c:ser>
        <c:dLbls>
          <c:showLegendKey val="0"/>
          <c:showVal val="0"/>
          <c:showCatName val="0"/>
          <c:showSerName val="0"/>
          <c:showPercent val="0"/>
          <c:showBubbleSize val="0"/>
        </c:dLbls>
        <c:gapWidth val="150"/>
        <c:axId val="1192841520"/>
        <c:axId val="1"/>
      </c:barChart>
      <c:catAx>
        <c:axId val="1192841520"/>
        <c:scaling>
          <c:orientation val="minMax"/>
        </c:scaling>
        <c:delete val="0"/>
        <c:axPos val="b"/>
        <c:title>
          <c:tx>
            <c:rich>
              <a:bodyPr/>
              <a:lstStyle/>
              <a:p>
                <a:pPr>
                  <a:defRPr sz="800" b="0" i="0" u="none" strike="noStrike" baseline="0">
                    <a:solidFill>
                      <a:srgbClr val="000000"/>
                    </a:solidFill>
                    <a:latin typeface="MathSoftText"/>
                    <a:ea typeface="MathSoftText"/>
                    <a:cs typeface="MathSoftText"/>
                  </a:defRPr>
                </a:pPr>
                <a:r>
                  <a:rPr lang="en-US"/>
                  <a:t>amps</a:t>
                </a:r>
              </a:p>
            </c:rich>
          </c:tx>
          <c:layout>
            <c:manualLayout>
              <c:xMode val="edge"/>
              <c:yMode val="edge"/>
              <c:x val="0.52586322715922773"/>
              <c:y val="0.83268327840938761"/>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5000"/>
          <c:min val="0"/>
        </c:scaling>
        <c:delete val="0"/>
        <c:axPos val="l"/>
        <c:majorGridlines>
          <c:spPr>
            <a:ln w="3175">
              <a:solidFill>
                <a:srgbClr val="99CC00"/>
              </a:solidFill>
              <a:prstDash val="solid"/>
            </a:ln>
          </c:spPr>
        </c:majorGridlines>
        <c:title>
          <c:tx>
            <c:rich>
              <a:bodyPr/>
              <a:lstStyle/>
              <a:p>
                <a:pPr>
                  <a:defRPr sz="80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3869157003475689E-2"/>
              <c:y val="0.26939753125009602"/>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192841520"/>
        <c:crosses val="autoZero"/>
        <c:crossBetween val="between"/>
        <c:majorUnit val="1000"/>
        <c:minorUnit val="2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24 retest Rogowski and Bdot vs Pot</a:t>
            </a:r>
          </a:p>
        </c:rich>
      </c:tx>
      <c:layout>
        <c:manualLayout>
          <c:xMode val="edge"/>
          <c:yMode val="edge"/>
          <c:x val="0.19561874139904475"/>
          <c:y val="3.8576901405916741E-2"/>
        </c:manualLayout>
      </c:layout>
      <c:overlay val="0"/>
      <c:spPr>
        <a:noFill/>
        <a:ln w="25400">
          <a:noFill/>
        </a:ln>
      </c:spPr>
    </c:title>
    <c:autoTitleDeleted val="0"/>
    <c:plotArea>
      <c:layout>
        <c:manualLayout>
          <c:layoutTarget val="inner"/>
          <c:xMode val="edge"/>
          <c:yMode val="edge"/>
          <c:x val="0.1755084034982084"/>
          <c:y val="0.25223358611560948"/>
          <c:w val="0.41866067084468456"/>
          <c:h val="0.48072754059680861"/>
        </c:manualLayout>
      </c:layout>
      <c:scatterChart>
        <c:scatterStyle val="lineMarker"/>
        <c:varyColors val="0"/>
        <c:ser>
          <c:idx val="1"/>
          <c:order val="1"/>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73311322711230775"/>
                  <c:y val="0.64097005412907804"/>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24 retest'!$A$7:$A$22</c:f>
              <c:numCache>
                <c:formatCode>General</c:formatCode>
                <c:ptCount val="16"/>
                <c:pt idx="0">
                  <c:v>0</c:v>
                </c:pt>
                <c:pt idx="1">
                  <c:v>0</c:v>
                </c:pt>
                <c:pt idx="2">
                  <c:v>1</c:v>
                </c:pt>
                <c:pt idx="3">
                  <c:v>1</c:v>
                </c:pt>
                <c:pt idx="4">
                  <c:v>1</c:v>
                </c:pt>
                <c:pt idx="5">
                  <c:v>1</c:v>
                </c:pt>
                <c:pt idx="6">
                  <c:v>2</c:v>
                </c:pt>
                <c:pt idx="7">
                  <c:v>2</c:v>
                </c:pt>
                <c:pt idx="8">
                  <c:v>3</c:v>
                </c:pt>
                <c:pt idx="9">
                  <c:v>3</c:v>
                </c:pt>
                <c:pt idx="10">
                  <c:v>3.5</c:v>
                </c:pt>
                <c:pt idx="11">
                  <c:v>3.5</c:v>
                </c:pt>
                <c:pt idx="12">
                  <c:v>4</c:v>
                </c:pt>
                <c:pt idx="13">
                  <c:v>4</c:v>
                </c:pt>
                <c:pt idx="14">
                  <c:v>4.2</c:v>
                </c:pt>
                <c:pt idx="15">
                  <c:v>4.2</c:v>
                </c:pt>
              </c:numCache>
            </c:numRef>
          </c:xVal>
          <c:yVal>
            <c:numRef>
              <c:f>'Lens 24 retest'!$D$7:$D$22</c:f>
              <c:numCache>
                <c:formatCode>0.00</c:formatCode>
                <c:ptCount val="16"/>
                <c:pt idx="0">
                  <c:v>1.92</c:v>
                </c:pt>
                <c:pt idx="1">
                  <c:v>1.92</c:v>
                </c:pt>
                <c:pt idx="2">
                  <c:v>2.2799999999999998</c:v>
                </c:pt>
                <c:pt idx="3">
                  <c:v>2.2400000000000002</c:v>
                </c:pt>
                <c:pt idx="4">
                  <c:v>2.2400000000000002</c:v>
                </c:pt>
                <c:pt idx="5">
                  <c:v>2.2400000000000002</c:v>
                </c:pt>
                <c:pt idx="6">
                  <c:v>2.64</c:v>
                </c:pt>
                <c:pt idx="7">
                  <c:v>2.64</c:v>
                </c:pt>
                <c:pt idx="8">
                  <c:v>2.96</c:v>
                </c:pt>
                <c:pt idx="9">
                  <c:v>2.96</c:v>
                </c:pt>
                <c:pt idx="10">
                  <c:v>3.12</c:v>
                </c:pt>
                <c:pt idx="11">
                  <c:v>3.12</c:v>
                </c:pt>
                <c:pt idx="12" formatCode="General">
                  <c:v>3.28</c:v>
                </c:pt>
                <c:pt idx="13" formatCode="General">
                  <c:v>3.28</c:v>
                </c:pt>
                <c:pt idx="14" formatCode="General">
                  <c:v>3.32</c:v>
                </c:pt>
                <c:pt idx="15" formatCode="General">
                  <c:v>3.32</c:v>
                </c:pt>
              </c:numCache>
            </c:numRef>
          </c:yVal>
          <c:smooth val="0"/>
          <c:extLst>
            <c:ext xmlns:c16="http://schemas.microsoft.com/office/drawing/2014/chart" uri="{C3380CC4-5D6E-409C-BE32-E72D297353CC}">
              <c16:uniqueId val="{00000001-C149-47C5-B0DB-4B2F67B35E55}"/>
            </c:ext>
          </c:extLst>
        </c:ser>
        <c:dLbls>
          <c:showLegendKey val="0"/>
          <c:showVal val="0"/>
          <c:showCatName val="0"/>
          <c:showSerName val="0"/>
          <c:showPercent val="0"/>
          <c:showBubbleSize val="0"/>
        </c:dLbls>
        <c:axId val="1838610368"/>
        <c:axId val="1"/>
      </c:scatterChart>
      <c:scatterChart>
        <c:scatterStyle val="lineMarker"/>
        <c:varyColors val="0"/>
        <c:ser>
          <c:idx val="0"/>
          <c:order val="0"/>
          <c:tx>
            <c:v>rog vs pot</c:v>
          </c:tx>
          <c:spPr>
            <a:ln w="19050">
              <a:noFill/>
            </a:ln>
          </c:spPr>
          <c:marker>
            <c:symbol val="diamond"/>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Mode val="edge"/>
                  <c:yMode val="edge"/>
                  <c:x val="0.73311322711230775"/>
                  <c:y val="0.8249521992957578"/>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24 retest'!$A$7:$A$22</c:f>
              <c:numCache>
                <c:formatCode>General</c:formatCode>
                <c:ptCount val="16"/>
                <c:pt idx="0">
                  <c:v>0</c:v>
                </c:pt>
                <c:pt idx="1">
                  <c:v>0</c:v>
                </c:pt>
                <c:pt idx="2">
                  <c:v>1</c:v>
                </c:pt>
                <c:pt idx="3">
                  <c:v>1</c:v>
                </c:pt>
                <c:pt idx="4">
                  <c:v>1</c:v>
                </c:pt>
                <c:pt idx="5">
                  <c:v>1</c:v>
                </c:pt>
                <c:pt idx="6">
                  <c:v>2</c:v>
                </c:pt>
                <c:pt idx="7">
                  <c:v>2</c:v>
                </c:pt>
                <c:pt idx="8">
                  <c:v>3</c:v>
                </c:pt>
                <c:pt idx="9">
                  <c:v>3</c:v>
                </c:pt>
                <c:pt idx="10">
                  <c:v>3.5</c:v>
                </c:pt>
                <c:pt idx="11">
                  <c:v>3.5</c:v>
                </c:pt>
                <c:pt idx="12">
                  <c:v>4</c:v>
                </c:pt>
                <c:pt idx="13">
                  <c:v>4</c:v>
                </c:pt>
                <c:pt idx="14">
                  <c:v>4.2</c:v>
                </c:pt>
                <c:pt idx="15">
                  <c:v>4.2</c:v>
                </c:pt>
              </c:numCache>
            </c:numRef>
          </c:xVal>
          <c:yVal>
            <c:numRef>
              <c:f>'Lens 24 retest'!$C$7:$C$22</c:f>
              <c:numCache>
                <c:formatCode>General</c:formatCode>
                <c:ptCount val="16"/>
                <c:pt idx="0">
                  <c:v>0.26</c:v>
                </c:pt>
                <c:pt idx="1">
                  <c:v>0.26</c:v>
                </c:pt>
                <c:pt idx="2" formatCode="0.000">
                  <c:v>0.30399999999999999</c:v>
                </c:pt>
                <c:pt idx="3" formatCode="0.000">
                  <c:v>0.30399999999999999</c:v>
                </c:pt>
                <c:pt idx="4" formatCode="0.000">
                  <c:v>0.30399999999999999</c:v>
                </c:pt>
                <c:pt idx="5" formatCode="0.000">
                  <c:v>0.30399999999999999</c:v>
                </c:pt>
                <c:pt idx="6" formatCode="0.000">
                  <c:v>0.35599999999999998</c:v>
                </c:pt>
                <c:pt idx="7" formatCode="0.000">
                  <c:v>0.35599999999999998</c:v>
                </c:pt>
                <c:pt idx="8" formatCode="0.000">
                  <c:v>0.4</c:v>
                </c:pt>
                <c:pt idx="9" formatCode="0.000">
                  <c:v>0.4</c:v>
                </c:pt>
                <c:pt idx="10" formatCode="0.000">
                  <c:v>0.42399999999999999</c:v>
                </c:pt>
                <c:pt idx="11" formatCode="0.000">
                  <c:v>0.42399999999999999</c:v>
                </c:pt>
                <c:pt idx="12" formatCode="0.000">
                  <c:v>0.44</c:v>
                </c:pt>
                <c:pt idx="13" formatCode="0.000">
                  <c:v>0.44</c:v>
                </c:pt>
                <c:pt idx="14">
                  <c:v>0.44800000000000001</c:v>
                </c:pt>
                <c:pt idx="15">
                  <c:v>0.44800000000000001</c:v>
                </c:pt>
              </c:numCache>
            </c:numRef>
          </c:yVal>
          <c:smooth val="0"/>
          <c:extLst>
            <c:ext xmlns:c16="http://schemas.microsoft.com/office/drawing/2014/chart" uri="{C3380CC4-5D6E-409C-BE32-E72D297353CC}">
              <c16:uniqueId val="{00000003-C149-47C5-B0DB-4B2F67B35E55}"/>
            </c:ext>
          </c:extLst>
        </c:ser>
        <c:dLbls>
          <c:showLegendKey val="0"/>
          <c:showVal val="0"/>
          <c:showCatName val="0"/>
          <c:showSerName val="0"/>
          <c:showPercent val="0"/>
          <c:showBubbleSize val="0"/>
        </c:dLbls>
        <c:axId val="3"/>
        <c:axId val="4"/>
      </c:scatterChart>
      <c:valAx>
        <c:axId val="1838610368"/>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1993719387694236"/>
              <c:y val="0.83682201511296306"/>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3018163556750444E-2"/>
              <c:y val="0.37983410615056479"/>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83861036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3"/>
        <c:crosses val="max"/>
        <c:crossBetween val="midCat"/>
      </c:valAx>
      <c:spPr>
        <a:noFill/>
        <a:ln w="12700">
          <a:solidFill>
            <a:srgbClr val="99CC00"/>
          </a:solidFill>
          <a:prstDash val="solid"/>
        </a:ln>
      </c:spPr>
    </c:plotArea>
    <c:legend>
      <c:legendPos val="r"/>
      <c:layout>
        <c:manualLayout>
          <c:xMode val="edge"/>
          <c:yMode val="edge"/>
          <c:x val="0.67278221340979871"/>
          <c:y val="0.19585196098388499"/>
          <c:w val="0.30713970612186464"/>
          <c:h val="0.27597321775001976"/>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24 retest Bdot vs Rogowski</a:t>
            </a:r>
          </a:p>
        </c:rich>
      </c:tx>
      <c:layout>
        <c:manualLayout>
          <c:xMode val="edge"/>
          <c:yMode val="edge"/>
          <c:x val="0.25548280414698443"/>
          <c:y val="4.1140651634129916E-2"/>
        </c:manualLayout>
      </c:layout>
      <c:overlay val="0"/>
      <c:spPr>
        <a:noFill/>
        <a:ln w="25400">
          <a:noFill/>
        </a:ln>
      </c:spPr>
    </c:title>
    <c:autoTitleDeleted val="0"/>
    <c:plotArea>
      <c:layout>
        <c:manualLayout>
          <c:layoutTarget val="inner"/>
          <c:xMode val="edge"/>
          <c:yMode val="edge"/>
          <c:x val="0.14234041945331988"/>
          <c:y val="0.23102058225319105"/>
          <c:w val="0.79747132437308699"/>
          <c:h val="0.52216980920241807"/>
        </c:manualLayout>
      </c:layout>
      <c:scatterChart>
        <c:scatterStyle val="lineMarker"/>
        <c:varyColors val="0"/>
        <c:ser>
          <c:idx val="0"/>
          <c:order val="0"/>
          <c:spPr>
            <a:ln w="19050">
              <a:noFill/>
            </a:ln>
          </c:spPr>
          <c:marker>
            <c:symbol val="diamond"/>
            <c:size val="5"/>
            <c:spPr>
              <a:solidFill>
                <a:srgbClr val="FF0000"/>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Mode val="edge"/>
                  <c:yMode val="edge"/>
                  <c:x val="0.74819964071616851"/>
                  <c:y val="2.2152658572223798E-2"/>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24 retest'!$D$7:$D$22</c:f>
              <c:numCache>
                <c:formatCode>0.00</c:formatCode>
                <c:ptCount val="16"/>
                <c:pt idx="0">
                  <c:v>1.92</c:v>
                </c:pt>
                <c:pt idx="1">
                  <c:v>1.92</c:v>
                </c:pt>
                <c:pt idx="2">
                  <c:v>2.2799999999999998</c:v>
                </c:pt>
                <c:pt idx="3">
                  <c:v>2.2400000000000002</c:v>
                </c:pt>
                <c:pt idx="4">
                  <c:v>2.2400000000000002</c:v>
                </c:pt>
                <c:pt idx="5">
                  <c:v>2.2400000000000002</c:v>
                </c:pt>
                <c:pt idx="6">
                  <c:v>2.64</c:v>
                </c:pt>
                <c:pt idx="7">
                  <c:v>2.64</c:v>
                </c:pt>
                <c:pt idx="8">
                  <c:v>2.96</c:v>
                </c:pt>
                <c:pt idx="9">
                  <c:v>2.96</c:v>
                </c:pt>
                <c:pt idx="10">
                  <c:v>3.12</c:v>
                </c:pt>
                <c:pt idx="11">
                  <c:v>3.12</c:v>
                </c:pt>
                <c:pt idx="12" formatCode="General">
                  <c:v>3.28</c:v>
                </c:pt>
                <c:pt idx="13" formatCode="General">
                  <c:v>3.28</c:v>
                </c:pt>
                <c:pt idx="14" formatCode="General">
                  <c:v>3.32</c:v>
                </c:pt>
                <c:pt idx="15" formatCode="General">
                  <c:v>3.32</c:v>
                </c:pt>
              </c:numCache>
            </c:numRef>
          </c:xVal>
          <c:yVal>
            <c:numRef>
              <c:f>'Lens 24 retest'!$C$7:$C$22</c:f>
              <c:numCache>
                <c:formatCode>General</c:formatCode>
                <c:ptCount val="16"/>
                <c:pt idx="0">
                  <c:v>0.26</c:v>
                </c:pt>
                <c:pt idx="1">
                  <c:v>0.26</c:v>
                </c:pt>
                <c:pt idx="2" formatCode="0.000">
                  <c:v>0.30399999999999999</c:v>
                </c:pt>
                <c:pt idx="3" formatCode="0.000">
                  <c:v>0.30399999999999999</c:v>
                </c:pt>
                <c:pt idx="4" formatCode="0.000">
                  <c:v>0.30399999999999999</c:v>
                </c:pt>
                <c:pt idx="5" formatCode="0.000">
                  <c:v>0.30399999999999999</c:v>
                </c:pt>
                <c:pt idx="6" formatCode="0.000">
                  <c:v>0.35599999999999998</c:v>
                </c:pt>
                <c:pt idx="7" formatCode="0.000">
                  <c:v>0.35599999999999998</c:v>
                </c:pt>
                <c:pt idx="8" formatCode="0.000">
                  <c:v>0.4</c:v>
                </c:pt>
                <c:pt idx="9" formatCode="0.000">
                  <c:v>0.4</c:v>
                </c:pt>
                <c:pt idx="10" formatCode="0.000">
                  <c:v>0.42399999999999999</c:v>
                </c:pt>
                <c:pt idx="11" formatCode="0.000">
                  <c:v>0.42399999999999999</c:v>
                </c:pt>
                <c:pt idx="12" formatCode="0.000">
                  <c:v>0.44</c:v>
                </c:pt>
                <c:pt idx="13" formatCode="0.000">
                  <c:v>0.44</c:v>
                </c:pt>
                <c:pt idx="14">
                  <c:v>0.44800000000000001</c:v>
                </c:pt>
                <c:pt idx="15">
                  <c:v>0.44800000000000001</c:v>
                </c:pt>
              </c:numCache>
            </c:numRef>
          </c:yVal>
          <c:smooth val="0"/>
          <c:extLst>
            <c:ext xmlns:c16="http://schemas.microsoft.com/office/drawing/2014/chart" uri="{C3380CC4-5D6E-409C-BE32-E72D297353CC}">
              <c16:uniqueId val="{00000001-248A-47BB-A867-8EA9B38434B3}"/>
            </c:ext>
          </c:extLst>
        </c:ser>
        <c:dLbls>
          <c:showLegendKey val="0"/>
          <c:showVal val="0"/>
          <c:showCatName val="0"/>
          <c:showSerName val="0"/>
          <c:showPercent val="0"/>
          <c:showBubbleSize val="0"/>
        </c:dLbls>
        <c:axId val="1854654848"/>
        <c:axId val="1"/>
      </c:scatterChart>
      <c:valAx>
        <c:axId val="1854654848"/>
        <c:scaling>
          <c:orientation val="minMax"/>
          <c:max val="3.5"/>
          <c:min val="1.5"/>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0.46899343332696414"/>
              <c:y val="0.86395368431672814"/>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minorUnit val="0.1"/>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Rogowski (volts)</a:t>
                </a:r>
              </a:p>
            </c:rich>
          </c:tx>
          <c:layout>
            <c:manualLayout>
              <c:xMode val="edge"/>
              <c:yMode val="edge"/>
              <c:x val="3.4672666277090737E-2"/>
              <c:y val="0.31330188552145088"/>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854654848"/>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MathSoftText"/>
                <a:ea typeface="MathSoftText"/>
                <a:cs typeface="MathSoftText"/>
              </a:defRPr>
            </a:pPr>
            <a:r>
              <a:rPr lang="en-US"/>
              <a:t>lens 27 pulse count vs peak current</a:t>
            </a:r>
          </a:p>
        </c:rich>
      </c:tx>
      <c:layout>
        <c:manualLayout>
          <c:xMode val="edge"/>
          <c:yMode val="edge"/>
          <c:x val="0.31022911932133823"/>
          <c:y val="5.494722625894316E-2"/>
        </c:manualLayout>
      </c:layout>
      <c:overlay val="0"/>
      <c:spPr>
        <a:noFill/>
        <a:ln w="25400">
          <a:noFill/>
        </a:ln>
      </c:spPr>
    </c:title>
    <c:autoTitleDeleted val="0"/>
    <c:plotArea>
      <c:layout>
        <c:manualLayout>
          <c:layoutTarget val="inner"/>
          <c:xMode val="edge"/>
          <c:yMode val="edge"/>
          <c:x val="0.1332160335909276"/>
          <c:y val="0.3077044670500817"/>
          <c:w val="0.8357937449951347"/>
          <c:h val="0.28572557654650449"/>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27'!$D$81:$D$95</c:f>
              <c:numCache>
                <c:formatCode>General</c:formatCode>
                <c:ptCount val="15"/>
                <c:pt idx="0">
                  <c:v>295863.45722298301</c:v>
                </c:pt>
                <c:pt idx="1">
                  <c:v>345611.71336491464</c:v>
                </c:pt>
                <c:pt idx="2">
                  <c:v>395359.96950684639</c:v>
                </c:pt>
                <c:pt idx="3">
                  <c:v>445108.22564877814</c:v>
                </c:pt>
                <c:pt idx="4">
                  <c:v>494856.48179070977</c:v>
                </c:pt>
                <c:pt idx="5">
                  <c:v>519730.60986167559</c:v>
                </c:pt>
                <c:pt idx="6">
                  <c:v>544604.73793264152</c:v>
                </c:pt>
                <c:pt idx="7">
                  <c:v>569478.86600360728</c:v>
                </c:pt>
                <c:pt idx="8">
                  <c:v>576941.104424897</c:v>
                </c:pt>
                <c:pt idx="9">
                  <c:v>578931.03467057436</c:v>
                </c:pt>
                <c:pt idx="10">
                  <c:v>579428.51723199361</c:v>
                </c:pt>
                <c:pt idx="11">
                  <c:v>584403.34284618672</c:v>
                </c:pt>
                <c:pt idx="12">
                  <c:v>594352.99407457304</c:v>
                </c:pt>
                <c:pt idx="13">
                  <c:v>611764.88372424932</c:v>
                </c:pt>
                <c:pt idx="14">
                  <c:v>614252.29653134581</c:v>
                </c:pt>
              </c:numCache>
            </c:numRef>
          </c:cat>
          <c:val>
            <c:numRef>
              <c:f>'Lens 27'!$A$81:$A$95</c:f>
              <c:numCache>
                <c:formatCode>General</c:formatCode>
                <c:ptCount val="15"/>
                <c:pt idx="0">
                  <c:v>2470</c:v>
                </c:pt>
                <c:pt idx="1">
                  <c:v>1626</c:v>
                </c:pt>
                <c:pt idx="2">
                  <c:v>569</c:v>
                </c:pt>
                <c:pt idx="3">
                  <c:v>640</c:v>
                </c:pt>
                <c:pt idx="4">
                  <c:v>1238</c:v>
                </c:pt>
                <c:pt idx="5">
                  <c:v>625</c:v>
                </c:pt>
                <c:pt idx="6">
                  <c:v>808</c:v>
                </c:pt>
                <c:pt idx="7">
                  <c:v>34696</c:v>
                </c:pt>
                <c:pt idx="8">
                  <c:v>9865</c:v>
                </c:pt>
                <c:pt idx="9">
                  <c:v>1687</c:v>
                </c:pt>
                <c:pt idx="10">
                  <c:v>350</c:v>
                </c:pt>
                <c:pt idx="11">
                  <c:v>45</c:v>
                </c:pt>
                <c:pt idx="12">
                  <c:v>280</c:v>
                </c:pt>
                <c:pt idx="13">
                  <c:v>14840</c:v>
                </c:pt>
                <c:pt idx="14">
                  <c:v>2211</c:v>
                </c:pt>
              </c:numCache>
            </c:numRef>
          </c:val>
          <c:extLst>
            <c:ext xmlns:c16="http://schemas.microsoft.com/office/drawing/2014/chart" uri="{C3380CC4-5D6E-409C-BE32-E72D297353CC}">
              <c16:uniqueId val="{00000000-9FB7-419D-8169-2118C2902AF3}"/>
            </c:ext>
          </c:extLst>
        </c:ser>
        <c:dLbls>
          <c:showLegendKey val="0"/>
          <c:showVal val="0"/>
          <c:showCatName val="0"/>
          <c:showSerName val="0"/>
          <c:showPercent val="0"/>
          <c:showBubbleSize val="0"/>
        </c:dLbls>
        <c:gapWidth val="150"/>
        <c:axId val="1192803120"/>
        <c:axId val="1"/>
      </c:barChart>
      <c:catAx>
        <c:axId val="1192803120"/>
        <c:scaling>
          <c:orientation val="minMax"/>
        </c:scaling>
        <c:delete val="0"/>
        <c:axPos val="b"/>
        <c:title>
          <c:tx>
            <c:rich>
              <a:bodyPr/>
              <a:lstStyle/>
              <a:p>
                <a:pPr>
                  <a:defRPr sz="525" b="0" i="0" u="none" strike="noStrike" baseline="0">
                    <a:solidFill>
                      <a:srgbClr val="000000"/>
                    </a:solidFill>
                    <a:latin typeface="MathSoftText"/>
                    <a:ea typeface="MathSoftText"/>
                    <a:cs typeface="MathSoftText"/>
                  </a:defRPr>
                </a:pPr>
                <a:r>
                  <a:rPr lang="en-US"/>
                  <a:t>amps</a:t>
                </a:r>
              </a:p>
            </c:rich>
          </c:tx>
          <c:layout>
            <c:manualLayout>
              <c:xMode val="edge"/>
              <c:yMode val="edge"/>
              <c:x val="0.52738950284627495"/>
              <c:y val="0.81321894863235888"/>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2700000" vert="horz"/>
          <a:lstStyle/>
          <a:p>
            <a:pPr>
              <a:defRPr sz="52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525"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4672666277090737E-2"/>
              <c:y val="0.24726251816524419"/>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525" b="0" i="0" u="none" strike="noStrike" baseline="0">
                <a:solidFill>
                  <a:srgbClr val="000000"/>
                </a:solidFill>
                <a:latin typeface="MathSoftText"/>
                <a:ea typeface="MathSoftText"/>
                <a:cs typeface="MathSoftText"/>
              </a:defRPr>
            </a:pPr>
            <a:endParaRPr lang="en-US"/>
          </a:p>
        </c:txPr>
        <c:crossAx val="1192803120"/>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2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00" b="0" i="0" u="none" strike="noStrike" baseline="0">
                <a:solidFill>
                  <a:srgbClr val="000000"/>
                </a:solidFill>
                <a:latin typeface="MathSoftText"/>
                <a:ea typeface="MathSoftText"/>
                <a:cs typeface="MathSoftText"/>
              </a:defRPr>
            </a:pPr>
            <a:r>
              <a:rPr lang="en-US"/>
              <a:t>lens 27 pulse count vs peak current</a:t>
            </a:r>
          </a:p>
        </c:rich>
      </c:tx>
      <c:overlay val="0"/>
      <c:spPr>
        <a:noFill/>
        <a:ln w="25400">
          <a:noFill/>
        </a:ln>
      </c:spPr>
    </c:title>
    <c:autoTitleDeleted val="0"/>
    <c:plotArea>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27'!$D$81:$D$81</c:f>
              <c:numCache>
                <c:formatCode>General</c:formatCode>
                <c:ptCount val="1"/>
                <c:pt idx="0">
                  <c:v>295863.45722298301</c:v>
                </c:pt>
              </c:numCache>
            </c:numRef>
          </c:xVal>
          <c:yVal>
            <c:numRef>
              <c:f>'Lens 27'!$A$81:$A$81</c:f>
              <c:numCache>
                <c:formatCode>General</c:formatCode>
                <c:ptCount val="1"/>
                <c:pt idx="0">
                  <c:v>2470</c:v>
                </c:pt>
              </c:numCache>
            </c:numRef>
          </c:yVal>
          <c:smooth val="0"/>
          <c:extLst>
            <c:ext xmlns:c16="http://schemas.microsoft.com/office/drawing/2014/chart" uri="{C3380CC4-5D6E-409C-BE32-E72D297353CC}">
              <c16:uniqueId val="{00000000-8C80-4943-B74F-CF81D41D5871}"/>
            </c:ext>
          </c:extLst>
        </c:ser>
        <c:dLbls>
          <c:showLegendKey val="0"/>
          <c:showVal val="0"/>
          <c:showCatName val="0"/>
          <c:showSerName val="0"/>
          <c:showPercent val="0"/>
          <c:showBubbleSize val="0"/>
        </c:dLbls>
        <c:axId val="1711439136"/>
        <c:axId val="1"/>
      </c:scatterChart>
      <c:valAx>
        <c:axId val="1711439136"/>
        <c:scaling>
          <c:orientation val="minMax"/>
          <c:max val="700000"/>
          <c:min val="200000"/>
        </c:scaling>
        <c:delete val="0"/>
        <c:axPos val="b"/>
        <c:title>
          <c:tx>
            <c:rich>
              <a:bodyPr/>
              <a:lstStyle/>
              <a:p>
                <a:pPr>
                  <a:defRPr sz="250" b="0" i="0" u="none" strike="noStrike" baseline="0">
                    <a:solidFill>
                      <a:srgbClr val="000000"/>
                    </a:solidFill>
                    <a:latin typeface="MathSoftText"/>
                    <a:ea typeface="MathSoftText"/>
                    <a:cs typeface="MathSoftText"/>
                  </a:defRPr>
                </a:pPr>
                <a:r>
                  <a:rPr lang="en-US"/>
                  <a:t>amps</a:t>
                </a:r>
              </a:p>
            </c:rich>
          </c:tx>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25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max val="40000"/>
          <c:min val="0"/>
        </c:scaling>
        <c:delete val="0"/>
        <c:axPos val="l"/>
        <c:majorGridlines>
          <c:spPr>
            <a:ln w="3175">
              <a:solidFill>
                <a:srgbClr val="99CC00"/>
              </a:solidFill>
              <a:prstDash val="solid"/>
            </a:ln>
          </c:spPr>
        </c:majorGridlines>
        <c:title>
          <c:tx>
            <c:rich>
              <a:bodyPr/>
              <a:lstStyle/>
              <a:p>
                <a:pPr>
                  <a:defRPr sz="250" b="0" i="0" u="none" strike="noStrike" baseline="0">
                    <a:solidFill>
                      <a:srgbClr val="000000"/>
                    </a:solidFill>
                    <a:latin typeface="MathSoftText"/>
                    <a:ea typeface="MathSoftText"/>
                    <a:cs typeface="MathSoftText"/>
                  </a:defRPr>
                </a:pPr>
                <a:r>
                  <a:rPr lang="en-US"/>
                  <a:t>number of pulses</a:t>
                </a:r>
              </a:p>
            </c:rich>
          </c:tx>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250" b="0" i="0" u="none" strike="noStrike" baseline="0">
                <a:solidFill>
                  <a:srgbClr val="000000"/>
                </a:solidFill>
                <a:latin typeface="MathSoftText"/>
                <a:ea typeface="MathSoftText"/>
                <a:cs typeface="MathSoftText"/>
              </a:defRPr>
            </a:pPr>
            <a:endParaRPr lang="en-US"/>
          </a:p>
        </c:txPr>
        <c:crossAx val="1711439136"/>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00" b="0" i="0" u="none" strike="noStrike" baseline="0">
                <a:solidFill>
                  <a:srgbClr val="000000"/>
                </a:solidFill>
                <a:latin typeface="MathSoftText"/>
                <a:ea typeface="MathSoftText"/>
                <a:cs typeface="MathSoftText"/>
              </a:defRPr>
            </a:pPr>
            <a:r>
              <a:rPr lang="en-US"/>
              <a:t>lens 27 pulse count vs peak current</a:t>
            </a:r>
          </a:p>
        </c:rich>
      </c:tx>
      <c:layout>
        <c:manualLayout>
          <c:xMode val="edge"/>
          <c:yMode val="edge"/>
          <c:x val="0.39892029795702788"/>
          <c:y val="7.500245738133561E-2"/>
        </c:manualLayout>
      </c:layout>
      <c:overlay val="0"/>
      <c:spPr>
        <a:noFill/>
        <a:ln w="25400">
          <a:noFill/>
        </a:ln>
      </c:spPr>
    </c:title>
    <c:autoTitleDeleted val="0"/>
    <c:plotArea>
      <c:layout>
        <c:manualLayout>
          <c:layoutTarget val="inner"/>
          <c:xMode val="edge"/>
          <c:yMode val="edge"/>
          <c:x val="9.6542355213344672E-2"/>
          <c:y val="0.35834507415527006"/>
          <c:w val="0.87252430466400177"/>
          <c:h val="0.24167458489541471"/>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27'!$D$81:$D$95</c:f>
              <c:numCache>
                <c:formatCode>General</c:formatCode>
                <c:ptCount val="15"/>
                <c:pt idx="0">
                  <c:v>295863.45722298301</c:v>
                </c:pt>
                <c:pt idx="1">
                  <c:v>345611.71336491464</c:v>
                </c:pt>
                <c:pt idx="2">
                  <c:v>395359.96950684639</c:v>
                </c:pt>
                <c:pt idx="3">
                  <c:v>445108.22564877814</c:v>
                </c:pt>
                <c:pt idx="4">
                  <c:v>494856.48179070977</c:v>
                </c:pt>
                <c:pt idx="5">
                  <c:v>519730.60986167559</c:v>
                </c:pt>
                <c:pt idx="6">
                  <c:v>544604.73793264152</c:v>
                </c:pt>
                <c:pt idx="7">
                  <c:v>569478.86600360728</c:v>
                </c:pt>
                <c:pt idx="8">
                  <c:v>576941.104424897</c:v>
                </c:pt>
                <c:pt idx="9">
                  <c:v>578931.03467057436</c:v>
                </c:pt>
                <c:pt idx="10">
                  <c:v>579428.51723199361</c:v>
                </c:pt>
                <c:pt idx="11">
                  <c:v>584403.34284618672</c:v>
                </c:pt>
                <c:pt idx="12">
                  <c:v>594352.99407457304</c:v>
                </c:pt>
                <c:pt idx="13">
                  <c:v>611764.88372424932</c:v>
                </c:pt>
                <c:pt idx="14">
                  <c:v>614252.29653134581</c:v>
                </c:pt>
              </c:numCache>
            </c:numRef>
          </c:cat>
          <c:val>
            <c:numRef>
              <c:f>'Lens 27'!$A$81:$A$95</c:f>
              <c:numCache>
                <c:formatCode>General</c:formatCode>
                <c:ptCount val="15"/>
                <c:pt idx="0">
                  <c:v>2470</c:v>
                </c:pt>
                <c:pt idx="1">
                  <c:v>1626</c:v>
                </c:pt>
                <c:pt idx="2">
                  <c:v>569</c:v>
                </c:pt>
                <c:pt idx="3">
                  <c:v>640</c:v>
                </c:pt>
                <c:pt idx="4">
                  <c:v>1238</c:v>
                </c:pt>
                <c:pt idx="5">
                  <c:v>625</c:v>
                </c:pt>
                <c:pt idx="6">
                  <c:v>808</c:v>
                </c:pt>
                <c:pt idx="7">
                  <c:v>34696</c:v>
                </c:pt>
                <c:pt idx="8">
                  <c:v>9865</c:v>
                </c:pt>
                <c:pt idx="9">
                  <c:v>1687</c:v>
                </c:pt>
                <c:pt idx="10">
                  <c:v>350</c:v>
                </c:pt>
                <c:pt idx="11">
                  <c:v>45</c:v>
                </c:pt>
                <c:pt idx="12">
                  <c:v>280</c:v>
                </c:pt>
                <c:pt idx="13">
                  <c:v>14840</c:v>
                </c:pt>
                <c:pt idx="14">
                  <c:v>2211</c:v>
                </c:pt>
              </c:numCache>
            </c:numRef>
          </c:val>
          <c:extLst>
            <c:ext xmlns:c16="http://schemas.microsoft.com/office/drawing/2014/chart" uri="{C3380CC4-5D6E-409C-BE32-E72D297353CC}">
              <c16:uniqueId val="{00000000-A85B-4CF3-BD11-17FBA38B4939}"/>
            </c:ext>
          </c:extLst>
        </c:ser>
        <c:dLbls>
          <c:showLegendKey val="0"/>
          <c:showVal val="0"/>
          <c:showCatName val="0"/>
          <c:showSerName val="0"/>
          <c:showPercent val="0"/>
          <c:showBubbleSize val="0"/>
        </c:dLbls>
        <c:gapWidth val="150"/>
        <c:axId val="1192787280"/>
        <c:axId val="1"/>
      </c:barChart>
      <c:catAx>
        <c:axId val="1192787280"/>
        <c:scaling>
          <c:orientation val="minMax"/>
        </c:scaling>
        <c:delete val="0"/>
        <c:axPos val="b"/>
        <c:title>
          <c:tx>
            <c:rich>
              <a:bodyPr/>
              <a:lstStyle/>
              <a:p>
                <a:pPr>
                  <a:defRPr sz="325" b="0" i="0" u="none" strike="noStrike" baseline="0">
                    <a:solidFill>
                      <a:srgbClr val="000000"/>
                    </a:solidFill>
                    <a:latin typeface="MathSoftText"/>
                    <a:ea typeface="MathSoftText"/>
                    <a:cs typeface="MathSoftText"/>
                  </a:defRPr>
                </a:pPr>
                <a:r>
                  <a:rPr lang="en-US"/>
                  <a:t>amps</a:t>
                </a:r>
              </a:p>
            </c:rich>
          </c:tx>
          <c:layout>
            <c:manualLayout>
              <c:xMode val="edge"/>
              <c:yMode val="edge"/>
              <c:x val="0.51914285350572131"/>
              <c:y val="0.74169096743765217"/>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32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40000"/>
          <c:min val="0"/>
        </c:scaling>
        <c:delete val="0"/>
        <c:axPos val="l"/>
        <c:majorGridlines>
          <c:spPr>
            <a:ln w="3175">
              <a:solidFill>
                <a:srgbClr val="99CC00"/>
              </a:solidFill>
              <a:prstDash val="solid"/>
            </a:ln>
          </c:spPr>
        </c:majorGridlines>
        <c:title>
          <c:tx>
            <c:rich>
              <a:bodyPr/>
              <a:lstStyle/>
              <a:p>
                <a:pPr>
                  <a:defRPr sz="325"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4609523567048092E-2"/>
              <c:y val="0.28334261677393446"/>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325" b="0" i="0" u="none" strike="noStrike" baseline="0">
                <a:solidFill>
                  <a:srgbClr val="000000"/>
                </a:solidFill>
                <a:latin typeface="MathSoftText"/>
                <a:ea typeface="MathSoftText"/>
                <a:cs typeface="MathSoftText"/>
              </a:defRPr>
            </a:pPr>
            <a:endParaRPr lang="en-US"/>
          </a:p>
        </c:txPr>
        <c:crossAx val="1192787280"/>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2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16 Rogowski and Bdot vs Pot</a:t>
            </a:r>
          </a:p>
        </c:rich>
      </c:tx>
      <c:layout>
        <c:manualLayout>
          <c:xMode val="edge"/>
          <c:yMode val="edge"/>
          <c:x val="0.24088378676715672"/>
          <c:y val="3.9635389107134669E-2"/>
        </c:manualLayout>
      </c:layout>
      <c:overlay val="0"/>
      <c:spPr>
        <a:noFill/>
        <a:ln w="25400">
          <a:noFill/>
        </a:ln>
      </c:spPr>
    </c:title>
    <c:autoTitleDeleted val="0"/>
    <c:plotArea>
      <c:layout>
        <c:manualLayout>
          <c:layoutTarget val="inner"/>
          <c:xMode val="edge"/>
          <c:yMode val="edge"/>
          <c:x val="0.18066284007536754"/>
          <c:y val="0.25305671506862898"/>
          <c:w val="0.38869883773791197"/>
          <c:h val="0.46342916494495912"/>
        </c:manualLayout>
      </c:layout>
      <c:scatterChart>
        <c:scatterStyle val="lineMarker"/>
        <c:varyColors val="0"/>
        <c:ser>
          <c:idx val="1"/>
          <c:order val="1"/>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655130904919767"/>
                  <c:y val="0.58538420835152738"/>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16'!$A$7:$A$30</c:f>
              <c:numCache>
                <c:formatCode>General</c:formatCode>
                <c:ptCount val="24"/>
                <c:pt idx="0">
                  <c:v>6.1</c:v>
                </c:pt>
                <c:pt idx="1">
                  <c:v>6.1</c:v>
                </c:pt>
                <c:pt idx="2">
                  <c:v>2.9</c:v>
                </c:pt>
                <c:pt idx="3">
                  <c:v>2.9</c:v>
                </c:pt>
                <c:pt idx="4">
                  <c:v>2.9</c:v>
                </c:pt>
                <c:pt idx="5">
                  <c:v>2.9</c:v>
                </c:pt>
                <c:pt idx="6">
                  <c:v>3.6</c:v>
                </c:pt>
                <c:pt idx="7">
                  <c:v>3.6</c:v>
                </c:pt>
                <c:pt idx="8">
                  <c:v>4.5</c:v>
                </c:pt>
                <c:pt idx="9">
                  <c:v>4.5</c:v>
                </c:pt>
                <c:pt idx="10">
                  <c:v>5.35</c:v>
                </c:pt>
                <c:pt idx="11">
                  <c:v>5.35</c:v>
                </c:pt>
                <c:pt idx="12">
                  <c:v>6.1</c:v>
                </c:pt>
                <c:pt idx="13">
                  <c:v>6.1</c:v>
                </c:pt>
                <c:pt idx="14">
                  <c:v>3.5</c:v>
                </c:pt>
                <c:pt idx="15">
                  <c:v>3.5</c:v>
                </c:pt>
                <c:pt idx="16">
                  <c:v>2.35</c:v>
                </c:pt>
                <c:pt idx="17">
                  <c:v>2.35</c:v>
                </c:pt>
                <c:pt idx="18">
                  <c:v>2</c:v>
                </c:pt>
                <c:pt idx="19">
                  <c:v>2</c:v>
                </c:pt>
                <c:pt idx="20">
                  <c:v>1.95</c:v>
                </c:pt>
                <c:pt idx="21">
                  <c:v>1.95</c:v>
                </c:pt>
                <c:pt idx="22">
                  <c:v>2.9</c:v>
                </c:pt>
                <c:pt idx="23">
                  <c:v>2.9</c:v>
                </c:pt>
              </c:numCache>
            </c:numRef>
          </c:xVal>
          <c:yVal>
            <c:numRef>
              <c:f>'Lens 16'!$D$7:$D$30</c:f>
              <c:numCache>
                <c:formatCode>0.00</c:formatCode>
                <c:ptCount val="24"/>
                <c:pt idx="0">
                  <c:v>5.6</c:v>
                </c:pt>
                <c:pt idx="1">
                  <c:v>5.6</c:v>
                </c:pt>
                <c:pt idx="2">
                  <c:v>4.0999999999999996</c:v>
                </c:pt>
                <c:pt idx="3">
                  <c:v>4.0999999999999996</c:v>
                </c:pt>
                <c:pt idx="4">
                  <c:v>4.1500000000000004</c:v>
                </c:pt>
                <c:pt idx="5">
                  <c:v>4.1500000000000004</c:v>
                </c:pt>
                <c:pt idx="6" formatCode="General">
                  <c:v>4.4800000000000004</c:v>
                </c:pt>
                <c:pt idx="7" formatCode="General">
                  <c:v>4.4800000000000004</c:v>
                </c:pt>
                <c:pt idx="8" formatCode="General">
                  <c:v>4.8499999999999996</c:v>
                </c:pt>
                <c:pt idx="9" formatCode="General">
                  <c:v>4.8499999999999996</c:v>
                </c:pt>
                <c:pt idx="10" formatCode="General">
                  <c:v>5.25</c:v>
                </c:pt>
                <c:pt idx="11" formatCode="General">
                  <c:v>5.25</c:v>
                </c:pt>
                <c:pt idx="12" formatCode="0.0">
                  <c:v>5.59</c:v>
                </c:pt>
                <c:pt idx="13" formatCode="0.0">
                  <c:v>5.59</c:v>
                </c:pt>
                <c:pt idx="14" formatCode="0.0">
                  <c:v>5.03</c:v>
                </c:pt>
                <c:pt idx="15" formatCode="0.0">
                  <c:v>5.03</c:v>
                </c:pt>
                <c:pt idx="16" formatCode="0.0">
                  <c:v>4.5999999999999996</c:v>
                </c:pt>
                <c:pt idx="17" formatCode="0.0">
                  <c:v>4.5999999999999996</c:v>
                </c:pt>
                <c:pt idx="22" formatCode="0.0">
                  <c:v>4.2</c:v>
                </c:pt>
                <c:pt idx="23" formatCode="0.0">
                  <c:v>4.2</c:v>
                </c:pt>
              </c:numCache>
            </c:numRef>
          </c:yVal>
          <c:smooth val="0"/>
          <c:extLst>
            <c:ext xmlns:c16="http://schemas.microsoft.com/office/drawing/2014/chart" uri="{C3380CC4-5D6E-409C-BE32-E72D297353CC}">
              <c16:uniqueId val="{00000001-3AD5-44A1-A930-03EF4D2EAA0E}"/>
            </c:ext>
          </c:extLst>
        </c:ser>
        <c:dLbls>
          <c:showLegendKey val="0"/>
          <c:showVal val="0"/>
          <c:showCatName val="0"/>
          <c:showSerName val="0"/>
          <c:showPercent val="0"/>
          <c:showBubbleSize val="0"/>
        </c:dLbls>
        <c:axId val="1713792848"/>
        <c:axId val="1"/>
      </c:scatterChart>
      <c:scatterChart>
        <c:scatterStyle val="lineMarker"/>
        <c:varyColors val="0"/>
        <c:ser>
          <c:idx val="0"/>
          <c:order val="0"/>
          <c:tx>
            <c:v>rog vs pot</c:v>
          </c:tx>
          <c:spPr>
            <a:ln w="19050">
              <a:noFill/>
            </a:ln>
          </c:spPr>
          <c:marker>
            <c:symbol val="diamond"/>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Mode val="edge"/>
                  <c:yMode val="edge"/>
                  <c:x val="0.67702943098950852"/>
                  <c:y val="0.81709879082400683"/>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16'!$A$7:$A$30</c:f>
              <c:numCache>
                <c:formatCode>General</c:formatCode>
                <c:ptCount val="24"/>
                <c:pt idx="0">
                  <c:v>6.1</c:v>
                </c:pt>
                <c:pt idx="1">
                  <c:v>6.1</c:v>
                </c:pt>
                <c:pt idx="2">
                  <c:v>2.9</c:v>
                </c:pt>
                <c:pt idx="3">
                  <c:v>2.9</c:v>
                </c:pt>
                <c:pt idx="4">
                  <c:v>2.9</c:v>
                </c:pt>
                <c:pt idx="5">
                  <c:v>2.9</c:v>
                </c:pt>
                <c:pt idx="6">
                  <c:v>3.6</c:v>
                </c:pt>
                <c:pt idx="7">
                  <c:v>3.6</c:v>
                </c:pt>
                <c:pt idx="8">
                  <c:v>4.5</c:v>
                </c:pt>
                <c:pt idx="9">
                  <c:v>4.5</c:v>
                </c:pt>
                <c:pt idx="10">
                  <c:v>5.35</c:v>
                </c:pt>
                <c:pt idx="11">
                  <c:v>5.35</c:v>
                </c:pt>
                <c:pt idx="12">
                  <c:v>6.1</c:v>
                </c:pt>
                <c:pt idx="13">
                  <c:v>6.1</c:v>
                </c:pt>
                <c:pt idx="14">
                  <c:v>3.5</c:v>
                </c:pt>
                <c:pt idx="15">
                  <c:v>3.5</c:v>
                </c:pt>
                <c:pt idx="16">
                  <c:v>2.35</c:v>
                </c:pt>
                <c:pt idx="17">
                  <c:v>2.35</c:v>
                </c:pt>
                <c:pt idx="18">
                  <c:v>2</c:v>
                </c:pt>
                <c:pt idx="19">
                  <c:v>2</c:v>
                </c:pt>
                <c:pt idx="20">
                  <c:v>1.95</c:v>
                </c:pt>
                <c:pt idx="21">
                  <c:v>1.95</c:v>
                </c:pt>
                <c:pt idx="22">
                  <c:v>2.9</c:v>
                </c:pt>
                <c:pt idx="23">
                  <c:v>2.9</c:v>
                </c:pt>
              </c:numCache>
            </c:numRef>
          </c:xVal>
          <c:yVal>
            <c:numRef>
              <c:f>'Lens 16'!$C$7:$C$30</c:f>
              <c:numCache>
                <c:formatCode>0.00</c:formatCode>
                <c:ptCount val="24"/>
                <c:pt idx="0">
                  <c:v>0.68</c:v>
                </c:pt>
                <c:pt idx="1">
                  <c:v>0.68</c:v>
                </c:pt>
                <c:pt idx="2">
                  <c:v>0.501</c:v>
                </c:pt>
                <c:pt idx="3">
                  <c:v>0.501</c:v>
                </c:pt>
                <c:pt idx="4">
                  <c:v>0.504</c:v>
                </c:pt>
                <c:pt idx="5">
                  <c:v>0.504</c:v>
                </c:pt>
                <c:pt idx="6">
                  <c:v>0.55000000000000004</c:v>
                </c:pt>
                <c:pt idx="7">
                  <c:v>0.55000000000000004</c:v>
                </c:pt>
                <c:pt idx="8">
                  <c:v>0.6</c:v>
                </c:pt>
                <c:pt idx="9">
                  <c:v>0.6</c:v>
                </c:pt>
                <c:pt idx="10">
                  <c:v>0.65</c:v>
                </c:pt>
                <c:pt idx="11">
                  <c:v>0.65</c:v>
                </c:pt>
                <c:pt idx="12">
                  <c:v>0.69199999999999995</c:v>
                </c:pt>
                <c:pt idx="13">
                  <c:v>0.69399999999999995</c:v>
                </c:pt>
                <c:pt idx="14">
                  <c:v>0.62</c:v>
                </c:pt>
                <c:pt idx="15">
                  <c:v>0.62</c:v>
                </c:pt>
                <c:pt idx="16">
                  <c:v>0.49</c:v>
                </c:pt>
                <c:pt idx="17">
                  <c:v>0.49</c:v>
                </c:pt>
                <c:pt idx="22">
                  <c:v>0.55000000000000004</c:v>
                </c:pt>
                <c:pt idx="23">
                  <c:v>0.55000000000000004</c:v>
                </c:pt>
              </c:numCache>
            </c:numRef>
          </c:yVal>
          <c:smooth val="0"/>
          <c:extLst>
            <c:ext xmlns:c16="http://schemas.microsoft.com/office/drawing/2014/chart" uri="{C3380CC4-5D6E-409C-BE32-E72D297353CC}">
              <c16:uniqueId val="{00000003-3AD5-44A1-A930-03EF4D2EAA0E}"/>
            </c:ext>
          </c:extLst>
        </c:ser>
        <c:dLbls>
          <c:showLegendKey val="0"/>
          <c:showVal val="0"/>
          <c:showCatName val="0"/>
          <c:showSerName val="0"/>
          <c:showPercent val="0"/>
          <c:showBubbleSize val="0"/>
        </c:dLbls>
        <c:axId val="3"/>
        <c:axId val="4"/>
      </c:scatterChart>
      <c:valAx>
        <c:axId val="1713792848"/>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1022911932133823"/>
              <c:y val="0.82319654299433531"/>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8396069519310714E-2"/>
              <c:y val="0.36891400630486876"/>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7137928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3"/>
        <c:crosses val="max"/>
        <c:crossBetween val="midCat"/>
      </c:valAx>
      <c:spPr>
        <a:noFill/>
        <a:ln w="12700">
          <a:solidFill>
            <a:srgbClr val="99CC00"/>
          </a:solidFill>
          <a:prstDash val="solid"/>
        </a:ln>
      </c:spPr>
    </c:plotArea>
    <c:legend>
      <c:legendPos val="r"/>
      <c:layout>
        <c:manualLayout>
          <c:xMode val="edge"/>
          <c:yMode val="edge"/>
          <c:x val="0.67337967664455167"/>
          <c:y val="0.18903031728018072"/>
          <c:w val="0.30657936497638127"/>
          <c:h val="0.28354547592027107"/>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50" b="0" i="0" u="none" strike="noStrike" baseline="0">
                <a:solidFill>
                  <a:srgbClr val="000000"/>
                </a:solidFill>
                <a:latin typeface="MathSoftText"/>
                <a:ea typeface="MathSoftText"/>
                <a:cs typeface="MathSoftText"/>
              </a:defRPr>
            </a:pPr>
            <a:r>
              <a:rPr lang="en-US"/>
              <a:t>lens 27 retest pulse count vs peak current</a:t>
            </a:r>
          </a:p>
        </c:rich>
      </c:tx>
      <c:layout>
        <c:manualLayout>
          <c:xMode val="edge"/>
          <c:yMode val="edge"/>
          <c:x val="0.34582191887759389"/>
          <c:y val="6.2113893036140663E-2"/>
        </c:manualLayout>
      </c:layout>
      <c:overlay val="0"/>
      <c:spPr>
        <a:noFill/>
        <a:ln w="25400">
          <a:noFill/>
        </a:ln>
      </c:spPr>
    </c:title>
    <c:autoTitleDeleted val="0"/>
    <c:plotArea>
      <c:layout>
        <c:manualLayout>
          <c:layoutTarget val="inner"/>
          <c:xMode val="edge"/>
          <c:yMode val="edge"/>
          <c:x val="0.11943334311751955"/>
          <c:y val="0.29193529726986112"/>
          <c:w val="0.81999011692625345"/>
          <c:h val="0.38510613682407213"/>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27'!$D$81:$D$95</c:f>
              <c:numCache>
                <c:formatCode>General</c:formatCode>
                <c:ptCount val="15"/>
                <c:pt idx="0">
                  <c:v>295863.45722298301</c:v>
                </c:pt>
                <c:pt idx="1">
                  <c:v>345611.71336491464</c:v>
                </c:pt>
                <c:pt idx="2">
                  <c:v>395359.96950684639</c:v>
                </c:pt>
                <c:pt idx="3">
                  <c:v>445108.22564877814</c:v>
                </c:pt>
                <c:pt idx="4">
                  <c:v>494856.48179070977</c:v>
                </c:pt>
                <c:pt idx="5">
                  <c:v>519730.60986167559</c:v>
                </c:pt>
                <c:pt idx="6">
                  <c:v>544604.73793264152</c:v>
                </c:pt>
                <c:pt idx="7">
                  <c:v>569478.86600360728</c:v>
                </c:pt>
                <c:pt idx="8">
                  <c:v>576941.104424897</c:v>
                </c:pt>
                <c:pt idx="9">
                  <c:v>578931.03467057436</c:v>
                </c:pt>
                <c:pt idx="10">
                  <c:v>579428.51723199361</c:v>
                </c:pt>
                <c:pt idx="11">
                  <c:v>584403.34284618672</c:v>
                </c:pt>
                <c:pt idx="12">
                  <c:v>594352.99407457304</c:v>
                </c:pt>
                <c:pt idx="13">
                  <c:v>611764.88372424932</c:v>
                </c:pt>
                <c:pt idx="14">
                  <c:v>614252.29653134581</c:v>
                </c:pt>
              </c:numCache>
            </c:numRef>
          </c:xVal>
          <c:yVal>
            <c:numRef>
              <c:f>'Lens 27'!$A$81:$A$95</c:f>
              <c:numCache>
                <c:formatCode>General</c:formatCode>
                <c:ptCount val="15"/>
                <c:pt idx="0">
                  <c:v>2470</c:v>
                </c:pt>
                <c:pt idx="1">
                  <c:v>1626</c:v>
                </c:pt>
                <c:pt idx="2">
                  <c:v>569</c:v>
                </c:pt>
                <c:pt idx="3">
                  <c:v>640</c:v>
                </c:pt>
                <c:pt idx="4">
                  <c:v>1238</c:v>
                </c:pt>
                <c:pt idx="5">
                  <c:v>625</c:v>
                </c:pt>
                <c:pt idx="6">
                  <c:v>808</c:v>
                </c:pt>
                <c:pt idx="7">
                  <c:v>34696</c:v>
                </c:pt>
                <c:pt idx="8">
                  <c:v>9865</c:v>
                </c:pt>
                <c:pt idx="9">
                  <c:v>1687</c:v>
                </c:pt>
                <c:pt idx="10">
                  <c:v>350</c:v>
                </c:pt>
                <c:pt idx="11">
                  <c:v>45</c:v>
                </c:pt>
                <c:pt idx="12">
                  <c:v>280</c:v>
                </c:pt>
                <c:pt idx="13">
                  <c:v>14840</c:v>
                </c:pt>
                <c:pt idx="14">
                  <c:v>2211</c:v>
                </c:pt>
              </c:numCache>
            </c:numRef>
          </c:yVal>
          <c:smooth val="0"/>
          <c:extLst>
            <c:ext xmlns:c16="http://schemas.microsoft.com/office/drawing/2014/chart" uri="{C3380CC4-5D6E-409C-BE32-E72D297353CC}">
              <c16:uniqueId val="{00000000-609E-432F-A429-074DD2606FB8}"/>
            </c:ext>
          </c:extLst>
        </c:ser>
        <c:dLbls>
          <c:showLegendKey val="0"/>
          <c:showVal val="0"/>
          <c:showCatName val="0"/>
          <c:showSerName val="0"/>
          <c:showPercent val="0"/>
          <c:showBubbleSize val="0"/>
        </c:dLbls>
        <c:axId val="1711442112"/>
        <c:axId val="1"/>
      </c:scatterChart>
      <c:valAx>
        <c:axId val="1711442112"/>
        <c:scaling>
          <c:orientation val="minMax"/>
          <c:max val="700000"/>
          <c:min val="200000"/>
        </c:scaling>
        <c:delete val="0"/>
        <c:axPos val="b"/>
        <c:title>
          <c:tx>
            <c:rich>
              <a:bodyPr/>
              <a:lstStyle/>
              <a:p>
                <a:pPr>
                  <a:defRPr sz="450" b="0" i="0" u="none" strike="noStrike" baseline="0">
                    <a:solidFill>
                      <a:srgbClr val="000000"/>
                    </a:solidFill>
                    <a:latin typeface="MathSoftText"/>
                    <a:ea typeface="MathSoftText"/>
                    <a:cs typeface="MathSoftText"/>
                  </a:defRPr>
                </a:pPr>
                <a:r>
                  <a:rPr lang="en-US"/>
                  <a:t>amps</a:t>
                </a:r>
              </a:p>
            </c:rich>
          </c:tx>
          <c:layout>
            <c:manualLayout>
              <c:xMode val="edge"/>
              <c:yMode val="edge"/>
              <c:x val="0.50981994226284455"/>
              <c:y val="0.7950578308626004"/>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45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max val="40000"/>
          <c:min val="0"/>
        </c:scaling>
        <c:delete val="0"/>
        <c:axPos val="l"/>
        <c:majorGridlines>
          <c:spPr>
            <a:ln w="3175">
              <a:solidFill>
                <a:srgbClr val="99CC00"/>
              </a:solidFill>
              <a:prstDash val="solid"/>
            </a:ln>
          </c:spPr>
        </c:majorGridlines>
        <c:title>
          <c:tx>
            <c:rich>
              <a:bodyPr/>
              <a:lstStyle/>
              <a:p>
                <a:pPr>
                  <a:defRPr sz="45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3869157003475689E-2"/>
              <c:y val="0.28572390796624703"/>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450" b="0" i="0" u="none" strike="noStrike" baseline="0">
                <a:solidFill>
                  <a:srgbClr val="000000"/>
                </a:solidFill>
                <a:latin typeface="MathSoftText"/>
                <a:ea typeface="MathSoftText"/>
                <a:cs typeface="MathSoftText"/>
              </a:defRPr>
            </a:pPr>
            <a:endParaRPr lang="en-US"/>
          </a:p>
        </c:txPr>
        <c:crossAx val="1711442112"/>
        <c:crosses val="autoZero"/>
        <c:crossBetween val="midCat"/>
        <c:majorUnit val="5000"/>
        <c:minorUnit val="1000"/>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5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27 Rogowski and Bdot vs Pot</a:t>
            </a:r>
          </a:p>
        </c:rich>
      </c:tx>
      <c:layout>
        <c:manualLayout>
          <c:xMode val="edge"/>
          <c:yMode val="edge"/>
          <c:x val="0.24088378676715672"/>
          <c:y val="4.1140651634129916E-2"/>
        </c:manualLayout>
      </c:layout>
      <c:overlay val="0"/>
      <c:spPr>
        <a:noFill/>
        <a:ln w="25400">
          <a:noFill/>
        </a:ln>
      </c:spPr>
    </c:title>
    <c:autoTitleDeleted val="0"/>
    <c:plotArea>
      <c:layout>
        <c:manualLayout>
          <c:layoutTarget val="inner"/>
          <c:xMode val="edge"/>
          <c:yMode val="edge"/>
          <c:x val="0.17518820855793218"/>
          <c:y val="0.26266723735636788"/>
          <c:w val="0.41972174967004577"/>
          <c:h val="0.45887649899606436"/>
        </c:manualLayout>
      </c:layout>
      <c:scatterChart>
        <c:scatterStyle val="lineMarker"/>
        <c:varyColors val="0"/>
        <c:ser>
          <c:idx val="1"/>
          <c:order val="1"/>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72447623747394851"/>
                  <c:y val="0.57913378838813645"/>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27'!$A$7:$A$75</c:f>
              <c:numCache>
                <c:formatCode>General</c:formatCode>
                <c:ptCount val="69"/>
                <c:pt idx="0">
                  <c:v>0</c:v>
                </c:pt>
                <c:pt idx="1">
                  <c:v>0</c:v>
                </c:pt>
                <c:pt idx="2">
                  <c:v>1</c:v>
                </c:pt>
                <c:pt idx="3">
                  <c:v>1</c:v>
                </c:pt>
                <c:pt idx="4">
                  <c:v>2</c:v>
                </c:pt>
                <c:pt idx="5">
                  <c:v>2</c:v>
                </c:pt>
                <c:pt idx="6">
                  <c:v>4</c:v>
                </c:pt>
                <c:pt idx="7">
                  <c:v>4</c:v>
                </c:pt>
                <c:pt idx="8">
                  <c:v>4</c:v>
                </c:pt>
                <c:pt idx="9">
                  <c:v>4.5</c:v>
                </c:pt>
                <c:pt idx="10">
                  <c:v>4.5</c:v>
                </c:pt>
                <c:pt idx="11">
                  <c:v>5.8</c:v>
                </c:pt>
                <c:pt idx="12">
                  <c:v>5.8</c:v>
                </c:pt>
                <c:pt idx="13">
                  <c:v>0</c:v>
                </c:pt>
                <c:pt idx="14">
                  <c:v>0</c:v>
                </c:pt>
                <c:pt idx="15">
                  <c:v>1</c:v>
                </c:pt>
                <c:pt idx="16">
                  <c:v>1</c:v>
                </c:pt>
                <c:pt idx="17">
                  <c:v>2</c:v>
                </c:pt>
                <c:pt idx="18">
                  <c:v>3</c:v>
                </c:pt>
                <c:pt idx="19">
                  <c:v>3</c:v>
                </c:pt>
                <c:pt idx="20">
                  <c:v>4</c:v>
                </c:pt>
                <c:pt idx="21">
                  <c:v>4</c:v>
                </c:pt>
                <c:pt idx="22">
                  <c:v>5</c:v>
                </c:pt>
                <c:pt idx="23">
                  <c:v>5</c:v>
                </c:pt>
                <c:pt idx="24">
                  <c:v>5.7</c:v>
                </c:pt>
                <c:pt idx="25">
                  <c:v>5.7</c:v>
                </c:pt>
                <c:pt idx="26">
                  <c:v>5.5</c:v>
                </c:pt>
                <c:pt idx="27">
                  <c:v>5.5</c:v>
                </c:pt>
                <c:pt idx="28">
                  <c:v>0</c:v>
                </c:pt>
                <c:pt idx="29">
                  <c:v>0</c:v>
                </c:pt>
                <c:pt idx="30">
                  <c:v>1</c:v>
                </c:pt>
                <c:pt idx="31">
                  <c:v>1</c:v>
                </c:pt>
                <c:pt idx="32">
                  <c:v>2</c:v>
                </c:pt>
                <c:pt idx="33">
                  <c:v>2</c:v>
                </c:pt>
                <c:pt idx="34">
                  <c:v>3</c:v>
                </c:pt>
                <c:pt idx="35">
                  <c:v>4</c:v>
                </c:pt>
                <c:pt idx="36">
                  <c:v>4</c:v>
                </c:pt>
                <c:pt idx="37">
                  <c:v>5</c:v>
                </c:pt>
                <c:pt idx="38">
                  <c:v>5</c:v>
                </c:pt>
                <c:pt idx="39">
                  <c:v>5.5</c:v>
                </c:pt>
                <c:pt idx="40">
                  <c:v>5.5</c:v>
                </c:pt>
                <c:pt idx="41">
                  <c:v>0</c:v>
                </c:pt>
                <c:pt idx="42">
                  <c:v>0</c:v>
                </c:pt>
                <c:pt idx="43">
                  <c:v>5.5</c:v>
                </c:pt>
                <c:pt idx="44">
                  <c:v>5.5</c:v>
                </c:pt>
                <c:pt idx="45">
                  <c:v>5.65</c:v>
                </c:pt>
                <c:pt idx="46">
                  <c:v>5.65</c:v>
                </c:pt>
                <c:pt idx="47">
                  <c:v>5.69</c:v>
                </c:pt>
                <c:pt idx="48">
                  <c:v>5.69</c:v>
                </c:pt>
                <c:pt idx="49">
                  <c:v>5.65</c:v>
                </c:pt>
                <c:pt idx="50">
                  <c:v>5.65</c:v>
                </c:pt>
                <c:pt idx="51">
                  <c:v>0</c:v>
                </c:pt>
                <c:pt idx="52">
                  <c:v>0</c:v>
                </c:pt>
                <c:pt idx="53">
                  <c:v>1</c:v>
                </c:pt>
                <c:pt idx="54">
                  <c:v>1</c:v>
                </c:pt>
                <c:pt idx="55">
                  <c:v>2</c:v>
                </c:pt>
                <c:pt idx="56">
                  <c:v>2</c:v>
                </c:pt>
                <c:pt idx="57">
                  <c:v>3</c:v>
                </c:pt>
                <c:pt idx="58">
                  <c:v>3</c:v>
                </c:pt>
                <c:pt idx="59">
                  <c:v>4</c:v>
                </c:pt>
                <c:pt idx="60">
                  <c:v>4</c:v>
                </c:pt>
                <c:pt idx="61">
                  <c:v>5</c:v>
                </c:pt>
                <c:pt idx="62">
                  <c:v>5</c:v>
                </c:pt>
                <c:pt idx="63">
                  <c:v>6</c:v>
                </c:pt>
                <c:pt idx="64">
                  <c:v>6</c:v>
                </c:pt>
                <c:pt idx="65">
                  <c:v>6.4</c:v>
                </c:pt>
                <c:pt idx="66">
                  <c:v>6.4</c:v>
                </c:pt>
                <c:pt idx="67">
                  <c:v>6.35</c:v>
                </c:pt>
                <c:pt idx="68">
                  <c:v>6.35</c:v>
                </c:pt>
              </c:numCache>
            </c:numRef>
          </c:xVal>
          <c:yVal>
            <c:numRef>
              <c:f>'Lens 27'!$D$7:$D$75</c:f>
              <c:numCache>
                <c:formatCode>0.00</c:formatCode>
                <c:ptCount val="69"/>
                <c:pt idx="0">
                  <c:v>2.2400000000000002</c:v>
                </c:pt>
                <c:pt idx="1">
                  <c:v>2.2400000000000002</c:v>
                </c:pt>
                <c:pt idx="2">
                  <c:v>2.64</c:v>
                </c:pt>
                <c:pt idx="3">
                  <c:v>2.64</c:v>
                </c:pt>
                <c:pt idx="4">
                  <c:v>3.04</c:v>
                </c:pt>
                <c:pt idx="5">
                  <c:v>3.04</c:v>
                </c:pt>
                <c:pt idx="6">
                  <c:v>3.8</c:v>
                </c:pt>
                <c:pt idx="7">
                  <c:v>3.8</c:v>
                </c:pt>
                <c:pt idx="8">
                  <c:v>3.8</c:v>
                </c:pt>
                <c:pt idx="9">
                  <c:v>4.04</c:v>
                </c:pt>
                <c:pt idx="10">
                  <c:v>4.04</c:v>
                </c:pt>
                <c:pt idx="11">
                  <c:v>4.5199999999999996</c:v>
                </c:pt>
                <c:pt idx="12">
                  <c:v>4.5199999999999996</c:v>
                </c:pt>
                <c:pt idx="13">
                  <c:v>2.2000000000000002</c:v>
                </c:pt>
                <c:pt idx="14">
                  <c:v>2.2000000000000002</c:v>
                </c:pt>
                <c:pt idx="15">
                  <c:v>2.68</c:v>
                </c:pt>
                <c:pt idx="16">
                  <c:v>2.68</c:v>
                </c:pt>
                <c:pt idx="17" formatCode="General">
                  <c:v>3.08</c:v>
                </c:pt>
                <c:pt idx="18" formatCode="General">
                  <c:v>3.44</c:v>
                </c:pt>
                <c:pt idx="19" formatCode="General">
                  <c:v>3.44</c:v>
                </c:pt>
                <c:pt idx="20" formatCode="General">
                  <c:v>3.88</c:v>
                </c:pt>
                <c:pt idx="21" formatCode="General">
                  <c:v>3.88</c:v>
                </c:pt>
                <c:pt idx="22" formatCode="General">
                  <c:v>4.24</c:v>
                </c:pt>
                <c:pt idx="23" formatCode="General">
                  <c:v>4.24</c:v>
                </c:pt>
                <c:pt idx="24" formatCode="General">
                  <c:v>4.4800000000000004</c:v>
                </c:pt>
                <c:pt idx="25" formatCode="General">
                  <c:v>4.4800000000000004</c:v>
                </c:pt>
                <c:pt idx="26" formatCode="General">
                  <c:v>4.4000000000000004</c:v>
                </c:pt>
                <c:pt idx="27" formatCode="General">
                  <c:v>4.4000000000000004</c:v>
                </c:pt>
                <c:pt idx="35" formatCode="General">
                  <c:v>3.84</c:v>
                </c:pt>
                <c:pt idx="36" formatCode="General">
                  <c:v>3.84</c:v>
                </c:pt>
                <c:pt idx="37" formatCode="General">
                  <c:v>4.16</c:v>
                </c:pt>
                <c:pt idx="38" formatCode="General">
                  <c:v>4.16</c:v>
                </c:pt>
                <c:pt idx="39" formatCode="General">
                  <c:v>4.28</c:v>
                </c:pt>
                <c:pt idx="40" formatCode="General">
                  <c:v>4.28</c:v>
                </c:pt>
                <c:pt idx="41" formatCode="General">
                  <c:v>2.2799999999999998</c:v>
                </c:pt>
                <c:pt idx="42" formatCode="General">
                  <c:v>2.2799999999999998</c:v>
                </c:pt>
                <c:pt idx="43" formatCode="General">
                  <c:v>4.32</c:v>
                </c:pt>
                <c:pt idx="44" formatCode="General">
                  <c:v>4.28</c:v>
                </c:pt>
                <c:pt idx="45" formatCode="General">
                  <c:v>4.4000000000000004</c:v>
                </c:pt>
                <c:pt idx="46" formatCode="General">
                  <c:v>4.4000000000000004</c:v>
                </c:pt>
                <c:pt idx="47" formatCode="General">
                  <c:v>4.4000000000000004</c:v>
                </c:pt>
                <c:pt idx="48" formatCode="General">
                  <c:v>4.4000000000000004</c:v>
                </c:pt>
                <c:pt idx="49" formatCode="General">
                  <c:v>4.4000000000000004</c:v>
                </c:pt>
                <c:pt idx="50" formatCode="General">
                  <c:v>4.4000000000000004</c:v>
                </c:pt>
                <c:pt idx="51" formatCode="General">
                  <c:v>2.2400000000000002</c:v>
                </c:pt>
                <c:pt idx="52" formatCode="General">
                  <c:v>2.2400000000000002</c:v>
                </c:pt>
                <c:pt idx="53" formatCode="General">
                  <c:v>2.64</c:v>
                </c:pt>
                <c:pt idx="54" formatCode="General">
                  <c:v>2.64</c:v>
                </c:pt>
                <c:pt idx="55" formatCode="General">
                  <c:v>3.08</c:v>
                </c:pt>
                <c:pt idx="56" formatCode="General">
                  <c:v>3.08</c:v>
                </c:pt>
                <c:pt idx="57" formatCode="General">
                  <c:v>3.52</c:v>
                </c:pt>
                <c:pt idx="58" formatCode="General">
                  <c:v>3.52</c:v>
                </c:pt>
                <c:pt idx="59" formatCode="General">
                  <c:v>3.8</c:v>
                </c:pt>
                <c:pt idx="60" formatCode="General">
                  <c:v>3.8</c:v>
                </c:pt>
                <c:pt idx="61" formatCode="General">
                  <c:v>4.28</c:v>
                </c:pt>
                <c:pt idx="62" formatCode="General">
                  <c:v>4.28</c:v>
                </c:pt>
                <c:pt idx="63" formatCode="General">
                  <c:v>4.6399999999999997</c:v>
                </c:pt>
                <c:pt idx="64" formatCode="General">
                  <c:v>4.6399999999999997</c:v>
                </c:pt>
                <c:pt idx="65" formatCode="General">
                  <c:v>4.76</c:v>
                </c:pt>
                <c:pt idx="66" formatCode="General">
                  <c:v>4.76</c:v>
                </c:pt>
                <c:pt idx="67" formatCode="General">
                  <c:v>4.76</c:v>
                </c:pt>
                <c:pt idx="68" formatCode="General">
                  <c:v>4.72</c:v>
                </c:pt>
              </c:numCache>
            </c:numRef>
          </c:yVal>
          <c:smooth val="0"/>
          <c:extLst>
            <c:ext xmlns:c16="http://schemas.microsoft.com/office/drawing/2014/chart" uri="{C3380CC4-5D6E-409C-BE32-E72D297353CC}">
              <c16:uniqueId val="{00000001-57CE-42E3-8D18-13DCFF2F449A}"/>
            </c:ext>
          </c:extLst>
        </c:ser>
        <c:dLbls>
          <c:showLegendKey val="0"/>
          <c:showVal val="0"/>
          <c:showCatName val="0"/>
          <c:showSerName val="0"/>
          <c:showPercent val="0"/>
          <c:showBubbleSize val="0"/>
        </c:dLbls>
        <c:axId val="1711431200"/>
        <c:axId val="1"/>
      </c:scatterChart>
      <c:scatterChart>
        <c:scatterStyle val="lineMarker"/>
        <c:varyColors val="0"/>
        <c:ser>
          <c:idx val="0"/>
          <c:order val="0"/>
          <c:tx>
            <c:v>rog vs pot</c:v>
          </c:tx>
          <c:spPr>
            <a:ln w="19050">
              <a:noFill/>
            </a:ln>
          </c:spPr>
          <c:marker>
            <c:symbol val="diamond"/>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Mode val="edge"/>
                  <c:yMode val="edge"/>
                  <c:x val="0.71900160595651319"/>
                  <c:y val="0.80382503962069196"/>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27'!$A$7:$A$75</c:f>
              <c:numCache>
                <c:formatCode>General</c:formatCode>
                <c:ptCount val="69"/>
                <c:pt idx="0">
                  <c:v>0</c:v>
                </c:pt>
                <c:pt idx="1">
                  <c:v>0</c:v>
                </c:pt>
                <c:pt idx="2">
                  <c:v>1</c:v>
                </c:pt>
                <c:pt idx="3">
                  <c:v>1</c:v>
                </c:pt>
                <c:pt idx="4">
                  <c:v>2</c:v>
                </c:pt>
                <c:pt idx="5">
                  <c:v>2</c:v>
                </c:pt>
                <c:pt idx="6">
                  <c:v>4</c:v>
                </c:pt>
                <c:pt idx="7">
                  <c:v>4</c:v>
                </c:pt>
                <c:pt idx="8">
                  <c:v>4</c:v>
                </c:pt>
                <c:pt idx="9">
                  <c:v>4.5</c:v>
                </c:pt>
                <c:pt idx="10">
                  <c:v>4.5</c:v>
                </c:pt>
                <c:pt idx="11">
                  <c:v>5.8</c:v>
                </c:pt>
                <c:pt idx="12">
                  <c:v>5.8</c:v>
                </c:pt>
                <c:pt idx="13">
                  <c:v>0</c:v>
                </c:pt>
                <c:pt idx="14">
                  <c:v>0</c:v>
                </c:pt>
                <c:pt idx="15">
                  <c:v>1</c:v>
                </c:pt>
                <c:pt idx="16">
                  <c:v>1</c:v>
                </c:pt>
                <c:pt idx="17">
                  <c:v>2</c:v>
                </c:pt>
                <c:pt idx="18">
                  <c:v>3</c:v>
                </c:pt>
                <c:pt idx="19">
                  <c:v>3</c:v>
                </c:pt>
                <c:pt idx="20">
                  <c:v>4</c:v>
                </c:pt>
                <c:pt idx="21">
                  <c:v>4</c:v>
                </c:pt>
                <c:pt idx="22">
                  <c:v>5</c:v>
                </c:pt>
                <c:pt idx="23">
                  <c:v>5</c:v>
                </c:pt>
                <c:pt idx="24">
                  <c:v>5.7</c:v>
                </c:pt>
                <c:pt idx="25">
                  <c:v>5.7</c:v>
                </c:pt>
                <c:pt idx="26">
                  <c:v>5.5</c:v>
                </c:pt>
                <c:pt idx="27">
                  <c:v>5.5</c:v>
                </c:pt>
                <c:pt idx="28">
                  <c:v>0</c:v>
                </c:pt>
                <c:pt idx="29">
                  <c:v>0</c:v>
                </c:pt>
                <c:pt idx="30">
                  <c:v>1</c:v>
                </c:pt>
                <c:pt idx="31">
                  <c:v>1</c:v>
                </c:pt>
                <c:pt idx="32">
                  <c:v>2</c:v>
                </c:pt>
                <c:pt idx="33">
                  <c:v>2</c:v>
                </c:pt>
                <c:pt idx="34">
                  <c:v>3</c:v>
                </c:pt>
                <c:pt idx="35">
                  <c:v>4</c:v>
                </c:pt>
                <c:pt idx="36">
                  <c:v>4</c:v>
                </c:pt>
                <c:pt idx="37">
                  <c:v>5</c:v>
                </c:pt>
                <c:pt idx="38">
                  <c:v>5</c:v>
                </c:pt>
                <c:pt idx="39">
                  <c:v>5.5</c:v>
                </c:pt>
                <c:pt idx="40">
                  <c:v>5.5</c:v>
                </c:pt>
                <c:pt idx="41">
                  <c:v>0</c:v>
                </c:pt>
                <c:pt idx="42">
                  <c:v>0</c:v>
                </c:pt>
                <c:pt idx="43">
                  <c:v>5.5</c:v>
                </c:pt>
                <c:pt idx="44">
                  <c:v>5.5</c:v>
                </c:pt>
                <c:pt idx="45">
                  <c:v>5.65</c:v>
                </c:pt>
                <c:pt idx="46">
                  <c:v>5.65</c:v>
                </c:pt>
                <c:pt idx="47">
                  <c:v>5.69</c:v>
                </c:pt>
                <c:pt idx="48">
                  <c:v>5.69</c:v>
                </c:pt>
                <c:pt idx="49">
                  <c:v>5.65</c:v>
                </c:pt>
                <c:pt idx="50">
                  <c:v>5.65</c:v>
                </c:pt>
                <c:pt idx="51">
                  <c:v>0</c:v>
                </c:pt>
                <c:pt idx="52">
                  <c:v>0</c:v>
                </c:pt>
                <c:pt idx="53">
                  <c:v>1</c:v>
                </c:pt>
                <c:pt idx="54">
                  <c:v>1</c:v>
                </c:pt>
                <c:pt idx="55">
                  <c:v>2</c:v>
                </c:pt>
                <c:pt idx="56">
                  <c:v>2</c:v>
                </c:pt>
                <c:pt idx="57">
                  <c:v>3</c:v>
                </c:pt>
                <c:pt idx="58">
                  <c:v>3</c:v>
                </c:pt>
                <c:pt idx="59">
                  <c:v>4</c:v>
                </c:pt>
                <c:pt idx="60">
                  <c:v>4</c:v>
                </c:pt>
                <c:pt idx="61">
                  <c:v>5</c:v>
                </c:pt>
                <c:pt idx="62">
                  <c:v>5</c:v>
                </c:pt>
                <c:pt idx="63">
                  <c:v>6</c:v>
                </c:pt>
                <c:pt idx="64">
                  <c:v>6</c:v>
                </c:pt>
                <c:pt idx="65">
                  <c:v>6.4</c:v>
                </c:pt>
                <c:pt idx="66">
                  <c:v>6.4</c:v>
                </c:pt>
                <c:pt idx="67">
                  <c:v>6.35</c:v>
                </c:pt>
                <c:pt idx="68">
                  <c:v>6.35</c:v>
                </c:pt>
              </c:numCache>
            </c:numRef>
          </c:xVal>
          <c:yVal>
            <c:numRef>
              <c:f>'Lens 27'!$C$7:$C$75</c:f>
              <c:numCache>
                <c:formatCode>General</c:formatCode>
                <c:ptCount val="69"/>
                <c:pt idx="0">
                  <c:v>0.29199999999999998</c:v>
                </c:pt>
                <c:pt idx="1">
                  <c:v>0.29199999999999998</c:v>
                </c:pt>
                <c:pt idx="2" formatCode="0.000">
                  <c:v>0.34399999999999997</c:v>
                </c:pt>
                <c:pt idx="3" formatCode="0.000">
                  <c:v>0.34399999999999997</c:v>
                </c:pt>
                <c:pt idx="4" formatCode="0.000">
                  <c:v>0.4</c:v>
                </c:pt>
                <c:pt idx="5" formatCode="0.000">
                  <c:v>0.4</c:v>
                </c:pt>
                <c:pt idx="6" formatCode="0.000">
                  <c:v>0.504</c:v>
                </c:pt>
                <c:pt idx="7" formatCode="0.000">
                  <c:v>0.504</c:v>
                </c:pt>
                <c:pt idx="8" formatCode="0.000">
                  <c:v>0.504</c:v>
                </c:pt>
                <c:pt idx="9" formatCode="0.000">
                  <c:v>0.52</c:v>
                </c:pt>
                <c:pt idx="10" formatCode="0.000">
                  <c:v>0.58399999999999996</c:v>
                </c:pt>
                <c:pt idx="11" formatCode="0.000">
                  <c:v>0.58399999999999996</c:v>
                </c:pt>
                <c:pt idx="12" formatCode="0.000">
                  <c:v>0.58399999999999996</c:v>
                </c:pt>
                <c:pt idx="13" formatCode="0.000">
                  <c:v>0.29599999999999999</c:v>
                </c:pt>
                <c:pt idx="14" formatCode="0.000">
                  <c:v>0.29599999999999999</c:v>
                </c:pt>
                <c:pt idx="15" formatCode="0.000">
                  <c:v>0.33600000000000002</c:v>
                </c:pt>
                <c:pt idx="16" formatCode="0.000">
                  <c:v>0.33600000000000002</c:v>
                </c:pt>
                <c:pt idx="17" formatCode="0.000">
                  <c:v>0.40799999999999997</c:v>
                </c:pt>
                <c:pt idx="18">
                  <c:v>0.45600000000000002</c:v>
                </c:pt>
                <c:pt idx="19">
                  <c:v>0.45600000000000002</c:v>
                </c:pt>
                <c:pt idx="20">
                  <c:v>0.504</c:v>
                </c:pt>
                <c:pt idx="21">
                  <c:v>0.504</c:v>
                </c:pt>
                <c:pt idx="22">
                  <c:v>0.56000000000000005</c:v>
                </c:pt>
                <c:pt idx="23">
                  <c:v>0.56000000000000005</c:v>
                </c:pt>
                <c:pt idx="24">
                  <c:v>0.59199999999999997</c:v>
                </c:pt>
                <c:pt idx="25">
                  <c:v>0.59199999999999997</c:v>
                </c:pt>
                <c:pt idx="26">
                  <c:v>0.58399999999999996</c:v>
                </c:pt>
                <c:pt idx="27">
                  <c:v>0.57599999999999996</c:v>
                </c:pt>
                <c:pt idx="35">
                  <c:v>0.50800000000000001</c:v>
                </c:pt>
                <c:pt idx="36">
                  <c:v>0.50800000000000001</c:v>
                </c:pt>
                <c:pt idx="37">
                  <c:v>0.55200000000000005</c:v>
                </c:pt>
                <c:pt idx="38">
                  <c:v>0.55200000000000005</c:v>
                </c:pt>
                <c:pt idx="39">
                  <c:v>0.57599999999999996</c:v>
                </c:pt>
                <c:pt idx="40">
                  <c:v>0.57199999999999995</c:v>
                </c:pt>
                <c:pt idx="41">
                  <c:v>0.29199999999999998</c:v>
                </c:pt>
                <c:pt idx="42">
                  <c:v>0.29199999999999998</c:v>
                </c:pt>
                <c:pt idx="43">
                  <c:v>0.57999999999999996</c:v>
                </c:pt>
                <c:pt idx="44">
                  <c:v>0.57199999999999995</c:v>
                </c:pt>
                <c:pt idx="45">
                  <c:v>0.57999999999999996</c:v>
                </c:pt>
                <c:pt idx="46">
                  <c:v>0.57999999999999996</c:v>
                </c:pt>
                <c:pt idx="47">
                  <c:v>0.57999999999999996</c:v>
                </c:pt>
                <c:pt idx="48">
                  <c:v>0.57999999999999996</c:v>
                </c:pt>
                <c:pt idx="49">
                  <c:v>0.57999999999999996</c:v>
                </c:pt>
                <c:pt idx="50">
                  <c:v>0.57999999999999996</c:v>
                </c:pt>
                <c:pt idx="51">
                  <c:v>0.29599999999999999</c:v>
                </c:pt>
                <c:pt idx="52">
                  <c:v>0.29599999999999999</c:v>
                </c:pt>
                <c:pt idx="53">
                  <c:v>0.35199999999999998</c:v>
                </c:pt>
                <c:pt idx="54">
                  <c:v>0.35199999999999998</c:v>
                </c:pt>
                <c:pt idx="55">
                  <c:v>0.40400000000000003</c:v>
                </c:pt>
                <c:pt idx="56">
                  <c:v>0.40400000000000003</c:v>
                </c:pt>
                <c:pt idx="57">
                  <c:v>0.45600000000000002</c:v>
                </c:pt>
                <c:pt idx="58">
                  <c:v>0.45600000000000002</c:v>
                </c:pt>
                <c:pt idx="59">
                  <c:v>0.504</c:v>
                </c:pt>
                <c:pt idx="60">
                  <c:v>0.504</c:v>
                </c:pt>
                <c:pt idx="61">
                  <c:v>0.55600000000000005</c:v>
                </c:pt>
                <c:pt idx="62">
                  <c:v>0.55600000000000005</c:v>
                </c:pt>
                <c:pt idx="63">
                  <c:v>0.60399999999999998</c:v>
                </c:pt>
                <c:pt idx="64">
                  <c:v>0.60399999999999998</c:v>
                </c:pt>
                <c:pt idx="65">
                  <c:v>0.628</c:v>
                </c:pt>
                <c:pt idx="66">
                  <c:v>0.628</c:v>
                </c:pt>
                <c:pt idx="67">
                  <c:v>0.62</c:v>
                </c:pt>
                <c:pt idx="68">
                  <c:v>0.62</c:v>
                </c:pt>
              </c:numCache>
            </c:numRef>
          </c:yVal>
          <c:smooth val="0"/>
          <c:extLst>
            <c:ext xmlns:c16="http://schemas.microsoft.com/office/drawing/2014/chart" uri="{C3380CC4-5D6E-409C-BE32-E72D297353CC}">
              <c16:uniqueId val="{00000003-57CE-42E3-8D18-13DCFF2F449A}"/>
            </c:ext>
          </c:extLst>
        </c:ser>
        <c:dLbls>
          <c:showLegendKey val="0"/>
          <c:showVal val="0"/>
          <c:showCatName val="0"/>
          <c:showSerName val="0"/>
          <c:showPercent val="0"/>
          <c:showBubbleSize val="0"/>
        </c:dLbls>
        <c:axId val="3"/>
        <c:axId val="4"/>
      </c:scatterChart>
      <c:valAx>
        <c:axId val="1711431200"/>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2117838235620899"/>
              <c:y val="0.83230702921355115"/>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2921438001875334E-2"/>
              <c:y val="0.37026586470716921"/>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711431200"/>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3"/>
        <c:crosses val="max"/>
        <c:crossBetween val="midCat"/>
      </c:valAx>
      <c:spPr>
        <a:noFill/>
        <a:ln w="12700">
          <a:solidFill>
            <a:srgbClr val="99CC00"/>
          </a:solidFill>
          <a:prstDash val="solid"/>
        </a:ln>
      </c:spPr>
    </c:plotArea>
    <c:legend>
      <c:legendPos val="r"/>
      <c:layout>
        <c:manualLayout>
          <c:xMode val="edge"/>
          <c:yMode val="edge"/>
          <c:x val="0.67337967664455167"/>
          <c:y val="0.19304459612937883"/>
          <c:w val="0.30657936497638127"/>
          <c:h val="0.29431389245954476"/>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27 Bdot vs Rogowski</a:t>
            </a:r>
          </a:p>
        </c:rich>
      </c:tx>
      <c:layout>
        <c:manualLayout>
          <c:xMode val="edge"/>
          <c:yMode val="edge"/>
          <c:x val="0.30110473345894589"/>
          <c:y val="4.1271226051092146E-2"/>
        </c:manualLayout>
      </c:layout>
      <c:overlay val="0"/>
      <c:spPr>
        <a:noFill/>
        <a:ln w="25400">
          <a:noFill/>
        </a:ln>
      </c:spPr>
    </c:title>
    <c:autoTitleDeleted val="0"/>
    <c:plotArea>
      <c:layout>
        <c:manualLayout>
          <c:layoutTarget val="inner"/>
          <c:xMode val="edge"/>
          <c:yMode val="edge"/>
          <c:x val="0.14234041945331988"/>
          <c:y val="0.23175380782536359"/>
          <c:w val="0.79747132437308699"/>
          <c:h val="0.52065239018300857"/>
        </c:manualLayout>
      </c:layout>
      <c:scatterChart>
        <c:scatterStyle val="lineMarker"/>
        <c:varyColors val="0"/>
        <c:ser>
          <c:idx val="0"/>
          <c:order val="0"/>
          <c:spPr>
            <a:ln w="19050">
              <a:noFill/>
            </a:ln>
          </c:spPr>
          <c:marker>
            <c:symbol val="diamond"/>
            <c:size val="5"/>
            <c:spPr>
              <a:solidFill>
                <a:srgbClr val="FF0000"/>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Mode val="edge"/>
                  <c:yMode val="edge"/>
                  <c:x val="0.74090013202625471"/>
                  <c:y val="2.2222967873665001E-2"/>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27'!$D$7:$D$75</c:f>
              <c:numCache>
                <c:formatCode>0.00</c:formatCode>
                <c:ptCount val="69"/>
                <c:pt idx="0">
                  <c:v>2.2400000000000002</c:v>
                </c:pt>
                <c:pt idx="1">
                  <c:v>2.2400000000000002</c:v>
                </c:pt>
                <c:pt idx="2">
                  <c:v>2.64</c:v>
                </c:pt>
                <c:pt idx="3">
                  <c:v>2.64</c:v>
                </c:pt>
                <c:pt idx="4">
                  <c:v>3.04</c:v>
                </c:pt>
                <c:pt idx="5">
                  <c:v>3.04</c:v>
                </c:pt>
                <c:pt idx="6">
                  <c:v>3.8</c:v>
                </c:pt>
                <c:pt idx="7">
                  <c:v>3.8</c:v>
                </c:pt>
                <c:pt idx="8">
                  <c:v>3.8</c:v>
                </c:pt>
                <c:pt idx="9">
                  <c:v>4.04</c:v>
                </c:pt>
                <c:pt idx="10">
                  <c:v>4.04</c:v>
                </c:pt>
                <c:pt idx="11">
                  <c:v>4.5199999999999996</c:v>
                </c:pt>
                <c:pt idx="12">
                  <c:v>4.5199999999999996</c:v>
                </c:pt>
                <c:pt idx="13">
                  <c:v>2.2000000000000002</c:v>
                </c:pt>
                <c:pt idx="14">
                  <c:v>2.2000000000000002</c:v>
                </c:pt>
                <c:pt idx="15">
                  <c:v>2.68</c:v>
                </c:pt>
                <c:pt idx="16">
                  <c:v>2.68</c:v>
                </c:pt>
                <c:pt idx="17" formatCode="General">
                  <c:v>3.08</c:v>
                </c:pt>
                <c:pt idx="18" formatCode="General">
                  <c:v>3.44</c:v>
                </c:pt>
                <c:pt idx="19" formatCode="General">
                  <c:v>3.44</c:v>
                </c:pt>
                <c:pt idx="20" formatCode="General">
                  <c:v>3.88</c:v>
                </c:pt>
                <c:pt idx="21" formatCode="General">
                  <c:v>3.88</c:v>
                </c:pt>
                <c:pt idx="22" formatCode="General">
                  <c:v>4.24</c:v>
                </c:pt>
                <c:pt idx="23" formatCode="General">
                  <c:v>4.24</c:v>
                </c:pt>
                <c:pt idx="24" formatCode="General">
                  <c:v>4.4800000000000004</c:v>
                </c:pt>
                <c:pt idx="25" formatCode="General">
                  <c:v>4.4800000000000004</c:v>
                </c:pt>
                <c:pt idx="26" formatCode="General">
                  <c:v>4.4000000000000004</c:v>
                </c:pt>
                <c:pt idx="27" formatCode="General">
                  <c:v>4.4000000000000004</c:v>
                </c:pt>
                <c:pt idx="35" formatCode="General">
                  <c:v>3.84</c:v>
                </c:pt>
                <c:pt idx="36" formatCode="General">
                  <c:v>3.84</c:v>
                </c:pt>
                <c:pt idx="37" formatCode="General">
                  <c:v>4.16</c:v>
                </c:pt>
                <c:pt idx="38" formatCode="General">
                  <c:v>4.16</c:v>
                </c:pt>
                <c:pt idx="39" formatCode="General">
                  <c:v>4.28</c:v>
                </c:pt>
                <c:pt idx="40" formatCode="General">
                  <c:v>4.28</c:v>
                </c:pt>
                <c:pt idx="41" formatCode="General">
                  <c:v>2.2799999999999998</c:v>
                </c:pt>
                <c:pt idx="42" formatCode="General">
                  <c:v>2.2799999999999998</c:v>
                </c:pt>
                <c:pt idx="43" formatCode="General">
                  <c:v>4.32</c:v>
                </c:pt>
                <c:pt idx="44" formatCode="General">
                  <c:v>4.28</c:v>
                </c:pt>
                <c:pt idx="45" formatCode="General">
                  <c:v>4.4000000000000004</c:v>
                </c:pt>
                <c:pt idx="46" formatCode="General">
                  <c:v>4.4000000000000004</c:v>
                </c:pt>
                <c:pt idx="47" formatCode="General">
                  <c:v>4.4000000000000004</c:v>
                </c:pt>
                <c:pt idx="48" formatCode="General">
                  <c:v>4.4000000000000004</c:v>
                </c:pt>
                <c:pt idx="49" formatCode="General">
                  <c:v>4.4000000000000004</c:v>
                </c:pt>
                <c:pt idx="50" formatCode="General">
                  <c:v>4.4000000000000004</c:v>
                </c:pt>
                <c:pt idx="51" formatCode="General">
                  <c:v>2.2400000000000002</c:v>
                </c:pt>
                <c:pt idx="52" formatCode="General">
                  <c:v>2.2400000000000002</c:v>
                </c:pt>
                <c:pt idx="53" formatCode="General">
                  <c:v>2.64</c:v>
                </c:pt>
                <c:pt idx="54" formatCode="General">
                  <c:v>2.64</c:v>
                </c:pt>
                <c:pt idx="55" formatCode="General">
                  <c:v>3.08</c:v>
                </c:pt>
                <c:pt idx="56" formatCode="General">
                  <c:v>3.08</c:v>
                </c:pt>
                <c:pt idx="57" formatCode="General">
                  <c:v>3.52</c:v>
                </c:pt>
                <c:pt idx="58" formatCode="General">
                  <c:v>3.52</c:v>
                </c:pt>
                <c:pt idx="59" formatCode="General">
                  <c:v>3.8</c:v>
                </c:pt>
                <c:pt idx="60" formatCode="General">
                  <c:v>3.8</c:v>
                </c:pt>
                <c:pt idx="61" formatCode="General">
                  <c:v>4.28</c:v>
                </c:pt>
                <c:pt idx="62" formatCode="General">
                  <c:v>4.28</c:v>
                </c:pt>
                <c:pt idx="63" formatCode="General">
                  <c:v>4.6399999999999997</c:v>
                </c:pt>
                <c:pt idx="64" formatCode="General">
                  <c:v>4.6399999999999997</c:v>
                </c:pt>
                <c:pt idx="65" formatCode="General">
                  <c:v>4.76</c:v>
                </c:pt>
                <c:pt idx="66" formatCode="General">
                  <c:v>4.76</c:v>
                </c:pt>
                <c:pt idx="67" formatCode="General">
                  <c:v>4.76</c:v>
                </c:pt>
                <c:pt idx="68" formatCode="General">
                  <c:v>4.72</c:v>
                </c:pt>
              </c:numCache>
            </c:numRef>
          </c:xVal>
          <c:yVal>
            <c:numRef>
              <c:f>'Lens 27'!$C$7:$C$75</c:f>
              <c:numCache>
                <c:formatCode>General</c:formatCode>
                <c:ptCount val="69"/>
                <c:pt idx="0">
                  <c:v>0.29199999999999998</c:v>
                </c:pt>
                <c:pt idx="1">
                  <c:v>0.29199999999999998</c:v>
                </c:pt>
                <c:pt idx="2" formatCode="0.000">
                  <c:v>0.34399999999999997</c:v>
                </c:pt>
                <c:pt idx="3" formatCode="0.000">
                  <c:v>0.34399999999999997</c:v>
                </c:pt>
                <c:pt idx="4" formatCode="0.000">
                  <c:v>0.4</c:v>
                </c:pt>
                <c:pt idx="5" formatCode="0.000">
                  <c:v>0.4</c:v>
                </c:pt>
                <c:pt idx="6" formatCode="0.000">
                  <c:v>0.504</c:v>
                </c:pt>
                <c:pt idx="7" formatCode="0.000">
                  <c:v>0.504</c:v>
                </c:pt>
                <c:pt idx="8" formatCode="0.000">
                  <c:v>0.504</c:v>
                </c:pt>
                <c:pt idx="9" formatCode="0.000">
                  <c:v>0.52</c:v>
                </c:pt>
                <c:pt idx="10" formatCode="0.000">
                  <c:v>0.58399999999999996</c:v>
                </c:pt>
                <c:pt idx="11" formatCode="0.000">
                  <c:v>0.58399999999999996</c:v>
                </c:pt>
                <c:pt idx="12" formatCode="0.000">
                  <c:v>0.58399999999999996</c:v>
                </c:pt>
                <c:pt idx="13" formatCode="0.000">
                  <c:v>0.29599999999999999</c:v>
                </c:pt>
                <c:pt idx="14" formatCode="0.000">
                  <c:v>0.29599999999999999</c:v>
                </c:pt>
                <c:pt idx="15" formatCode="0.000">
                  <c:v>0.33600000000000002</c:v>
                </c:pt>
                <c:pt idx="16" formatCode="0.000">
                  <c:v>0.33600000000000002</c:v>
                </c:pt>
                <c:pt idx="17" formatCode="0.000">
                  <c:v>0.40799999999999997</c:v>
                </c:pt>
                <c:pt idx="18">
                  <c:v>0.45600000000000002</c:v>
                </c:pt>
                <c:pt idx="19">
                  <c:v>0.45600000000000002</c:v>
                </c:pt>
                <c:pt idx="20">
                  <c:v>0.504</c:v>
                </c:pt>
                <c:pt idx="21">
                  <c:v>0.504</c:v>
                </c:pt>
                <c:pt idx="22">
                  <c:v>0.56000000000000005</c:v>
                </c:pt>
                <c:pt idx="23">
                  <c:v>0.56000000000000005</c:v>
                </c:pt>
                <c:pt idx="24">
                  <c:v>0.59199999999999997</c:v>
                </c:pt>
                <c:pt idx="25">
                  <c:v>0.59199999999999997</c:v>
                </c:pt>
                <c:pt idx="26">
                  <c:v>0.58399999999999996</c:v>
                </c:pt>
                <c:pt idx="27">
                  <c:v>0.57599999999999996</c:v>
                </c:pt>
                <c:pt idx="35">
                  <c:v>0.50800000000000001</c:v>
                </c:pt>
                <c:pt idx="36">
                  <c:v>0.50800000000000001</c:v>
                </c:pt>
                <c:pt idx="37">
                  <c:v>0.55200000000000005</c:v>
                </c:pt>
                <c:pt idx="38">
                  <c:v>0.55200000000000005</c:v>
                </c:pt>
                <c:pt idx="39">
                  <c:v>0.57599999999999996</c:v>
                </c:pt>
                <c:pt idx="40">
                  <c:v>0.57199999999999995</c:v>
                </c:pt>
                <c:pt idx="41">
                  <c:v>0.29199999999999998</c:v>
                </c:pt>
                <c:pt idx="42">
                  <c:v>0.29199999999999998</c:v>
                </c:pt>
                <c:pt idx="43">
                  <c:v>0.57999999999999996</c:v>
                </c:pt>
                <c:pt idx="44">
                  <c:v>0.57199999999999995</c:v>
                </c:pt>
                <c:pt idx="45">
                  <c:v>0.57999999999999996</c:v>
                </c:pt>
                <c:pt idx="46">
                  <c:v>0.57999999999999996</c:v>
                </c:pt>
                <c:pt idx="47">
                  <c:v>0.57999999999999996</c:v>
                </c:pt>
                <c:pt idx="48">
                  <c:v>0.57999999999999996</c:v>
                </c:pt>
                <c:pt idx="49">
                  <c:v>0.57999999999999996</c:v>
                </c:pt>
                <c:pt idx="50">
                  <c:v>0.57999999999999996</c:v>
                </c:pt>
                <c:pt idx="51">
                  <c:v>0.29599999999999999</c:v>
                </c:pt>
                <c:pt idx="52">
                  <c:v>0.29599999999999999</c:v>
                </c:pt>
                <c:pt idx="53">
                  <c:v>0.35199999999999998</c:v>
                </c:pt>
                <c:pt idx="54">
                  <c:v>0.35199999999999998</c:v>
                </c:pt>
                <c:pt idx="55">
                  <c:v>0.40400000000000003</c:v>
                </c:pt>
                <c:pt idx="56">
                  <c:v>0.40400000000000003</c:v>
                </c:pt>
                <c:pt idx="57">
                  <c:v>0.45600000000000002</c:v>
                </c:pt>
                <c:pt idx="58">
                  <c:v>0.45600000000000002</c:v>
                </c:pt>
                <c:pt idx="59">
                  <c:v>0.504</c:v>
                </c:pt>
                <c:pt idx="60">
                  <c:v>0.504</c:v>
                </c:pt>
                <c:pt idx="61">
                  <c:v>0.55600000000000005</c:v>
                </c:pt>
                <c:pt idx="62">
                  <c:v>0.55600000000000005</c:v>
                </c:pt>
                <c:pt idx="63">
                  <c:v>0.60399999999999998</c:v>
                </c:pt>
                <c:pt idx="64">
                  <c:v>0.60399999999999998</c:v>
                </c:pt>
                <c:pt idx="65">
                  <c:v>0.628</c:v>
                </c:pt>
                <c:pt idx="66">
                  <c:v>0.628</c:v>
                </c:pt>
                <c:pt idx="67">
                  <c:v>0.62</c:v>
                </c:pt>
                <c:pt idx="68">
                  <c:v>0.62</c:v>
                </c:pt>
              </c:numCache>
            </c:numRef>
          </c:yVal>
          <c:smooth val="0"/>
          <c:extLst>
            <c:ext xmlns:c16="http://schemas.microsoft.com/office/drawing/2014/chart" uri="{C3380CC4-5D6E-409C-BE32-E72D297353CC}">
              <c16:uniqueId val="{00000001-ECA6-4A67-B9E2-8A08C690D70D}"/>
            </c:ext>
          </c:extLst>
        </c:ser>
        <c:dLbls>
          <c:showLegendKey val="0"/>
          <c:showVal val="0"/>
          <c:showCatName val="0"/>
          <c:showSerName val="0"/>
          <c:showPercent val="0"/>
          <c:showBubbleSize val="0"/>
        </c:dLbls>
        <c:axId val="1711437648"/>
        <c:axId val="1"/>
      </c:scatterChart>
      <c:valAx>
        <c:axId val="1711437648"/>
        <c:scaling>
          <c:orientation val="minMax"/>
          <c:max val="5"/>
          <c:min val="2"/>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0.46899343332696414"/>
              <c:y val="0.86352103737669705"/>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minorUnit val="0.1"/>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Rogowski (volts)</a:t>
                </a:r>
              </a:p>
            </c:rich>
          </c:tx>
          <c:layout>
            <c:manualLayout>
              <c:xMode val="edge"/>
              <c:yMode val="edge"/>
              <c:x val="3.4672666277090737E-2"/>
              <c:y val="0.31429625992754789"/>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711437648"/>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500" b="0" i="0" u="none" strike="noStrike" baseline="0">
                <a:solidFill>
                  <a:srgbClr val="000000"/>
                </a:solidFill>
                <a:latin typeface="MathSoftText"/>
                <a:ea typeface="MathSoftText"/>
                <a:cs typeface="MathSoftText"/>
              </a:defRPr>
            </a:pPr>
            <a:r>
              <a:rPr lang="en-US"/>
              <a:t>lens 28 pulse count vs peak current</a:t>
            </a:r>
          </a:p>
        </c:rich>
      </c:tx>
      <c:layout>
        <c:manualLayout>
          <c:xMode val="edge"/>
          <c:yMode val="edge"/>
          <c:x val="0.38392463265233084"/>
          <c:y val="6.8029727158261666E-2"/>
        </c:manualLayout>
      </c:layout>
      <c:overlay val="0"/>
      <c:spPr>
        <a:noFill/>
        <a:ln w="25400">
          <a:noFill/>
        </a:ln>
      </c:spPr>
    </c:title>
    <c:autoTitleDeleted val="0"/>
    <c:plotArea>
      <c:layout>
        <c:manualLayout>
          <c:layoutTarget val="inner"/>
          <c:xMode val="edge"/>
          <c:yMode val="edge"/>
          <c:x val="0.11517738979569926"/>
          <c:y val="0.30613377221217747"/>
          <c:w val="0.85377525451732617"/>
          <c:h val="0.34014863579130833"/>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28'!$D$46:$D$56</c:f>
              <c:numCache>
                <c:formatCode>General</c:formatCode>
                <c:ptCount val="11"/>
                <c:pt idx="0">
                  <c:v>295850.8868571535</c:v>
                </c:pt>
                <c:pt idx="1">
                  <c:v>345597.02934238361</c:v>
                </c:pt>
                <c:pt idx="2">
                  <c:v>395343.1718276139</c:v>
                </c:pt>
                <c:pt idx="3">
                  <c:v>445089.31431284407</c:v>
                </c:pt>
                <c:pt idx="4">
                  <c:v>494835.45679807424</c:v>
                </c:pt>
                <c:pt idx="5">
                  <c:v>544581.59928330453</c:v>
                </c:pt>
                <c:pt idx="6">
                  <c:v>558510.51917916897</c:v>
                </c:pt>
                <c:pt idx="7">
                  <c:v>559505.44202887348</c:v>
                </c:pt>
                <c:pt idx="8">
                  <c:v>569454.67052591953</c:v>
                </c:pt>
                <c:pt idx="9">
                  <c:v>584378.51327148848</c:v>
                </c:pt>
                <c:pt idx="10">
                  <c:v>589353.12752001162</c:v>
                </c:pt>
              </c:numCache>
            </c:numRef>
          </c:cat>
          <c:val>
            <c:numRef>
              <c:f>'Lens 28'!$A$46:$A$56</c:f>
              <c:numCache>
                <c:formatCode>General</c:formatCode>
                <c:ptCount val="11"/>
                <c:pt idx="0">
                  <c:v>500</c:v>
                </c:pt>
                <c:pt idx="1">
                  <c:v>427</c:v>
                </c:pt>
                <c:pt idx="2">
                  <c:v>248</c:v>
                </c:pt>
                <c:pt idx="3">
                  <c:v>420</c:v>
                </c:pt>
                <c:pt idx="4">
                  <c:v>318</c:v>
                </c:pt>
                <c:pt idx="5">
                  <c:v>284</c:v>
                </c:pt>
                <c:pt idx="6">
                  <c:v>8506</c:v>
                </c:pt>
                <c:pt idx="7">
                  <c:v>13294</c:v>
                </c:pt>
                <c:pt idx="8">
                  <c:v>29653</c:v>
                </c:pt>
                <c:pt idx="9">
                  <c:v>722</c:v>
                </c:pt>
                <c:pt idx="10">
                  <c:v>797</c:v>
                </c:pt>
              </c:numCache>
            </c:numRef>
          </c:val>
          <c:extLst>
            <c:ext xmlns:c16="http://schemas.microsoft.com/office/drawing/2014/chart" uri="{C3380CC4-5D6E-409C-BE32-E72D297353CC}">
              <c16:uniqueId val="{00000000-95CC-41AA-850B-E99B17739F6A}"/>
            </c:ext>
          </c:extLst>
        </c:ser>
        <c:dLbls>
          <c:showLegendKey val="0"/>
          <c:showVal val="0"/>
          <c:showCatName val="0"/>
          <c:showSerName val="0"/>
          <c:showPercent val="0"/>
          <c:showBubbleSize val="0"/>
        </c:dLbls>
        <c:gapWidth val="150"/>
        <c:axId val="1192781040"/>
        <c:axId val="1"/>
      </c:barChart>
      <c:catAx>
        <c:axId val="1192781040"/>
        <c:scaling>
          <c:orientation val="minMax"/>
        </c:scaling>
        <c:delete val="0"/>
        <c:axPos val="b"/>
        <c:title>
          <c:tx>
            <c:rich>
              <a:bodyPr/>
              <a:lstStyle/>
              <a:p>
                <a:pPr>
                  <a:defRPr sz="400" b="0" i="0" u="none" strike="noStrike" baseline="0">
                    <a:solidFill>
                      <a:srgbClr val="000000"/>
                    </a:solidFill>
                    <a:latin typeface="MathSoftText"/>
                    <a:ea typeface="MathSoftText"/>
                    <a:cs typeface="MathSoftText"/>
                  </a:defRPr>
                </a:pPr>
                <a:r>
                  <a:rPr lang="en-US"/>
                  <a:t>amps</a:t>
                </a:r>
              </a:p>
            </c:rich>
          </c:tx>
          <c:layout>
            <c:manualLayout>
              <c:xMode val="edge"/>
              <c:yMode val="edge"/>
              <c:x val="0.52469699795818547"/>
              <c:y val="0.77553888960418316"/>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4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40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4736038192353741E-2"/>
              <c:y val="0.285724854064699"/>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400" b="0" i="0" u="none" strike="noStrike" baseline="0">
                <a:solidFill>
                  <a:srgbClr val="000000"/>
                </a:solidFill>
                <a:latin typeface="MathSoftText"/>
                <a:ea typeface="MathSoftText"/>
                <a:cs typeface="MathSoftText"/>
              </a:defRPr>
            </a:pPr>
            <a:endParaRPr lang="en-US"/>
          </a:p>
        </c:txPr>
        <c:crossAx val="1192781040"/>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0" i="0" u="none" strike="noStrike" baseline="0">
                <a:solidFill>
                  <a:srgbClr val="000000"/>
                </a:solidFill>
                <a:latin typeface="MathSoftText"/>
                <a:ea typeface="MathSoftText"/>
                <a:cs typeface="MathSoftText"/>
              </a:defRPr>
            </a:pPr>
            <a:r>
              <a:rPr lang="en-US"/>
              <a:t>lens 28 pulse count vs peak current</a:t>
            </a:r>
          </a:p>
        </c:rich>
      </c:tx>
      <c:layout>
        <c:manualLayout>
          <c:xMode val="edge"/>
          <c:yMode val="edge"/>
          <c:x val="0.30463495820089531"/>
          <c:y val="4.3167040868258934E-2"/>
        </c:manualLayout>
      </c:layout>
      <c:overlay val="0"/>
      <c:spPr>
        <a:noFill/>
        <a:ln w="25400">
          <a:noFill/>
        </a:ln>
      </c:spPr>
    </c:title>
    <c:autoTitleDeleted val="0"/>
    <c:plotArea>
      <c:layout>
        <c:manualLayout>
          <c:layoutTarget val="inner"/>
          <c:xMode val="edge"/>
          <c:yMode val="edge"/>
          <c:x val="0.14195032083706641"/>
          <c:y val="0.23741872477542417"/>
          <c:w val="0.79428381771751766"/>
          <c:h val="0.50361547679635421"/>
        </c:manualLayout>
      </c:layout>
      <c:scatterChart>
        <c:scatterStyle val="lineMarker"/>
        <c:varyColors val="0"/>
        <c:ser>
          <c:idx val="0"/>
          <c:order val="0"/>
          <c:spPr>
            <a:ln w="19050">
              <a:noFill/>
            </a:ln>
          </c:spPr>
          <c:marker>
            <c:symbol val="diamond"/>
            <c:size val="5"/>
            <c:spPr>
              <a:solidFill>
                <a:srgbClr val="000080"/>
              </a:solidFill>
              <a:ln>
                <a:solidFill>
                  <a:srgbClr val="000080"/>
                </a:solidFill>
                <a:prstDash val="solid"/>
              </a:ln>
            </c:spPr>
          </c:marker>
          <c:xVal>
            <c:numRef>
              <c:f>'Lens 28'!$D$46:$D$56</c:f>
              <c:numCache>
                <c:formatCode>General</c:formatCode>
                <c:ptCount val="11"/>
                <c:pt idx="0">
                  <c:v>295850.8868571535</c:v>
                </c:pt>
                <c:pt idx="1">
                  <c:v>345597.02934238361</c:v>
                </c:pt>
                <c:pt idx="2">
                  <c:v>395343.1718276139</c:v>
                </c:pt>
                <c:pt idx="3">
                  <c:v>445089.31431284407</c:v>
                </c:pt>
                <c:pt idx="4">
                  <c:v>494835.45679807424</c:v>
                </c:pt>
                <c:pt idx="5">
                  <c:v>544581.59928330453</c:v>
                </c:pt>
                <c:pt idx="6">
                  <c:v>558510.51917916897</c:v>
                </c:pt>
                <c:pt idx="7">
                  <c:v>559505.44202887348</c:v>
                </c:pt>
                <c:pt idx="8">
                  <c:v>569454.67052591953</c:v>
                </c:pt>
                <c:pt idx="9">
                  <c:v>584378.51327148848</c:v>
                </c:pt>
                <c:pt idx="10">
                  <c:v>589353.12752001162</c:v>
                </c:pt>
              </c:numCache>
            </c:numRef>
          </c:xVal>
          <c:yVal>
            <c:numRef>
              <c:f>'Lens 28'!$A$46:$A$56</c:f>
              <c:numCache>
                <c:formatCode>General</c:formatCode>
                <c:ptCount val="11"/>
                <c:pt idx="0">
                  <c:v>500</c:v>
                </c:pt>
                <c:pt idx="1">
                  <c:v>427</c:v>
                </c:pt>
                <c:pt idx="2">
                  <c:v>248</c:v>
                </c:pt>
                <c:pt idx="3">
                  <c:v>420</c:v>
                </c:pt>
                <c:pt idx="4">
                  <c:v>318</c:v>
                </c:pt>
                <c:pt idx="5">
                  <c:v>284</c:v>
                </c:pt>
                <c:pt idx="6">
                  <c:v>8506</c:v>
                </c:pt>
                <c:pt idx="7">
                  <c:v>13294</c:v>
                </c:pt>
                <c:pt idx="8">
                  <c:v>29653</c:v>
                </c:pt>
                <c:pt idx="9">
                  <c:v>722</c:v>
                </c:pt>
                <c:pt idx="10">
                  <c:v>797</c:v>
                </c:pt>
              </c:numCache>
            </c:numRef>
          </c:yVal>
          <c:smooth val="0"/>
          <c:extLst>
            <c:ext xmlns:c16="http://schemas.microsoft.com/office/drawing/2014/chart" uri="{C3380CC4-5D6E-409C-BE32-E72D297353CC}">
              <c16:uniqueId val="{00000000-63E4-4C1C-8587-34E5C8A275D8}"/>
            </c:ext>
          </c:extLst>
        </c:ser>
        <c:dLbls>
          <c:showLegendKey val="0"/>
          <c:showVal val="0"/>
          <c:showCatName val="0"/>
          <c:showSerName val="0"/>
          <c:showPercent val="0"/>
          <c:showBubbleSize val="0"/>
        </c:dLbls>
        <c:axId val="1711435168"/>
        <c:axId val="1"/>
      </c:scatterChart>
      <c:valAx>
        <c:axId val="1711435168"/>
        <c:scaling>
          <c:orientation val="minMax"/>
          <c:max val="700000"/>
          <c:min val="200000"/>
        </c:scaling>
        <c:delete val="0"/>
        <c:axPos val="b"/>
        <c:title>
          <c:tx>
            <c:rich>
              <a:bodyPr/>
              <a:lstStyle/>
              <a:p>
                <a:pPr>
                  <a:defRPr sz="800" b="0" i="0" u="none" strike="noStrike" baseline="0">
                    <a:solidFill>
                      <a:srgbClr val="000000"/>
                    </a:solidFill>
                    <a:latin typeface="MathSoftText"/>
                    <a:ea typeface="MathSoftText"/>
                    <a:cs typeface="MathSoftText"/>
                  </a:defRPr>
                </a:pPr>
                <a:r>
                  <a:rPr lang="en-US"/>
                  <a:t>amps</a:t>
                </a:r>
              </a:p>
            </c:rich>
          </c:tx>
          <c:layout>
            <c:manualLayout>
              <c:xMode val="edge"/>
              <c:yMode val="edge"/>
              <c:x val="0.51038317604338479"/>
              <c:y val="0.85254905714811391"/>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max val="40000"/>
          <c:min val="0"/>
        </c:scaling>
        <c:delete val="0"/>
        <c:axPos val="l"/>
        <c:majorGridlines>
          <c:spPr>
            <a:ln w="3175">
              <a:solidFill>
                <a:srgbClr val="99CC00"/>
              </a:solidFill>
              <a:prstDash val="solid"/>
            </a:ln>
          </c:spPr>
        </c:majorGridlines>
        <c:title>
          <c:tx>
            <c:rich>
              <a:bodyPr/>
              <a:lstStyle/>
              <a:p>
                <a:pPr>
                  <a:defRPr sz="80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0304001077575974E-2"/>
              <c:y val="0.30576653948350085"/>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800" b="0" i="0" u="none" strike="noStrike" baseline="0">
                <a:solidFill>
                  <a:srgbClr val="000000"/>
                </a:solidFill>
                <a:latin typeface="MathSoftText"/>
                <a:ea typeface="MathSoftText"/>
                <a:cs typeface="MathSoftText"/>
              </a:defRPr>
            </a:pPr>
            <a:endParaRPr lang="en-US"/>
          </a:p>
        </c:txPr>
        <c:crossAx val="1711435168"/>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50" b="0" i="0" u="none" strike="noStrike" baseline="0">
                <a:solidFill>
                  <a:srgbClr val="000000"/>
                </a:solidFill>
                <a:latin typeface="MathSoftText"/>
                <a:ea typeface="MathSoftText"/>
                <a:cs typeface="MathSoftText"/>
              </a:defRPr>
            </a:pPr>
            <a:r>
              <a:rPr lang="en-US"/>
              <a:t>lens 28 pulse count vs peak current</a:t>
            </a:r>
          </a:p>
        </c:rich>
      </c:tx>
      <c:layout>
        <c:manualLayout>
          <c:xMode val="edge"/>
          <c:yMode val="edge"/>
          <c:x val="0.41789687249756735"/>
          <c:y val="8.1821900844159204E-2"/>
        </c:manualLayout>
      </c:layout>
      <c:overlay val="0"/>
      <c:spPr>
        <a:noFill/>
        <a:ln w="25400">
          <a:noFill/>
        </a:ln>
      </c:spPr>
    </c:title>
    <c:autoTitleDeleted val="0"/>
    <c:plotArea>
      <c:layout>
        <c:manualLayout>
          <c:layoutTarget val="inner"/>
          <c:xMode val="edge"/>
          <c:yMode val="edge"/>
          <c:x val="9.6718490141358374E-2"/>
          <c:y val="0.37274421495672522"/>
          <c:w val="0.87229128844470383"/>
          <c:h val="0.19091776863637144"/>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'Lens 28'!$D$46:$D$56</c:f>
              <c:numCache>
                <c:formatCode>General</c:formatCode>
                <c:ptCount val="11"/>
                <c:pt idx="0">
                  <c:v>295850.8868571535</c:v>
                </c:pt>
                <c:pt idx="1">
                  <c:v>345597.02934238361</c:v>
                </c:pt>
                <c:pt idx="2">
                  <c:v>395343.1718276139</c:v>
                </c:pt>
                <c:pt idx="3">
                  <c:v>445089.31431284407</c:v>
                </c:pt>
                <c:pt idx="4">
                  <c:v>494835.45679807424</c:v>
                </c:pt>
                <c:pt idx="5">
                  <c:v>544581.59928330453</c:v>
                </c:pt>
                <c:pt idx="6">
                  <c:v>558510.51917916897</c:v>
                </c:pt>
                <c:pt idx="7">
                  <c:v>559505.44202887348</c:v>
                </c:pt>
                <c:pt idx="8">
                  <c:v>569454.67052591953</c:v>
                </c:pt>
                <c:pt idx="9">
                  <c:v>584378.51327148848</c:v>
                </c:pt>
                <c:pt idx="10">
                  <c:v>589353.12752001162</c:v>
                </c:pt>
              </c:numCache>
            </c:numRef>
          </c:cat>
          <c:val>
            <c:numRef>
              <c:f>'Lens 28'!$A$46:$A$56</c:f>
              <c:numCache>
                <c:formatCode>General</c:formatCode>
                <c:ptCount val="11"/>
                <c:pt idx="0">
                  <c:v>500</c:v>
                </c:pt>
                <c:pt idx="1">
                  <c:v>427</c:v>
                </c:pt>
                <c:pt idx="2">
                  <c:v>248</c:v>
                </c:pt>
                <c:pt idx="3">
                  <c:v>420</c:v>
                </c:pt>
                <c:pt idx="4">
                  <c:v>318</c:v>
                </c:pt>
                <c:pt idx="5">
                  <c:v>284</c:v>
                </c:pt>
                <c:pt idx="6">
                  <c:v>8506</c:v>
                </c:pt>
                <c:pt idx="7">
                  <c:v>13294</c:v>
                </c:pt>
                <c:pt idx="8">
                  <c:v>29653</c:v>
                </c:pt>
                <c:pt idx="9">
                  <c:v>722</c:v>
                </c:pt>
                <c:pt idx="10">
                  <c:v>797</c:v>
                </c:pt>
              </c:numCache>
            </c:numRef>
          </c:val>
          <c:extLst>
            <c:ext xmlns:c16="http://schemas.microsoft.com/office/drawing/2014/chart" uri="{C3380CC4-5D6E-409C-BE32-E72D297353CC}">
              <c16:uniqueId val="{00000000-3E5A-49A7-AD34-7E32F1A1EA89}"/>
            </c:ext>
          </c:extLst>
        </c:ser>
        <c:dLbls>
          <c:showLegendKey val="0"/>
          <c:showVal val="0"/>
          <c:showCatName val="0"/>
          <c:showSerName val="0"/>
          <c:showPercent val="0"/>
          <c:showBubbleSize val="0"/>
        </c:dLbls>
        <c:gapWidth val="150"/>
        <c:axId val="1564184544"/>
        <c:axId val="1"/>
      </c:barChart>
      <c:catAx>
        <c:axId val="1564184544"/>
        <c:scaling>
          <c:orientation val="minMax"/>
        </c:scaling>
        <c:delete val="0"/>
        <c:axPos val="b"/>
        <c:title>
          <c:tx>
            <c:rich>
              <a:bodyPr/>
              <a:lstStyle/>
              <a:p>
                <a:pPr>
                  <a:defRPr sz="300" b="0" i="0" u="none" strike="noStrike" baseline="0">
                    <a:solidFill>
                      <a:srgbClr val="000000"/>
                    </a:solidFill>
                    <a:latin typeface="MathSoftText"/>
                    <a:ea typeface="MathSoftText"/>
                    <a:cs typeface="MathSoftText"/>
                  </a:defRPr>
                </a:pPr>
                <a:r>
                  <a:rPr lang="en-US"/>
                  <a:t>amps</a:t>
                </a:r>
              </a:p>
            </c:rich>
          </c:tx>
          <c:layout>
            <c:manualLayout>
              <c:xMode val="edge"/>
              <c:yMode val="edge"/>
              <c:x val="0.52008999415636104"/>
              <c:y val="0.71821446296539737"/>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3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orientation val="minMax"/>
          <c:max val="40000"/>
          <c:min val="0"/>
        </c:scaling>
        <c:delete val="0"/>
        <c:axPos val="l"/>
        <c:majorGridlines>
          <c:spPr>
            <a:ln w="3175">
              <a:solidFill>
                <a:srgbClr val="99CC00"/>
              </a:solidFill>
              <a:prstDash val="solid"/>
            </a:ln>
          </c:spPr>
        </c:majorGridlines>
        <c:title>
          <c:tx>
            <c:rich>
              <a:bodyPr/>
              <a:lstStyle/>
              <a:p>
                <a:pPr>
                  <a:defRPr sz="30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4672666277090737E-2"/>
              <c:y val="0.25455702484849529"/>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300" b="0" i="0" u="none" strike="noStrike" baseline="0">
                <a:solidFill>
                  <a:srgbClr val="000000"/>
                </a:solidFill>
                <a:latin typeface="MathSoftText"/>
                <a:ea typeface="MathSoftText"/>
                <a:cs typeface="MathSoftText"/>
              </a:defRPr>
            </a:pPr>
            <a:endParaRPr lang="en-US"/>
          </a:p>
        </c:txPr>
        <c:crossAx val="1564184544"/>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28 Rogowski and Bdot vs Pot</a:t>
            </a:r>
          </a:p>
        </c:rich>
      </c:tx>
      <c:layout>
        <c:manualLayout>
          <c:xMode val="edge"/>
          <c:yMode val="edge"/>
          <c:x val="0.24132405481003652"/>
          <c:y val="3.8576901405916741E-2"/>
        </c:manualLayout>
      </c:layout>
      <c:overlay val="0"/>
      <c:spPr>
        <a:noFill/>
        <a:ln w="25400">
          <a:noFill/>
        </a:ln>
      </c:spPr>
    </c:title>
    <c:autoTitleDeleted val="0"/>
    <c:plotArea>
      <c:layout>
        <c:manualLayout>
          <c:layoutTarget val="inner"/>
          <c:xMode val="edge"/>
          <c:yMode val="edge"/>
          <c:x val="0.1755084034982084"/>
          <c:y val="0.25223358611560948"/>
          <c:w val="0.41866067084468456"/>
          <c:h val="0.48072754059680861"/>
        </c:manualLayout>
      </c:layout>
      <c:scatterChart>
        <c:scatterStyle val="lineMarker"/>
        <c:varyColors val="0"/>
        <c:ser>
          <c:idx val="1"/>
          <c:order val="1"/>
          <c:tx>
            <c:v>bdot vs pot</c:v>
          </c:tx>
          <c:spPr>
            <a:ln w="19050">
              <a:noFill/>
            </a:ln>
          </c:spPr>
          <c:marker>
            <c:symbol val="square"/>
            <c:size val="5"/>
            <c:spPr>
              <a:solidFill>
                <a:srgbClr val="339966"/>
              </a:solidFill>
              <a:ln>
                <a:solidFill>
                  <a:srgbClr val="339966"/>
                </a:solidFill>
                <a:prstDash val="solid"/>
              </a:ln>
            </c:spPr>
          </c:marker>
          <c:trendline>
            <c:spPr>
              <a:ln w="12700">
                <a:solidFill>
                  <a:srgbClr val="339966"/>
                </a:solidFill>
                <a:prstDash val="solid"/>
              </a:ln>
            </c:spPr>
            <c:trendlineType val="linear"/>
            <c:dispRSqr val="1"/>
            <c:dispEq val="1"/>
            <c:trendlineLbl>
              <c:layout>
                <c:manualLayout>
                  <c:xMode val="edge"/>
                  <c:yMode val="edge"/>
                  <c:x val="0.69654897638351443"/>
                  <c:y val="0.62019787644896907"/>
                </c:manualLayout>
              </c:layout>
              <c:numFmt formatCode="General" sourceLinked="0"/>
              <c:spPr>
                <a:noFill/>
                <a:ln w="25400">
                  <a:noFill/>
                </a:ln>
              </c:spPr>
              <c:txPr>
                <a:bodyPr/>
                <a:lstStyle/>
                <a:p>
                  <a:pPr>
                    <a:defRPr sz="900" b="0" i="0" u="none" strike="noStrike" baseline="0">
                      <a:solidFill>
                        <a:srgbClr val="339966"/>
                      </a:solidFill>
                      <a:latin typeface="MathSoftText"/>
                      <a:ea typeface="MathSoftText"/>
                      <a:cs typeface="MathSoftText"/>
                    </a:defRPr>
                  </a:pPr>
                  <a:endParaRPr lang="en-US"/>
                </a:p>
              </c:txPr>
            </c:trendlineLbl>
          </c:trendline>
          <c:xVal>
            <c:numRef>
              <c:f>'Lens 28'!$A$7:$A$40</c:f>
              <c:numCache>
                <c:formatCode>General</c:formatCode>
                <c:ptCount val="34"/>
                <c:pt idx="0">
                  <c:v>0</c:v>
                </c:pt>
                <c:pt idx="1">
                  <c:v>0</c:v>
                </c:pt>
                <c:pt idx="2">
                  <c:v>1</c:v>
                </c:pt>
                <c:pt idx="3">
                  <c:v>1</c:v>
                </c:pt>
                <c:pt idx="4">
                  <c:v>2</c:v>
                </c:pt>
                <c:pt idx="5">
                  <c:v>2</c:v>
                </c:pt>
                <c:pt idx="6">
                  <c:v>3</c:v>
                </c:pt>
                <c:pt idx="7">
                  <c:v>3</c:v>
                </c:pt>
                <c:pt idx="8">
                  <c:v>4</c:v>
                </c:pt>
                <c:pt idx="9">
                  <c:v>4</c:v>
                </c:pt>
                <c:pt idx="10">
                  <c:v>5</c:v>
                </c:pt>
                <c:pt idx="11">
                  <c:v>5</c:v>
                </c:pt>
                <c:pt idx="12">
                  <c:v>5.6</c:v>
                </c:pt>
                <c:pt idx="13">
                  <c:v>5.6</c:v>
                </c:pt>
                <c:pt idx="14">
                  <c:v>5.9</c:v>
                </c:pt>
                <c:pt idx="15">
                  <c:v>5.9</c:v>
                </c:pt>
                <c:pt idx="16">
                  <c:v>5.8</c:v>
                </c:pt>
                <c:pt idx="17">
                  <c:v>5.8</c:v>
                </c:pt>
                <c:pt idx="18">
                  <c:v>5.5</c:v>
                </c:pt>
                <c:pt idx="19">
                  <c:v>5.5</c:v>
                </c:pt>
                <c:pt idx="20">
                  <c:v>5.3</c:v>
                </c:pt>
                <c:pt idx="21">
                  <c:v>5.3</c:v>
                </c:pt>
                <c:pt idx="22">
                  <c:v>1</c:v>
                </c:pt>
                <c:pt idx="23">
                  <c:v>1</c:v>
                </c:pt>
                <c:pt idx="24">
                  <c:v>2</c:v>
                </c:pt>
                <c:pt idx="25">
                  <c:v>2</c:v>
                </c:pt>
                <c:pt idx="26">
                  <c:v>3</c:v>
                </c:pt>
                <c:pt idx="27">
                  <c:v>3</c:v>
                </c:pt>
                <c:pt idx="28">
                  <c:v>4</c:v>
                </c:pt>
                <c:pt idx="29">
                  <c:v>4</c:v>
                </c:pt>
                <c:pt idx="30">
                  <c:v>5</c:v>
                </c:pt>
                <c:pt idx="31">
                  <c:v>5</c:v>
                </c:pt>
                <c:pt idx="32">
                  <c:v>5.28</c:v>
                </c:pt>
                <c:pt idx="33">
                  <c:v>5.28</c:v>
                </c:pt>
              </c:numCache>
            </c:numRef>
          </c:xVal>
          <c:yVal>
            <c:numRef>
              <c:f>'Lens 28'!$D$7:$D$40</c:f>
              <c:numCache>
                <c:formatCode>0.00</c:formatCode>
                <c:ptCount val="34"/>
                <c:pt idx="0">
                  <c:v>2.16</c:v>
                </c:pt>
                <c:pt idx="1">
                  <c:v>2.16</c:v>
                </c:pt>
                <c:pt idx="2">
                  <c:v>2.6</c:v>
                </c:pt>
                <c:pt idx="3">
                  <c:v>2.6</c:v>
                </c:pt>
                <c:pt idx="4">
                  <c:v>3</c:v>
                </c:pt>
                <c:pt idx="5">
                  <c:v>3</c:v>
                </c:pt>
                <c:pt idx="6">
                  <c:v>3.4</c:v>
                </c:pt>
                <c:pt idx="7">
                  <c:v>3.4</c:v>
                </c:pt>
                <c:pt idx="8">
                  <c:v>3.68</c:v>
                </c:pt>
                <c:pt idx="9">
                  <c:v>3.68</c:v>
                </c:pt>
                <c:pt idx="10">
                  <c:v>4.08</c:v>
                </c:pt>
                <c:pt idx="11">
                  <c:v>4.08</c:v>
                </c:pt>
                <c:pt idx="12">
                  <c:v>4.32</c:v>
                </c:pt>
                <c:pt idx="13">
                  <c:v>4.32</c:v>
                </c:pt>
                <c:pt idx="14" formatCode="General">
                  <c:v>4.4000000000000004</c:v>
                </c:pt>
                <c:pt idx="15" formatCode="General">
                  <c:v>4.4000000000000004</c:v>
                </c:pt>
                <c:pt idx="16" formatCode="General">
                  <c:v>4.4000000000000004</c:v>
                </c:pt>
                <c:pt idx="17" formatCode="General">
                  <c:v>4.4000000000000004</c:v>
                </c:pt>
                <c:pt idx="18" formatCode="General">
                  <c:v>4.24</c:v>
                </c:pt>
                <c:pt idx="19" formatCode="General">
                  <c:v>4.16</c:v>
                </c:pt>
                <c:pt idx="20" formatCode="General">
                  <c:v>4.08</c:v>
                </c:pt>
                <c:pt idx="21" formatCode="General">
                  <c:v>4.08</c:v>
                </c:pt>
                <c:pt idx="22" formatCode="General">
                  <c:v>2.64</c:v>
                </c:pt>
                <c:pt idx="23" formatCode="General">
                  <c:v>2.64</c:v>
                </c:pt>
                <c:pt idx="24" formatCode="General">
                  <c:v>3.04</c:v>
                </c:pt>
                <c:pt idx="25" formatCode="General">
                  <c:v>3.04</c:v>
                </c:pt>
                <c:pt idx="26" formatCode="General">
                  <c:v>3.28</c:v>
                </c:pt>
                <c:pt idx="27" formatCode="General">
                  <c:v>3.28</c:v>
                </c:pt>
                <c:pt idx="28" formatCode="General">
                  <c:v>3.84</c:v>
                </c:pt>
                <c:pt idx="29" formatCode="General">
                  <c:v>3.84</c:v>
                </c:pt>
                <c:pt idx="30" formatCode="General">
                  <c:v>4.08</c:v>
                </c:pt>
                <c:pt idx="31" formatCode="General">
                  <c:v>4.08</c:v>
                </c:pt>
                <c:pt idx="32" formatCode="General">
                  <c:v>4.16</c:v>
                </c:pt>
                <c:pt idx="33" formatCode="General">
                  <c:v>4.16</c:v>
                </c:pt>
              </c:numCache>
            </c:numRef>
          </c:yVal>
          <c:smooth val="0"/>
          <c:extLst>
            <c:ext xmlns:c16="http://schemas.microsoft.com/office/drawing/2014/chart" uri="{C3380CC4-5D6E-409C-BE32-E72D297353CC}">
              <c16:uniqueId val="{00000001-265A-4E5F-A2F8-7892DFA61368}"/>
            </c:ext>
          </c:extLst>
        </c:ser>
        <c:dLbls>
          <c:showLegendKey val="0"/>
          <c:showVal val="0"/>
          <c:showCatName val="0"/>
          <c:showSerName val="0"/>
          <c:showPercent val="0"/>
          <c:showBubbleSize val="0"/>
        </c:dLbls>
        <c:axId val="1711441120"/>
        <c:axId val="1"/>
      </c:scatterChart>
      <c:scatterChart>
        <c:scatterStyle val="lineMarker"/>
        <c:varyColors val="0"/>
        <c:ser>
          <c:idx val="0"/>
          <c:order val="0"/>
          <c:tx>
            <c:v>rog vs pot</c:v>
          </c:tx>
          <c:spPr>
            <a:ln w="19050">
              <a:noFill/>
            </a:ln>
          </c:spPr>
          <c:marker>
            <c:symbol val="diamond"/>
            <c:size val="5"/>
            <c:spPr>
              <a:solidFill>
                <a:srgbClr val="FF0000"/>
              </a:solidFill>
              <a:ln>
                <a:solidFill>
                  <a:srgbClr val="FF0000"/>
                </a:solidFill>
                <a:prstDash val="solid"/>
              </a:ln>
            </c:spPr>
          </c:marker>
          <c:trendline>
            <c:spPr>
              <a:ln w="12700">
                <a:solidFill>
                  <a:srgbClr val="FF0000"/>
                </a:solidFill>
                <a:prstDash val="solid"/>
              </a:ln>
            </c:spPr>
            <c:trendlineType val="linear"/>
            <c:dispRSqr val="1"/>
            <c:dispEq val="1"/>
            <c:trendlineLbl>
              <c:layout>
                <c:manualLayout>
                  <c:xMode val="edge"/>
                  <c:yMode val="edge"/>
                  <c:x val="0.69106433877419549"/>
                  <c:y val="0.81011492952425157"/>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28'!$A$7:$A$40</c:f>
              <c:numCache>
                <c:formatCode>General</c:formatCode>
                <c:ptCount val="34"/>
                <c:pt idx="0">
                  <c:v>0</c:v>
                </c:pt>
                <c:pt idx="1">
                  <c:v>0</c:v>
                </c:pt>
                <c:pt idx="2">
                  <c:v>1</c:v>
                </c:pt>
                <c:pt idx="3">
                  <c:v>1</c:v>
                </c:pt>
                <c:pt idx="4">
                  <c:v>2</c:v>
                </c:pt>
                <c:pt idx="5">
                  <c:v>2</c:v>
                </c:pt>
                <c:pt idx="6">
                  <c:v>3</c:v>
                </c:pt>
                <c:pt idx="7">
                  <c:v>3</c:v>
                </c:pt>
                <c:pt idx="8">
                  <c:v>4</c:v>
                </c:pt>
                <c:pt idx="9">
                  <c:v>4</c:v>
                </c:pt>
                <c:pt idx="10">
                  <c:v>5</c:v>
                </c:pt>
                <c:pt idx="11">
                  <c:v>5</c:v>
                </c:pt>
                <c:pt idx="12">
                  <c:v>5.6</c:v>
                </c:pt>
                <c:pt idx="13">
                  <c:v>5.6</c:v>
                </c:pt>
                <c:pt idx="14">
                  <c:v>5.9</c:v>
                </c:pt>
                <c:pt idx="15">
                  <c:v>5.9</c:v>
                </c:pt>
                <c:pt idx="16">
                  <c:v>5.8</c:v>
                </c:pt>
                <c:pt idx="17">
                  <c:v>5.8</c:v>
                </c:pt>
                <c:pt idx="18">
                  <c:v>5.5</c:v>
                </c:pt>
                <c:pt idx="19">
                  <c:v>5.5</c:v>
                </c:pt>
                <c:pt idx="20">
                  <c:v>5.3</c:v>
                </c:pt>
                <c:pt idx="21">
                  <c:v>5.3</c:v>
                </c:pt>
                <c:pt idx="22">
                  <c:v>1</c:v>
                </c:pt>
                <c:pt idx="23">
                  <c:v>1</c:v>
                </c:pt>
                <c:pt idx="24">
                  <c:v>2</c:v>
                </c:pt>
                <c:pt idx="25">
                  <c:v>2</c:v>
                </c:pt>
                <c:pt idx="26">
                  <c:v>3</c:v>
                </c:pt>
                <c:pt idx="27">
                  <c:v>3</c:v>
                </c:pt>
                <c:pt idx="28">
                  <c:v>4</c:v>
                </c:pt>
                <c:pt idx="29">
                  <c:v>4</c:v>
                </c:pt>
                <c:pt idx="30">
                  <c:v>5</c:v>
                </c:pt>
                <c:pt idx="31">
                  <c:v>5</c:v>
                </c:pt>
                <c:pt idx="32">
                  <c:v>5.28</c:v>
                </c:pt>
                <c:pt idx="33">
                  <c:v>5.28</c:v>
                </c:pt>
              </c:numCache>
            </c:numRef>
          </c:xVal>
          <c:yVal>
            <c:numRef>
              <c:f>'Lens 28'!$C$7:$C$40</c:f>
              <c:numCache>
                <c:formatCode>0.000</c:formatCode>
                <c:ptCount val="34"/>
                <c:pt idx="0" formatCode="General">
                  <c:v>0.32</c:v>
                </c:pt>
                <c:pt idx="1">
                  <c:v>0.32</c:v>
                </c:pt>
                <c:pt idx="2">
                  <c:v>0.376</c:v>
                </c:pt>
                <c:pt idx="3">
                  <c:v>0.376</c:v>
                </c:pt>
                <c:pt idx="4">
                  <c:v>0.44</c:v>
                </c:pt>
                <c:pt idx="5">
                  <c:v>0.44</c:v>
                </c:pt>
                <c:pt idx="6">
                  <c:v>0.496</c:v>
                </c:pt>
                <c:pt idx="7">
                  <c:v>0.496</c:v>
                </c:pt>
                <c:pt idx="8">
                  <c:v>0.54400000000000004</c:v>
                </c:pt>
                <c:pt idx="9">
                  <c:v>0.54400000000000004</c:v>
                </c:pt>
                <c:pt idx="10">
                  <c:v>0.59199999999999997</c:v>
                </c:pt>
                <c:pt idx="11">
                  <c:v>0.59199999999999997</c:v>
                </c:pt>
                <c:pt idx="12">
                  <c:v>0.624</c:v>
                </c:pt>
                <c:pt idx="13">
                  <c:v>0.624</c:v>
                </c:pt>
                <c:pt idx="14">
                  <c:v>0.64</c:v>
                </c:pt>
                <c:pt idx="15">
                  <c:v>0.64</c:v>
                </c:pt>
                <c:pt idx="16" formatCode="General">
                  <c:v>0.64</c:v>
                </c:pt>
                <c:pt idx="17" formatCode="General">
                  <c:v>0.64</c:v>
                </c:pt>
                <c:pt idx="18" formatCode="General">
                  <c:v>0.624</c:v>
                </c:pt>
                <c:pt idx="19" formatCode="General">
                  <c:v>0.64</c:v>
                </c:pt>
                <c:pt idx="20" formatCode="General">
                  <c:v>0.624</c:v>
                </c:pt>
                <c:pt idx="21" formatCode="General">
                  <c:v>0.624</c:v>
                </c:pt>
                <c:pt idx="22" formatCode="General">
                  <c:v>0.39200000000000002</c:v>
                </c:pt>
                <c:pt idx="23" formatCode="General">
                  <c:v>0.39200000000000002</c:v>
                </c:pt>
                <c:pt idx="24" formatCode="General">
                  <c:v>0.44800000000000001</c:v>
                </c:pt>
                <c:pt idx="25" formatCode="General">
                  <c:v>0.44800000000000001</c:v>
                </c:pt>
                <c:pt idx="26" formatCode="General">
                  <c:v>0.504</c:v>
                </c:pt>
                <c:pt idx="27" formatCode="General">
                  <c:v>0.504</c:v>
                </c:pt>
                <c:pt idx="28" formatCode="General">
                  <c:v>0.56000000000000005</c:v>
                </c:pt>
                <c:pt idx="29" formatCode="General">
                  <c:v>0.56000000000000005</c:v>
                </c:pt>
                <c:pt idx="30" formatCode="General">
                  <c:v>0.61599999999999999</c:v>
                </c:pt>
                <c:pt idx="31" formatCode="General">
                  <c:v>0.61599999999999999</c:v>
                </c:pt>
                <c:pt idx="32" formatCode="General">
                  <c:v>0.63200000000000001</c:v>
                </c:pt>
                <c:pt idx="33" formatCode="General">
                  <c:v>0.624</c:v>
                </c:pt>
              </c:numCache>
            </c:numRef>
          </c:yVal>
          <c:smooth val="0"/>
          <c:extLst>
            <c:ext xmlns:c16="http://schemas.microsoft.com/office/drawing/2014/chart" uri="{C3380CC4-5D6E-409C-BE32-E72D297353CC}">
              <c16:uniqueId val="{00000003-265A-4E5F-A2F8-7892DFA61368}"/>
            </c:ext>
          </c:extLst>
        </c:ser>
        <c:dLbls>
          <c:showLegendKey val="0"/>
          <c:showVal val="0"/>
          <c:showCatName val="0"/>
          <c:showSerName val="0"/>
          <c:showPercent val="0"/>
          <c:showBubbleSize val="0"/>
        </c:dLbls>
        <c:axId val="3"/>
        <c:axId val="4"/>
      </c:scatterChart>
      <c:valAx>
        <c:axId val="1711441120"/>
        <c:scaling>
          <c:orientation val="minMax"/>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pot setting</a:t>
                </a:r>
              </a:p>
            </c:rich>
          </c:tx>
          <c:layout>
            <c:manualLayout>
              <c:xMode val="edge"/>
              <c:yMode val="edge"/>
              <c:x val="0.31993719387694236"/>
              <c:y val="0.83682201511296306"/>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5.3018163556750444E-2"/>
              <c:y val="0.37983410615056479"/>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711441120"/>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3"/>
        <c:crosses val="max"/>
        <c:crossBetween val="midCat"/>
      </c:valAx>
      <c:spPr>
        <a:noFill/>
        <a:ln w="12700">
          <a:solidFill>
            <a:srgbClr val="99CC00"/>
          </a:solidFill>
          <a:prstDash val="solid"/>
        </a:ln>
      </c:spPr>
    </c:plotArea>
    <c:legend>
      <c:legendPos val="r"/>
      <c:layout>
        <c:manualLayout>
          <c:xMode val="edge"/>
          <c:yMode val="edge"/>
          <c:x val="0.67278221340979871"/>
          <c:y val="0.19585196098388499"/>
          <c:w val="0.30713970612186464"/>
          <c:h val="0.27597321775001976"/>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MathSoftText"/>
              <a:ea typeface="MathSoftText"/>
              <a:cs typeface="MathSoftText"/>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horizontalDpi="355" verticalDpi="355"/>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28 Bdot vs Rogowski</a:t>
            </a:r>
          </a:p>
        </c:rich>
      </c:tx>
      <c:layout>
        <c:manualLayout>
          <c:xMode val="edge"/>
          <c:yMode val="edge"/>
          <c:x val="0.30110473345894589"/>
          <c:y val="4.1271226051092146E-2"/>
        </c:manualLayout>
      </c:layout>
      <c:overlay val="0"/>
      <c:spPr>
        <a:noFill/>
        <a:ln w="25400">
          <a:noFill/>
        </a:ln>
      </c:spPr>
    </c:title>
    <c:autoTitleDeleted val="0"/>
    <c:plotArea>
      <c:layout>
        <c:manualLayout>
          <c:layoutTarget val="inner"/>
          <c:xMode val="edge"/>
          <c:yMode val="edge"/>
          <c:x val="0.14234041945331988"/>
          <c:y val="0.23175380782536359"/>
          <c:w val="0.79747132437308699"/>
          <c:h val="0.52065239018300857"/>
        </c:manualLayout>
      </c:layout>
      <c:scatterChart>
        <c:scatterStyle val="lineMarker"/>
        <c:varyColors val="0"/>
        <c:ser>
          <c:idx val="0"/>
          <c:order val="0"/>
          <c:spPr>
            <a:ln w="19050">
              <a:noFill/>
            </a:ln>
          </c:spPr>
          <c:marker>
            <c:symbol val="diamond"/>
            <c:size val="5"/>
            <c:spPr>
              <a:solidFill>
                <a:srgbClr val="FF0000"/>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Mode val="edge"/>
                  <c:yMode val="edge"/>
                  <c:x val="0.7098772200941208"/>
                  <c:y val="2.2222967873665001E-2"/>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28'!$D$7:$D$40</c:f>
              <c:numCache>
                <c:formatCode>0.00</c:formatCode>
                <c:ptCount val="34"/>
                <c:pt idx="0">
                  <c:v>2.16</c:v>
                </c:pt>
                <c:pt idx="1">
                  <c:v>2.16</c:v>
                </c:pt>
                <c:pt idx="2">
                  <c:v>2.6</c:v>
                </c:pt>
                <c:pt idx="3">
                  <c:v>2.6</c:v>
                </c:pt>
                <c:pt idx="4">
                  <c:v>3</c:v>
                </c:pt>
                <c:pt idx="5">
                  <c:v>3</c:v>
                </c:pt>
                <c:pt idx="6">
                  <c:v>3.4</c:v>
                </c:pt>
                <c:pt idx="7">
                  <c:v>3.4</c:v>
                </c:pt>
                <c:pt idx="8">
                  <c:v>3.68</c:v>
                </c:pt>
                <c:pt idx="9">
                  <c:v>3.68</c:v>
                </c:pt>
                <c:pt idx="10">
                  <c:v>4.08</c:v>
                </c:pt>
                <c:pt idx="11">
                  <c:v>4.08</c:v>
                </c:pt>
                <c:pt idx="12">
                  <c:v>4.32</c:v>
                </c:pt>
                <c:pt idx="13">
                  <c:v>4.32</c:v>
                </c:pt>
                <c:pt idx="14" formatCode="General">
                  <c:v>4.4000000000000004</c:v>
                </c:pt>
                <c:pt idx="15" formatCode="General">
                  <c:v>4.4000000000000004</c:v>
                </c:pt>
                <c:pt idx="16" formatCode="General">
                  <c:v>4.4000000000000004</c:v>
                </c:pt>
                <c:pt idx="17" formatCode="General">
                  <c:v>4.4000000000000004</c:v>
                </c:pt>
                <c:pt idx="18" formatCode="General">
                  <c:v>4.24</c:v>
                </c:pt>
                <c:pt idx="19" formatCode="General">
                  <c:v>4.16</c:v>
                </c:pt>
                <c:pt idx="20" formatCode="General">
                  <c:v>4.08</c:v>
                </c:pt>
                <c:pt idx="21" formatCode="General">
                  <c:v>4.08</c:v>
                </c:pt>
                <c:pt idx="22" formatCode="General">
                  <c:v>2.64</c:v>
                </c:pt>
                <c:pt idx="23" formatCode="General">
                  <c:v>2.64</c:v>
                </c:pt>
                <c:pt idx="24" formatCode="General">
                  <c:v>3.04</c:v>
                </c:pt>
                <c:pt idx="25" formatCode="General">
                  <c:v>3.04</c:v>
                </c:pt>
                <c:pt idx="26" formatCode="General">
                  <c:v>3.28</c:v>
                </c:pt>
                <c:pt idx="27" formatCode="General">
                  <c:v>3.28</c:v>
                </c:pt>
                <c:pt idx="28" formatCode="General">
                  <c:v>3.84</c:v>
                </c:pt>
                <c:pt idx="29" formatCode="General">
                  <c:v>3.84</c:v>
                </c:pt>
                <c:pt idx="30" formatCode="General">
                  <c:v>4.08</c:v>
                </c:pt>
                <c:pt idx="31" formatCode="General">
                  <c:v>4.08</c:v>
                </c:pt>
                <c:pt idx="32" formatCode="General">
                  <c:v>4.16</c:v>
                </c:pt>
                <c:pt idx="33" formatCode="General">
                  <c:v>4.16</c:v>
                </c:pt>
              </c:numCache>
            </c:numRef>
          </c:xVal>
          <c:yVal>
            <c:numRef>
              <c:f>'Lens 28'!$C$7:$C$40</c:f>
              <c:numCache>
                <c:formatCode>0.000</c:formatCode>
                <c:ptCount val="34"/>
                <c:pt idx="0" formatCode="General">
                  <c:v>0.32</c:v>
                </c:pt>
                <c:pt idx="1">
                  <c:v>0.32</c:v>
                </c:pt>
                <c:pt idx="2">
                  <c:v>0.376</c:v>
                </c:pt>
                <c:pt idx="3">
                  <c:v>0.376</c:v>
                </c:pt>
                <c:pt idx="4">
                  <c:v>0.44</c:v>
                </c:pt>
                <c:pt idx="5">
                  <c:v>0.44</c:v>
                </c:pt>
                <c:pt idx="6">
                  <c:v>0.496</c:v>
                </c:pt>
                <c:pt idx="7">
                  <c:v>0.496</c:v>
                </c:pt>
                <c:pt idx="8">
                  <c:v>0.54400000000000004</c:v>
                </c:pt>
                <c:pt idx="9">
                  <c:v>0.54400000000000004</c:v>
                </c:pt>
                <c:pt idx="10">
                  <c:v>0.59199999999999997</c:v>
                </c:pt>
                <c:pt idx="11">
                  <c:v>0.59199999999999997</c:v>
                </c:pt>
                <c:pt idx="12">
                  <c:v>0.624</c:v>
                </c:pt>
                <c:pt idx="13">
                  <c:v>0.624</c:v>
                </c:pt>
                <c:pt idx="14">
                  <c:v>0.64</c:v>
                </c:pt>
                <c:pt idx="15">
                  <c:v>0.64</c:v>
                </c:pt>
                <c:pt idx="16" formatCode="General">
                  <c:v>0.64</c:v>
                </c:pt>
                <c:pt idx="17" formatCode="General">
                  <c:v>0.64</c:v>
                </c:pt>
                <c:pt idx="18" formatCode="General">
                  <c:v>0.624</c:v>
                </c:pt>
                <c:pt idx="19" formatCode="General">
                  <c:v>0.64</c:v>
                </c:pt>
                <c:pt idx="20" formatCode="General">
                  <c:v>0.624</c:v>
                </c:pt>
                <c:pt idx="21" formatCode="General">
                  <c:v>0.624</c:v>
                </c:pt>
                <c:pt idx="22" formatCode="General">
                  <c:v>0.39200000000000002</c:v>
                </c:pt>
                <c:pt idx="23" formatCode="General">
                  <c:v>0.39200000000000002</c:v>
                </c:pt>
                <c:pt idx="24" formatCode="General">
                  <c:v>0.44800000000000001</c:v>
                </c:pt>
                <c:pt idx="25" formatCode="General">
                  <c:v>0.44800000000000001</c:v>
                </c:pt>
                <c:pt idx="26" formatCode="General">
                  <c:v>0.504</c:v>
                </c:pt>
                <c:pt idx="27" formatCode="General">
                  <c:v>0.504</c:v>
                </c:pt>
                <c:pt idx="28" formatCode="General">
                  <c:v>0.56000000000000005</c:v>
                </c:pt>
                <c:pt idx="29" formatCode="General">
                  <c:v>0.56000000000000005</c:v>
                </c:pt>
                <c:pt idx="30" formatCode="General">
                  <c:v>0.61599999999999999</c:v>
                </c:pt>
                <c:pt idx="31" formatCode="General">
                  <c:v>0.61599999999999999</c:v>
                </c:pt>
                <c:pt idx="32" formatCode="General">
                  <c:v>0.63200000000000001</c:v>
                </c:pt>
                <c:pt idx="33" formatCode="General">
                  <c:v>0.624</c:v>
                </c:pt>
              </c:numCache>
            </c:numRef>
          </c:yVal>
          <c:smooth val="0"/>
          <c:extLst>
            <c:ext xmlns:c16="http://schemas.microsoft.com/office/drawing/2014/chart" uri="{C3380CC4-5D6E-409C-BE32-E72D297353CC}">
              <c16:uniqueId val="{00000001-2A08-4115-AFED-05EC9E1BD972}"/>
            </c:ext>
          </c:extLst>
        </c:ser>
        <c:dLbls>
          <c:showLegendKey val="0"/>
          <c:showVal val="0"/>
          <c:showCatName val="0"/>
          <c:showSerName val="0"/>
          <c:showPercent val="0"/>
          <c:showBubbleSize val="0"/>
        </c:dLbls>
        <c:axId val="1711430208"/>
        <c:axId val="1"/>
      </c:scatterChart>
      <c:valAx>
        <c:axId val="1711430208"/>
        <c:scaling>
          <c:orientation val="minMax"/>
          <c:max val="5"/>
          <c:min val="2"/>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0.46899343332696414"/>
              <c:y val="0.86352103737669705"/>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minorUnit val="0.1"/>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Rogowski (volts)</a:t>
                </a:r>
              </a:p>
            </c:rich>
          </c:tx>
          <c:layout>
            <c:manualLayout>
              <c:xMode val="edge"/>
              <c:yMode val="edge"/>
              <c:x val="3.4672666277090737E-2"/>
              <c:y val="0.31429625992754789"/>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711430208"/>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0" i="0" u="none" strike="noStrike" baseline="0">
                <a:solidFill>
                  <a:srgbClr val="000000"/>
                </a:solidFill>
                <a:latin typeface="MathSoftText"/>
                <a:ea typeface="MathSoftText"/>
                <a:cs typeface="MathSoftText"/>
              </a:defRPr>
            </a:pPr>
            <a:r>
              <a:rPr lang="en-US"/>
              <a:t>Lens 16 Rogowski vs Bdot</a:t>
            </a:r>
          </a:p>
        </c:rich>
      </c:tx>
      <c:layout>
        <c:manualLayout>
          <c:xMode val="edge"/>
          <c:yMode val="edge"/>
          <c:x val="0.30237794274368329"/>
          <c:y val="4.1140651634129916E-2"/>
        </c:manualLayout>
      </c:layout>
      <c:overlay val="0"/>
      <c:spPr>
        <a:noFill/>
        <a:ln w="25400">
          <a:noFill/>
        </a:ln>
      </c:spPr>
    </c:title>
    <c:autoTitleDeleted val="0"/>
    <c:plotArea>
      <c:layout>
        <c:manualLayout>
          <c:layoutTarget val="inner"/>
          <c:xMode val="edge"/>
          <c:yMode val="edge"/>
          <c:x val="0.15665363298769136"/>
          <c:y val="0.23102058225319105"/>
          <c:w val="0.78326816493845675"/>
          <c:h val="0.52216980920241807"/>
        </c:manualLayout>
      </c:layout>
      <c:scatterChart>
        <c:scatterStyle val="lineMarker"/>
        <c:varyColors val="0"/>
        <c:ser>
          <c:idx val="0"/>
          <c:order val="0"/>
          <c:spPr>
            <a:ln w="19050">
              <a:noFill/>
            </a:ln>
          </c:spPr>
          <c:marker>
            <c:symbol val="diamond"/>
            <c:size val="5"/>
            <c:spPr>
              <a:solidFill>
                <a:srgbClr val="FF0000"/>
              </a:solidFill>
              <a:ln>
                <a:solidFill>
                  <a:srgbClr val="FF0000"/>
                </a:solidFill>
                <a:prstDash val="solid"/>
              </a:ln>
            </c:spPr>
          </c:marker>
          <c:trendline>
            <c:spPr>
              <a:ln w="3175">
                <a:solidFill>
                  <a:srgbClr val="FF0000"/>
                </a:solidFill>
                <a:prstDash val="solid"/>
              </a:ln>
            </c:spPr>
            <c:trendlineType val="linear"/>
            <c:dispRSqr val="1"/>
            <c:dispEq val="1"/>
            <c:trendlineLbl>
              <c:layout>
                <c:manualLayout>
                  <c:xMode val="edge"/>
                  <c:yMode val="edge"/>
                  <c:x val="0.71587067167631047"/>
                  <c:y val="2.2152658572223798E-2"/>
                </c:manualLayout>
              </c:layout>
              <c:numFmt formatCode="General" sourceLinked="0"/>
              <c:spPr>
                <a:noFill/>
                <a:ln w="25400">
                  <a:noFill/>
                </a:ln>
              </c:spPr>
              <c:txPr>
                <a:bodyPr/>
                <a:lstStyle/>
                <a:p>
                  <a:pPr>
                    <a:defRPr sz="900" b="0" i="0" u="none" strike="noStrike" baseline="0">
                      <a:solidFill>
                        <a:srgbClr val="FF0000"/>
                      </a:solidFill>
                      <a:latin typeface="MathSoftText"/>
                      <a:ea typeface="MathSoftText"/>
                      <a:cs typeface="MathSoftText"/>
                    </a:defRPr>
                  </a:pPr>
                  <a:endParaRPr lang="en-US"/>
                </a:p>
              </c:txPr>
            </c:trendlineLbl>
          </c:trendline>
          <c:xVal>
            <c:numRef>
              <c:f>'Lens 16'!$D$7:$D$30</c:f>
              <c:numCache>
                <c:formatCode>0.00</c:formatCode>
                <c:ptCount val="24"/>
                <c:pt idx="0">
                  <c:v>5.6</c:v>
                </c:pt>
                <c:pt idx="1">
                  <c:v>5.6</c:v>
                </c:pt>
                <c:pt idx="2">
                  <c:v>4.0999999999999996</c:v>
                </c:pt>
                <c:pt idx="3">
                  <c:v>4.0999999999999996</c:v>
                </c:pt>
                <c:pt idx="4">
                  <c:v>4.1500000000000004</c:v>
                </c:pt>
                <c:pt idx="5">
                  <c:v>4.1500000000000004</c:v>
                </c:pt>
                <c:pt idx="6" formatCode="General">
                  <c:v>4.4800000000000004</c:v>
                </c:pt>
                <c:pt idx="7" formatCode="General">
                  <c:v>4.4800000000000004</c:v>
                </c:pt>
                <c:pt idx="8" formatCode="General">
                  <c:v>4.8499999999999996</c:v>
                </c:pt>
                <c:pt idx="9" formatCode="General">
                  <c:v>4.8499999999999996</c:v>
                </c:pt>
                <c:pt idx="10" formatCode="General">
                  <c:v>5.25</c:v>
                </c:pt>
                <c:pt idx="11" formatCode="General">
                  <c:v>5.25</c:v>
                </c:pt>
                <c:pt idx="12" formatCode="0.0">
                  <c:v>5.59</c:v>
                </c:pt>
                <c:pt idx="13" formatCode="0.0">
                  <c:v>5.59</c:v>
                </c:pt>
                <c:pt idx="14" formatCode="0.0">
                  <c:v>5.03</c:v>
                </c:pt>
                <c:pt idx="15" formatCode="0.0">
                  <c:v>5.03</c:v>
                </c:pt>
                <c:pt idx="16" formatCode="0.0">
                  <c:v>4.5999999999999996</c:v>
                </c:pt>
                <c:pt idx="17" formatCode="0.0">
                  <c:v>4.5999999999999996</c:v>
                </c:pt>
                <c:pt idx="22" formatCode="0.0">
                  <c:v>4.2</c:v>
                </c:pt>
                <c:pt idx="23" formatCode="0.0">
                  <c:v>4.2</c:v>
                </c:pt>
              </c:numCache>
            </c:numRef>
          </c:xVal>
          <c:yVal>
            <c:numRef>
              <c:f>'Lens 16'!$C$7:$C$30</c:f>
              <c:numCache>
                <c:formatCode>0.00</c:formatCode>
                <c:ptCount val="24"/>
                <c:pt idx="0">
                  <c:v>0.68</c:v>
                </c:pt>
                <c:pt idx="1">
                  <c:v>0.68</c:v>
                </c:pt>
                <c:pt idx="2">
                  <c:v>0.501</c:v>
                </c:pt>
                <c:pt idx="3">
                  <c:v>0.501</c:v>
                </c:pt>
                <c:pt idx="4">
                  <c:v>0.504</c:v>
                </c:pt>
                <c:pt idx="5">
                  <c:v>0.504</c:v>
                </c:pt>
                <c:pt idx="6">
                  <c:v>0.55000000000000004</c:v>
                </c:pt>
                <c:pt idx="7">
                  <c:v>0.55000000000000004</c:v>
                </c:pt>
                <c:pt idx="8">
                  <c:v>0.6</c:v>
                </c:pt>
                <c:pt idx="9">
                  <c:v>0.6</c:v>
                </c:pt>
                <c:pt idx="10">
                  <c:v>0.65</c:v>
                </c:pt>
                <c:pt idx="11">
                  <c:v>0.65</c:v>
                </c:pt>
                <c:pt idx="12">
                  <c:v>0.69199999999999995</c:v>
                </c:pt>
                <c:pt idx="13">
                  <c:v>0.69399999999999995</c:v>
                </c:pt>
                <c:pt idx="14">
                  <c:v>0.62</c:v>
                </c:pt>
                <c:pt idx="15">
                  <c:v>0.62</c:v>
                </c:pt>
                <c:pt idx="16">
                  <c:v>0.49</c:v>
                </c:pt>
                <c:pt idx="17">
                  <c:v>0.49</c:v>
                </c:pt>
                <c:pt idx="22">
                  <c:v>0.55000000000000004</c:v>
                </c:pt>
                <c:pt idx="23">
                  <c:v>0.55000000000000004</c:v>
                </c:pt>
              </c:numCache>
            </c:numRef>
          </c:yVal>
          <c:smooth val="0"/>
          <c:extLst>
            <c:ext xmlns:c16="http://schemas.microsoft.com/office/drawing/2014/chart" uri="{C3380CC4-5D6E-409C-BE32-E72D297353CC}">
              <c16:uniqueId val="{00000001-C4CF-4724-9824-69BDF11FEF54}"/>
            </c:ext>
          </c:extLst>
        </c:ser>
        <c:dLbls>
          <c:showLegendKey val="0"/>
          <c:showVal val="0"/>
          <c:showCatName val="0"/>
          <c:showSerName val="0"/>
          <c:showPercent val="0"/>
          <c:showBubbleSize val="0"/>
        </c:dLbls>
        <c:axId val="1564269936"/>
        <c:axId val="1"/>
      </c:scatterChart>
      <c:valAx>
        <c:axId val="1564269936"/>
        <c:scaling>
          <c:orientation val="minMax"/>
          <c:min val="4"/>
        </c:scaling>
        <c:delete val="0"/>
        <c:axPos val="b"/>
        <c:title>
          <c:tx>
            <c:rich>
              <a:bodyPr/>
              <a:lstStyle/>
              <a:p>
                <a:pPr>
                  <a:defRPr sz="900" b="0" i="0" u="none" strike="noStrike" baseline="0">
                    <a:solidFill>
                      <a:srgbClr val="000000"/>
                    </a:solidFill>
                    <a:latin typeface="MathSoftText"/>
                    <a:ea typeface="MathSoftText"/>
                    <a:cs typeface="MathSoftText"/>
                  </a:defRPr>
                </a:pPr>
                <a:r>
                  <a:rPr lang="en-US"/>
                  <a:t>Bdot (volts)</a:t>
                </a:r>
              </a:p>
            </c:rich>
          </c:tx>
          <c:layout>
            <c:manualLayout>
              <c:xMode val="edge"/>
              <c:yMode val="edge"/>
              <c:x val="0.47724711445087359"/>
              <c:y val="0.86395368431672814"/>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
        <c:crosses val="autoZero"/>
        <c:crossBetween val="midCat"/>
        <c:minorUnit val="0.1"/>
      </c:valAx>
      <c:valAx>
        <c:axId val="1"/>
        <c:scaling>
          <c:orientation val="minMax"/>
        </c:scaling>
        <c:delete val="0"/>
        <c:axPos val="l"/>
        <c:majorGridlines>
          <c:spPr>
            <a:ln w="3175">
              <a:solidFill>
                <a:srgbClr val="99CC00"/>
              </a:solidFill>
              <a:prstDash val="solid"/>
            </a:ln>
          </c:spPr>
        </c:majorGridlines>
        <c:title>
          <c:tx>
            <c:rich>
              <a:bodyPr/>
              <a:lstStyle/>
              <a:p>
                <a:pPr>
                  <a:defRPr sz="900" b="0" i="0" u="none" strike="noStrike" baseline="0">
                    <a:solidFill>
                      <a:srgbClr val="000000"/>
                    </a:solidFill>
                    <a:latin typeface="MathSoftText"/>
                    <a:ea typeface="MathSoftText"/>
                    <a:cs typeface="MathSoftText"/>
                  </a:defRPr>
                </a:pPr>
                <a:r>
                  <a:rPr lang="en-US"/>
                  <a:t>Rogowski (volts)</a:t>
                </a:r>
              </a:p>
            </c:rich>
          </c:tx>
          <c:layout>
            <c:manualLayout>
              <c:xMode val="edge"/>
              <c:yMode val="edge"/>
              <c:x val="3.4609523567048092E-2"/>
              <c:y val="0.31330188552145088"/>
            </c:manualLayout>
          </c:layout>
          <c:overlay val="0"/>
          <c:spPr>
            <a:noFill/>
            <a:ln w="25400">
              <a:noFill/>
            </a:ln>
          </c:spPr>
        </c:title>
        <c:numFmt formatCode="0.00" sourceLinked="1"/>
        <c:majorTickMark val="out"/>
        <c:minorTickMark val="none"/>
        <c:tickLblPos val="nextTo"/>
        <c:spPr>
          <a:ln w="3175">
            <a:solidFill>
              <a:srgbClr val="99CC00"/>
            </a:solidFill>
            <a:prstDash val="solid"/>
          </a:ln>
        </c:spPr>
        <c:txPr>
          <a:bodyPr rot="0" vert="horz"/>
          <a:lstStyle/>
          <a:p>
            <a:pPr>
              <a:defRPr sz="900" b="0" i="0" u="none" strike="noStrike" baseline="0">
                <a:solidFill>
                  <a:srgbClr val="000000"/>
                </a:solidFill>
                <a:latin typeface="MathSoftText"/>
                <a:ea typeface="MathSoftText"/>
                <a:cs typeface="MathSoftText"/>
              </a:defRPr>
            </a:pPr>
            <a:endParaRPr lang="en-US"/>
          </a:p>
        </c:txPr>
        <c:crossAx val="1564269936"/>
        <c:crosses val="autoZero"/>
        <c:crossBetween val="midCat"/>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MathSoftText"/>
                <a:ea typeface="MathSoftText"/>
                <a:cs typeface="MathSoftText"/>
              </a:defRPr>
            </a:pPr>
            <a:r>
              <a:rPr lang="en-US"/>
              <a:t>lens 16  pulse count vs gradient</a:t>
            </a:r>
          </a:p>
        </c:rich>
      </c:tx>
      <c:layout>
        <c:manualLayout>
          <c:xMode val="edge"/>
          <c:yMode val="edge"/>
          <c:x val="0.29018754146151565"/>
          <c:y val="3.7314638629199218E-2"/>
        </c:manualLayout>
      </c:layout>
      <c:overlay val="0"/>
      <c:spPr>
        <a:noFill/>
        <a:ln w="25400">
          <a:noFill/>
        </a:ln>
      </c:spPr>
    </c:title>
    <c:autoTitleDeleted val="0"/>
    <c:plotArea>
      <c:layout>
        <c:manualLayout>
          <c:layoutTarget val="inner"/>
          <c:xMode val="edge"/>
          <c:yMode val="edge"/>
          <c:x val="0.20833977335698564"/>
          <c:y val="0.23383840207631507"/>
          <c:w val="0.76490459646778997"/>
          <c:h val="0.52738022595934886"/>
        </c:manualLayout>
      </c:layout>
      <c:barChart>
        <c:barDir val="col"/>
        <c:grouping val="clustered"/>
        <c:varyColors val="0"/>
        <c:ser>
          <c:idx val="0"/>
          <c:order val="0"/>
          <c:spPr>
            <a:solidFill>
              <a:srgbClr val="9999FF"/>
            </a:solidFill>
            <a:ln w="12700">
              <a:solidFill>
                <a:srgbClr val="000000"/>
              </a:solidFill>
              <a:prstDash val="solid"/>
            </a:ln>
          </c:spPr>
          <c:invertIfNegative val="0"/>
          <c:dLbls>
            <c:dLbl>
              <c:idx val="0"/>
              <c:layout>
                <c:manualLayout>
                  <c:xMode val="edge"/>
                  <c:yMode val="edge"/>
                  <c:x val="0.22173304450136327"/>
                  <c:y val="0.57215779231438801"/>
                </c:manualLayout>
              </c:layout>
              <c:spPr>
                <a:noFill/>
                <a:ln w="25400">
                  <a:noFill/>
                </a:ln>
              </c:spPr>
              <c:txPr>
                <a:bodyPr rot="-5400000" vert="horz"/>
                <a:lstStyle/>
                <a:p>
                  <a:pPr algn="ctr">
                    <a:defRPr sz="11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77C-407D-BB45-E5DAE9585984}"/>
                </c:ext>
              </c:extLst>
            </c:dLbl>
            <c:dLbl>
              <c:idx val="1"/>
              <c:layout>
                <c:manualLayout>
                  <c:xMode val="edge"/>
                  <c:yMode val="edge"/>
                  <c:x val="0.31250966003547842"/>
                  <c:y val="0.54976900913686844"/>
                </c:manualLayout>
              </c:layout>
              <c:spPr>
                <a:noFill/>
                <a:ln w="25400">
                  <a:noFill/>
                </a:ln>
              </c:spPr>
              <c:txPr>
                <a:bodyPr rot="-5400000" vert="horz"/>
                <a:lstStyle/>
                <a:p>
                  <a:pPr algn="ctr">
                    <a:defRPr sz="11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77C-407D-BB45-E5DAE9585984}"/>
                </c:ext>
              </c:extLst>
            </c:dLbl>
            <c:dLbl>
              <c:idx val="2"/>
              <c:layout>
                <c:manualLayout>
                  <c:xMode val="edge"/>
                  <c:yMode val="edge"/>
                  <c:x val="0.39733371061653677"/>
                  <c:y val="0.5000161576312695"/>
                </c:manualLayout>
              </c:layout>
              <c:spPr>
                <a:noFill/>
                <a:ln w="25400">
                  <a:noFill/>
                </a:ln>
              </c:spPr>
              <c:txPr>
                <a:bodyPr rot="-5400000" vert="horz"/>
                <a:lstStyle/>
                <a:p>
                  <a:pPr algn="ctr">
                    <a:defRPr sz="11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7C-407D-BB45-E5DAE9585984}"/>
                </c:ext>
              </c:extLst>
            </c:dLbl>
            <c:dLbl>
              <c:idx val="3"/>
              <c:layout>
                <c:manualLayout>
                  <c:xMode val="edge"/>
                  <c:yMode val="edge"/>
                  <c:x val="0.48215776119759518"/>
                  <c:y val="0.56220722201326812"/>
                </c:manualLayout>
              </c:layout>
              <c:spPr>
                <a:noFill/>
                <a:ln w="25400">
                  <a:noFill/>
                </a:ln>
              </c:spPr>
              <c:txPr>
                <a:bodyPr rot="-5400000" vert="horz"/>
                <a:lstStyle/>
                <a:p>
                  <a:pPr algn="ctr">
                    <a:defRPr sz="11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7C-407D-BB45-E5DAE9585984}"/>
                </c:ext>
              </c:extLst>
            </c:dLbl>
            <c:dLbl>
              <c:idx val="4"/>
              <c:layout>
                <c:manualLayout>
                  <c:xMode val="edge"/>
                  <c:yMode val="edge"/>
                  <c:x val="0.56846995301691783"/>
                  <c:y val="0.52986786853462886"/>
                </c:manualLayout>
              </c:layout>
              <c:spPr>
                <a:noFill/>
                <a:ln w="25400">
                  <a:noFill/>
                </a:ln>
              </c:spPr>
              <c:txPr>
                <a:bodyPr rot="-5400000" vert="horz"/>
                <a:lstStyle/>
                <a:p>
                  <a:pPr algn="ctr">
                    <a:defRPr sz="11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7C-407D-BB45-E5DAE9585984}"/>
                </c:ext>
              </c:extLst>
            </c:dLbl>
            <c:dLbl>
              <c:idx val="5"/>
              <c:layout>
                <c:manualLayout>
                  <c:xMode val="edge"/>
                  <c:yMode val="edge"/>
                  <c:x val="0.64734143864491955"/>
                  <c:y val="0.54728136656158843"/>
                </c:manualLayout>
              </c:layout>
              <c:spPr>
                <a:noFill/>
                <a:ln w="25400">
                  <a:noFill/>
                </a:ln>
              </c:spPr>
              <c:txPr>
                <a:bodyPr rot="-5400000" vert="horz"/>
                <a:lstStyle/>
                <a:p>
                  <a:pPr algn="ctr">
                    <a:defRPr sz="11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7C-407D-BB45-E5DAE9585984}"/>
                </c:ext>
              </c:extLst>
            </c:dLbl>
            <c:dLbl>
              <c:idx val="6"/>
              <c:layout>
                <c:manualLayout>
                  <c:xMode val="edge"/>
                  <c:yMode val="edge"/>
                  <c:x val="0.73811805417903475"/>
                  <c:y val="0.54479372398630843"/>
                </c:manualLayout>
              </c:layout>
              <c:spPr>
                <a:noFill/>
                <a:ln w="25400">
                  <a:noFill/>
                </a:ln>
              </c:spPr>
              <c:txPr>
                <a:bodyPr rot="-5400000" vert="horz"/>
                <a:lstStyle/>
                <a:p>
                  <a:pPr algn="ctr">
                    <a:defRPr sz="11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7C-407D-BB45-E5DAE9585984}"/>
                </c:ext>
              </c:extLst>
            </c:dLbl>
            <c:dLbl>
              <c:idx val="7"/>
              <c:layout>
                <c:manualLayout>
                  <c:xMode val="edge"/>
                  <c:yMode val="edge"/>
                  <c:x val="0.822942104760093"/>
                  <c:y val="0.52240494080878896"/>
                </c:manualLayout>
              </c:layout>
              <c:spPr>
                <a:noFill/>
                <a:ln w="25400">
                  <a:noFill/>
                </a:ln>
              </c:spPr>
              <c:txPr>
                <a:bodyPr rot="-5400000" vert="horz"/>
                <a:lstStyle/>
                <a:p>
                  <a:pPr algn="ctr">
                    <a:defRPr sz="11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7C-407D-BB45-E5DAE9585984}"/>
                </c:ext>
              </c:extLst>
            </c:dLbl>
            <c:dLbl>
              <c:idx val="8"/>
              <c:layout>
                <c:manualLayout>
                  <c:xMode val="edge"/>
                  <c:yMode val="edge"/>
                  <c:x val="0.90776615534115157"/>
                  <c:y val="0.53484315368518875"/>
                </c:manualLayout>
              </c:layout>
              <c:spPr>
                <a:noFill/>
                <a:ln w="25400">
                  <a:noFill/>
                </a:ln>
              </c:spPr>
              <c:txPr>
                <a:bodyPr rot="-5400000" vert="horz"/>
                <a:lstStyle/>
                <a:p>
                  <a:pPr algn="ctr">
                    <a:defRPr sz="11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7C-407D-BB45-E5DAE9585984}"/>
                </c:ext>
              </c:extLst>
            </c:dLbl>
            <c:spPr>
              <a:noFill/>
              <a:ln w="25400">
                <a:noFill/>
              </a:ln>
            </c:spPr>
            <c:txPr>
              <a:bodyPr rot="-5400000" vert="horz" wrap="square" lIns="38100" tIns="19050" rIns="38100" bIns="19050" anchor="ctr">
                <a:spAutoFit/>
              </a:bodyPr>
              <a:lstStyle/>
              <a:p>
                <a:pPr algn="ctr">
                  <a:defRPr sz="1100"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16'!$E$39:$E$47</c:f>
              <c:numCache>
                <c:formatCode>0</c:formatCode>
                <c:ptCount val="9"/>
                <c:pt idx="0">
                  <c:v>614.31378144331245</c:v>
                </c:pt>
                <c:pt idx="1">
                  <c:v>618.19356036147212</c:v>
                </c:pt>
                <c:pt idx="2">
                  <c:v>645.35201278859029</c:v>
                </c:pt>
                <c:pt idx="3">
                  <c:v>688.02958088834748</c:v>
                </c:pt>
                <c:pt idx="4">
                  <c:v>734.58692790626401</c:v>
                </c:pt>
                <c:pt idx="5">
                  <c:v>742.34648574258381</c:v>
                </c:pt>
                <c:pt idx="6">
                  <c:v>812.18250626945894</c:v>
                </c:pt>
                <c:pt idx="7">
                  <c:v>878.13874787817451</c:v>
                </c:pt>
                <c:pt idx="8">
                  <c:v>936.3354316505704</c:v>
                </c:pt>
              </c:numCache>
            </c:numRef>
          </c:cat>
          <c:val>
            <c:numRef>
              <c:f>'Lens 16'!$A$39:$A$47</c:f>
              <c:numCache>
                <c:formatCode>General</c:formatCode>
                <c:ptCount val="9"/>
                <c:pt idx="0">
                  <c:v>298500</c:v>
                </c:pt>
                <c:pt idx="1">
                  <c:v>34500</c:v>
                </c:pt>
                <c:pt idx="2">
                  <c:v>121775</c:v>
                </c:pt>
                <c:pt idx="3">
                  <c:v>256086</c:v>
                </c:pt>
                <c:pt idx="4">
                  <c:v>125000</c:v>
                </c:pt>
                <c:pt idx="5">
                  <c:v>36300</c:v>
                </c:pt>
                <c:pt idx="6">
                  <c:v>78800</c:v>
                </c:pt>
                <c:pt idx="7">
                  <c:v>44445</c:v>
                </c:pt>
                <c:pt idx="8">
                  <c:v>471955</c:v>
                </c:pt>
              </c:numCache>
            </c:numRef>
          </c:val>
          <c:extLst>
            <c:ext xmlns:c16="http://schemas.microsoft.com/office/drawing/2014/chart" uri="{C3380CC4-5D6E-409C-BE32-E72D297353CC}">
              <c16:uniqueId val="{00000009-777C-407D-BB45-E5DAE9585984}"/>
            </c:ext>
          </c:extLst>
        </c:ser>
        <c:dLbls>
          <c:showLegendKey val="0"/>
          <c:showVal val="1"/>
          <c:showCatName val="0"/>
          <c:showSerName val="0"/>
          <c:showPercent val="0"/>
          <c:showBubbleSize val="0"/>
        </c:dLbls>
        <c:gapWidth val="150"/>
        <c:axId val="1707198768"/>
        <c:axId val="1"/>
      </c:barChart>
      <c:catAx>
        <c:axId val="1707198768"/>
        <c:scaling>
          <c:orientation val="minMax"/>
        </c:scaling>
        <c:delete val="0"/>
        <c:axPos val="b"/>
        <c:title>
          <c:tx>
            <c:rich>
              <a:bodyPr/>
              <a:lstStyle/>
              <a:p>
                <a:pPr>
                  <a:defRPr sz="1100" b="0" i="0" u="none" strike="noStrike" baseline="0">
                    <a:solidFill>
                      <a:srgbClr val="000000"/>
                    </a:solidFill>
                    <a:latin typeface="MathSoftText"/>
                    <a:ea typeface="MathSoftText"/>
                    <a:cs typeface="MathSoftText"/>
                  </a:defRPr>
                </a:pPr>
                <a:r>
                  <a:rPr lang="en-US"/>
                  <a:t>gradient (T/m)</a:t>
                </a:r>
              </a:p>
            </c:rich>
          </c:tx>
          <c:layout>
            <c:manualLayout>
              <c:xMode val="edge"/>
              <c:yMode val="edge"/>
              <c:x val="0.50447987977155795"/>
              <c:y val="0.85326140332102196"/>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1100"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1100"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1250966003547841E-2"/>
              <c:y val="0.32090589221111321"/>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1100" b="0" i="0" u="none" strike="noStrike" baseline="0">
                <a:solidFill>
                  <a:srgbClr val="000000"/>
                </a:solidFill>
                <a:latin typeface="MathSoftText"/>
                <a:ea typeface="MathSoftText"/>
                <a:cs typeface="MathSoftText"/>
              </a:defRPr>
            </a:pPr>
            <a:endParaRPr lang="en-US"/>
          </a:p>
        </c:txPr>
        <c:crossAx val="1707198768"/>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0" i="0" u="none" strike="noStrike" baseline="0">
                <a:solidFill>
                  <a:srgbClr val="000000"/>
                </a:solidFill>
                <a:latin typeface="MathSoftText"/>
                <a:ea typeface="MathSoftText"/>
                <a:cs typeface="MathSoftText"/>
              </a:defRPr>
            </a:pPr>
            <a:r>
              <a:rPr lang="en-US"/>
              <a:t>lens 18 pulse count vs peak current</a:t>
            </a:r>
          </a:p>
        </c:rich>
      </c:tx>
      <c:layout>
        <c:manualLayout>
          <c:xMode val="edge"/>
          <c:yMode val="edge"/>
          <c:x val="0.25042263521473662"/>
          <c:y val="3.9395228469849275E-2"/>
        </c:manualLayout>
      </c:layout>
      <c:overlay val="0"/>
      <c:spPr>
        <a:noFill/>
        <a:ln w="25400">
          <a:noFill/>
        </a:ln>
      </c:spPr>
    </c:title>
    <c:autoTitleDeleted val="0"/>
    <c:plotArea>
      <c:layout>
        <c:manualLayout>
          <c:layoutTarget val="inner"/>
          <c:xMode val="edge"/>
          <c:yMode val="edge"/>
          <c:x val="0.20564507792468442"/>
          <c:y val="0.23031056643911882"/>
          <c:w val="0.7661937580742274"/>
          <c:h val="0.52728998105798253"/>
        </c:manualLayout>
      </c:layout>
      <c:barChart>
        <c:barDir val="col"/>
        <c:grouping val="clustered"/>
        <c:varyColors val="0"/>
        <c:ser>
          <c:idx val="0"/>
          <c:order val="0"/>
          <c:spPr>
            <a:solidFill>
              <a:srgbClr val="9999FF"/>
            </a:solidFill>
            <a:ln w="12700">
              <a:solidFill>
                <a:srgbClr val="000000"/>
              </a:solidFill>
              <a:prstDash val="solid"/>
            </a:ln>
          </c:spPr>
          <c:invertIfNegative val="0"/>
          <c:dLbls>
            <c:dLbl>
              <c:idx val="0"/>
              <c:layout>
                <c:manualLayout>
                  <c:xMode val="edge"/>
                  <c:yMode val="edge"/>
                  <c:x val="0.25208106326251639"/>
                  <c:y val="0.60305003580769267"/>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D3-483A-9696-3ED27BB435BB}"/>
                </c:ext>
              </c:extLst>
            </c:dLbl>
            <c:dLbl>
              <c:idx val="1"/>
              <c:layout>
                <c:manualLayout>
                  <c:xMode val="edge"/>
                  <c:yMode val="edge"/>
                  <c:x val="0.37480473879821513"/>
                  <c:y val="0.58486762266776227"/>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D3-483A-9696-3ED27BB435BB}"/>
                </c:ext>
              </c:extLst>
            </c:dLbl>
            <c:dLbl>
              <c:idx val="2"/>
              <c:layout>
                <c:manualLayout>
                  <c:xMode val="edge"/>
                  <c:yMode val="edge"/>
                  <c:x val="0.50747898262059221"/>
                  <c:y val="0.56365480733784346"/>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D3-483A-9696-3ED27BB435BB}"/>
                </c:ext>
              </c:extLst>
            </c:dLbl>
            <c:dLbl>
              <c:idx val="3"/>
              <c:layout>
                <c:manualLayout>
                  <c:xMode val="edge"/>
                  <c:yMode val="edge"/>
                  <c:x val="0.63020265815629095"/>
                  <c:y val="0.53941158981793624"/>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D3-483A-9696-3ED27BB435BB}"/>
                </c:ext>
              </c:extLst>
            </c:dLbl>
            <c:dLbl>
              <c:idx val="4"/>
              <c:layout>
                <c:manualLayout>
                  <c:xMode val="edge"/>
                  <c:yMode val="edge"/>
                  <c:x val="0.75790161783532883"/>
                  <c:y val="0.53941158981793624"/>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D3-483A-9696-3ED27BB435BB}"/>
                </c:ext>
              </c:extLst>
            </c:dLbl>
            <c:dLbl>
              <c:idx val="5"/>
              <c:layout>
                <c:manualLayout>
                  <c:xMode val="edge"/>
                  <c:yMode val="edge"/>
                  <c:x val="0.88725900556214643"/>
                  <c:y val="0.53335078543795944"/>
                </c:manualLayout>
              </c:layout>
              <c:spPr>
                <a:noFill/>
                <a:ln w="25400">
                  <a:noFill/>
                </a:ln>
              </c:spPr>
              <c:txPr>
                <a:bodyPr rot="-5400000" vert="horz"/>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D3-483A-9696-3ED27BB435BB}"/>
                </c:ext>
              </c:extLst>
            </c:dLbl>
            <c:spPr>
              <a:noFill/>
              <a:ln w="25400">
                <a:noFill/>
              </a:ln>
            </c:spPr>
            <c:txPr>
              <a:bodyPr rot="-5400000" vert="horz" wrap="square" lIns="38100" tIns="19050" rIns="38100" bIns="19050" anchor="ctr">
                <a:spAutoFit/>
              </a:bodyPr>
              <a:lstStyle/>
              <a:p>
                <a:pPr algn="ctr">
                  <a:defRPr sz="975" b="0" i="0" u="none" strike="noStrike" baseline="0">
                    <a:solidFill>
                      <a:srgbClr val="000000"/>
                    </a:solidFill>
                    <a:latin typeface="MathSoftText"/>
                    <a:ea typeface="MathSoftText"/>
                    <a:cs typeface="MathSoftTex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'Lens 18'!$F$23:$F$28</c:f>
              <c:numCache>
                <c:formatCode>0</c:formatCode>
                <c:ptCount val="6"/>
                <c:pt idx="0">
                  <c:v>295.85677884028894</c:v>
                </c:pt>
                <c:pt idx="1">
                  <c:v>295.85677884028894</c:v>
                </c:pt>
                <c:pt idx="2">
                  <c:v>482.4085283350833</c:v>
                </c:pt>
                <c:pt idx="3">
                  <c:v>524.69359155390316</c:v>
                </c:pt>
                <c:pt idx="4">
                  <c:v>527.18094821383397</c:v>
                </c:pt>
                <c:pt idx="5">
                  <c:v>606.77636133161297</c:v>
                </c:pt>
              </c:numCache>
            </c:numRef>
          </c:cat>
          <c:val>
            <c:numRef>
              <c:f>'Lens 18'!$A$23:$A$28</c:f>
              <c:numCache>
                <c:formatCode>General</c:formatCode>
                <c:ptCount val="6"/>
                <c:pt idx="0">
                  <c:v>1292</c:v>
                </c:pt>
                <c:pt idx="1">
                  <c:v>1851</c:v>
                </c:pt>
                <c:pt idx="2">
                  <c:v>86308</c:v>
                </c:pt>
                <c:pt idx="3">
                  <c:v>74549</c:v>
                </c:pt>
                <c:pt idx="4">
                  <c:v>74000</c:v>
                </c:pt>
                <c:pt idx="5">
                  <c:v>169300</c:v>
                </c:pt>
              </c:numCache>
            </c:numRef>
          </c:val>
          <c:extLst>
            <c:ext xmlns:c16="http://schemas.microsoft.com/office/drawing/2014/chart" uri="{C3380CC4-5D6E-409C-BE32-E72D297353CC}">
              <c16:uniqueId val="{00000006-6AD3-483A-9696-3ED27BB435BB}"/>
            </c:ext>
          </c:extLst>
        </c:ser>
        <c:dLbls>
          <c:showLegendKey val="0"/>
          <c:showVal val="1"/>
          <c:showCatName val="0"/>
          <c:showSerName val="0"/>
          <c:showPercent val="0"/>
          <c:showBubbleSize val="0"/>
        </c:dLbls>
        <c:gapWidth val="150"/>
        <c:axId val="1707213168"/>
        <c:axId val="1"/>
      </c:barChart>
      <c:catAx>
        <c:axId val="1707213168"/>
        <c:scaling>
          <c:orientation val="minMax"/>
        </c:scaling>
        <c:delete val="0"/>
        <c:axPos val="b"/>
        <c:title>
          <c:tx>
            <c:rich>
              <a:bodyPr/>
              <a:lstStyle/>
              <a:p>
                <a:pPr>
                  <a:defRPr sz="975" b="0" i="0" u="none" strike="noStrike" baseline="0">
                    <a:solidFill>
                      <a:srgbClr val="000000"/>
                    </a:solidFill>
                    <a:latin typeface="MathSoftText"/>
                    <a:ea typeface="MathSoftText"/>
                    <a:cs typeface="MathSoftText"/>
                  </a:defRPr>
                </a:pPr>
                <a:r>
                  <a:rPr lang="en-US"/>
                  <a:t>kiloamps</a:t>
                </a:r>
              </a:p>
            </c:rich>
          </c:tx>
          <c:layout>
            <c:manualLayout>
              <c:xMode val="edge"/>
              <c:yMode val="edge"/>
              <c:x val="0.53235540333728781"/>
              <c:y val="0.86669502633668394"/>
            </c:manualLayout>
          </c:layout>
          <c:overlay val="0"/>
          <c:spPr>
            <a:noFill/>
            <a:ln w="25400">
              <a:noFill/>
            </a:ln>
          </c:spPr>
        </c:title>
        <c:numFmt formatCode="0" sourceLinked="0"/>
        <c:majorTickMark val="out"/>
        <c:minorTickMark val="none"/>
        <c:tickLblPos val="nextTo"/>
        <c:spPr>
          <a:ln w="3175">
            <a:solidFill>
              <a:srgbClr val="99CC00"/>
            </a:solidFill>
            <a:prstDash val="solid"/>
          </a:ln>
        </c:spPr>
        <c:txPr>
          <a:bodyPr rot="0" vert="horz"/>
          <a:lstStyle/>
          <a:p>
            <a:pPr>
              <a:defRPr sz="975" b="0" i="0" u="none" strike="noStrike" baseline="0">
                <a:solidFill>
                  <a:srgbClr val="000000"/>
                </a:solidFill>
                <a:latin typeface="MathSoftText"/>
                <a:ea typeface="MathSoftText"/>
                <a:cs typeface="MathSoftText"/>
              </a:defRPr>
            </a:pPr>
            <a:endParaRPr lang="en-US"/>
          </a:p>
        </c:txPr>
        <c:crossAx val="1"/>
        <c:crosses val="autoZero"/>
        <c:auto val="1"/>
        <c:lblAlgn val="ctr"/>
        <c:lblOffset val="100"/>
        <c:tickLblSkip val="1"/>
        <c:tickMarkSkip val="1"/>
        <c:noMultiLvlLbl val="0"/>
      </c:catAx>
      <c:valAx>
        <c:axId val="1"/>
        <c:scaling>
          <c:logBase val="10"/>
          <c:orientation val="minMax"/>
          <c:min val="10"/>
        </c:scaling>
        <c:delete val="0"/>
        <c:axPos val="l"/>
        <c:majorGridlines>
          <c:spPr>
            <a:ln w="3175">
              <a:solidFill>
                <a:srgbClr val="99CC00"/>
              </a:solidFill>
              <a:prstDash val="solid"/>
            </a:ln>
          </c:spPr>
        </c:majorGridlines>
        <c:title>
          <c:tx>
            <c:rich>
              <a:bodyPr/>
              <a:lstStyle/>
              <a:p>
                <a:pPr>
                  <a:defRPr sz="975" b="0" i="0" u="none" strike="noStrike" baseline="0">
                    <a:solidFill>
                      <a:srgbClr val="000000"/>
                    </a:solidFill>
                    <a:latin typeface="MathSoftText"/>
                    <a:ea typeface="MathSoftText"/>
                    <a:cs typeface="MathSoftText"/>
                  </a:defRPr>
                </a:pPr>
                <a:r>
                  <a:rPr lang="en-US"/>
                  <a:t>number of pulses</a:t>
                </a:r>
              </a:p>
            </c:rich>
          </c:tx>
          <c:layout>
            <c:manualLayout>
              <c:xMode val="edge"/>
              <c:yMode val="edge"/>
              <c:x val="3.1510132907814549E-2"/>
              <c:y val="0.30607062118882894"/>
            </c:manualLayout>
          </c:layout>
          <c:overlay val="0"/>
          <c:spPr>
            <a:noFill/>
            <a:ln w="25400">
              <a:noFill/>
            </a:ln>
          </c:spPr>
        </c:title>
        <c:numFmt formatCode="General" sourceLinked="1"/>
        <c:majorTickMark val="out"/>
        <c:minorTickMark val="none"/>
        <c:tickLblPos val="nextTo"/>
        <c:spPr>
          <a:ln w="3175">
            <a:solidFill>
              <a:srgbClr val="99CC00"/>
            </a:solidFill>
            <a:prstDash val="solid"/>
          </a:ln>
        </c:spPr>
        <c:txPr>
          <a:bodyPr rot="0" vert="horz"/>
          <a:lstStyle/>
          <a:p>
            <a:pPr>
              <a:defRPr sz="975" b="0" i="0" u="none" strike="noStrike" baseline="0">
                <a:solidFill>
                  <a:srgbClr val="000000"/>
                </a:solidFill>
                <a:latin typeface="MathSoftText"/>
                <a:ea typeface="MathSoftText"/>
                <a:cs typeface="MathSoftText"/>
              </a:defRPr>
            </a:pPr>
            <a:endParaRPr lang="en-US"/>
          </a:p>
        </c:txPr>
        <c:crossAx val="1707213168"/>
        <c:crosses val="autoZero"/>
        <c:crossBetween val="between"/>
      </c:valAx>
      <c:spPr>
        <a:noFill/>
        <a:ln w="12700">
          <a:solidFill>
            <a:srgbClr val="99CC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MathSoftText"/>
          <a:ea typeface="MathSoftText"/>
          <a:cs typeface="MathSoftText"/>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 Id="rId5" Type="http://schemas.openxmlformats.org/officeDocument/2006/relationships/chart" Target="../charts/chart56.xml"/><Relationship Id="rId4" Type="http://schemas.openxmlformats.org/officeDocument/2006/relationships/chart" Target="../charts/chart5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6" Type="http://schemas.openxmlformats.org/officeDocument/2006/relationships/chart" Target="../charts/chart62.xml"/><Relationship Id="rId5" Type="http://schemas.openxmlformats.org/officeDocument/2006/relationships/chart" Target="../charts/chart61.xml"/><Relationship Id="rId4" Type="http://schemas.openxmlformats.org/officeDocument/2006/relationships/chart" Target="../charts/chart60.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5" Type="http://schemas.openxmlformats.org/officeDocument/2006/relationships/chart" Target="../charts/chart67.xml"/><Relationship Id="rId4" Type="http://schemas.openxmlformats.org/officeDocument/2006/relationships/chart" Target="../charts/chart6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5" Type="http://schemas.openxmlformats.org/officeDocument/2006/relationships/chart" Target="../charts/chart37.xml"/><Relationship Id="rId4" Type="http://schemas.openxmlformats.org/officeDocument/2006/relationships/chart" Target="../charts/chart3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4" Type="http://schemas.openxmlformats.org/officeDocument/2006/relationships/chart" Target="../charts/chart4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5" Type="http://schemas.openxmlformats.org/officeDocument/2006/relationships/chart" Target="../charts/chart46.xml"/><Relationship Id="rId4" Type="http://schemas.openxmlformats.org/officeDocument/2006/relationships/chart" Target="../charts/chart45.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0.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9.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53340</xdr:colOff>
      <xdr:row>17</xdr:row>
      <xdr:rowOff>129540</xdr:rowOff>
    </xdr:from>
    <xdr:to>
      <xdr:col>10</xdr:col>
      <xdr:colOff>358140</xdr:colOff>
      <xdr:row>44</xdr:row>
      <xdr:rowOff>7620</xdr:rowOff>
    </xdr:to>
    <xdr:graphicFrame macro="">
      <xdr:nvGraphicFramePr>
        <xdr:cNvPr id="14337" name="Chart 1">
          <a:extLst>
            <a:ext uri="{FF2B5EF4-FFF2-40B4-BE49-F238E27FC236}">
              <a16:creationId xmlns:a16="http://schemas.microsoft.com/office/drawing/2014/main" id="{1078BC0E-1BDF-EF7D-09E0-82B9053B1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510540</xdr:colOff>
      <xdr:row>30</xdr:row>
      <xdr:rowOff>38100</xdr:rowOff>
    </xdr:from>
    <xdr:to>
      <xdr:col>14</xdr:col>
      <xdr:colOff>281940</xdr:colOff>
      <xdr:row>54</xdr:row>
      <xdr:rowOff>106680</xdr:rowOff>
    </xdr:to>
    <xdr:graphicFrame macro="">
      <xdr:nvGraphicFramePr>
        <xdr:cNvPr id="14339" name="Chart 3">
          <a:extLst>
            <a:ext uri="{FF2B5EF4-FFF2-40B4-BE49-F238E27FC236}">
              <a16:creationId xmlns:a16="http://schemas.microsoft.com/office/drawing/2014/main" id="{5E59CCEF-A0D3-AA13-42C9-CE9AC6D81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4097" name="Object 1" hidden="1">
              <a:extLst>
                <a:ext uri="{63B3BB69-23CF-44E3-9099-C40C66FF867C}">
                  <a14:compatExt spid="_x0000_s4097"/>
                </a:ext>
                <a:ext uri="{FF2B5EF4-FFF2-40B4-BE49-F238E27FC236}">
                  <a16:creationId xmlns:a16="http://schemas.microsoft.com/office/drawing/2014/main" id="{9B55D92C-A3C1-D34F-D038-BE013AD5528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4098" name="Object 2" hidden="1">
              <a:extLst>
                <a:ext uri="{63B3BB69-23CF-44E3-9099-C40C66FF867C}">
                  <a14:compatExt spid="_x0000_s4098"/>
                </a:ext>
                <a:ext uri="{FF2B5EF4-FFF2-40B4-BE49-F238E27FC236}">
                  <a16:creationId xmlns:a16="http://schemas.microsoft.com/office/drawing/2014/main" id="{43F85300-2E4E-CC30-5CAF-BB0F8661D09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4</xdr:col>
      <xdr:colOff>160020</xdr:colOff>
      <xdr:row>34</xdr:row>
      <xdr:rowOff>106680</xdr:rowOff>
    </xdr:from>
    <xdr:to>
      <xdr:col>11</xdr:col>
      <xdr:colOff>419100</xdr:colOff>
      <xdr:row>45</xdr:row>
      <xdr:rowOff>7620</xdr:rowOff>
    </xdr:to>
    <xdr:graphicFrame macro="">
      <xdr:nvGraphicFramePr>
        <xdr:cNvPr id="4099" name="Chart 3">
          <a:extLst>
            <a:ext uri="{FF2B5EF4-FFF2-40B4-BE49-F238E27FC236}">
              <a16:creationId xmlns:a16="http://schemas.microsoft.com/office/drawing/2014/main" id="{73197D49-F0DA-51A7-853B-A4C1C0868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42</xdr:row>
      <xdr:rowOff>91440</xdr:rowOff>
    </xdr:from>
    <xdr:to>
      <xdr:col>14</xdr:col>
      <xdr:colOff>457200</xdr:colOff>
      <xdr:row>57</xdr:row>
      <xdr:rowOff>7620</xdr:rowOff>
    </xdr:to>
    <xdr:graphicFrame macro="">
      <xdr:nvGraphicFramePr>
        <xdr:cNvPr id="4100" name="Chart 4">
          <a:extLst>
            <a:ext uri="{FF2B5EF4-FFF2-40B4-BE49-F238E27FC236}">
              <a16:creationId xmlns:a16="http://schemas.microsoft.com/office/drawing/2014/main" id="{3A89CDF6-43EB-2ECA-CB9C-54C05CA8B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144780</xdr:colOff>
      <xdr:row>47</xdr:row>
      <xdr:rowOff>38100</xdr:rowOff>
    </xdr:from>
    <xdr:to>
      <xdr:col>7</xdr:col>
      <xdr:colOff>320040</xdr:colOff>
      <xdr:row>69</xdr:row>
      <xdr:rowOff>60960</xdr:rowOff>
    </xdr:to>
    <xdr:graphicFrame macro="">
      <xdr:nvGraphicFramePr>
        <xdr:cNvPr id="4101" name="Chart 5">
          <a:extLst>
            <a:ext uri="{FF2B5EF4-FFF2-40B4-BE49-F238E27FC236}">
              <a16:creationId xmlns:a16="http://schemas.microsoft.com/office/drawing/2014/main" id="{1133B792-163B-8D39-7085-F703C5AC5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525780</xdr:colOff>
      <xdr:row>4</xdr:row>
      <xdr:rowOff>22860</xdr:rowOff>
    </xdr:from>
    <xdr:to>
      <xdr:col>12</xdr:col>
      <xdr:colOff>350520</xdr:colOff>
      <xdr:row>13</xdr:row>
      <xdr:rowOff>76200</xdr:rowOff>
    </xdr:to>
    <xdr:graphicFrame macro="">
      <xdr:nvGraphicFramePr>
        <xdr:cNvPr id="4102" name="Chart 6">
          <a:extLst>
            <a:ext uri="{FF2B5EF4-FFF2-40B4-BE49-F238E27FC236}">
              <a16:creationId xmlns:a16="http://schemas.microsoft.com/office/drawing/2014/main" id="{3D1D886E-3013-8DD2-55E7-FF099718A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563880</xdr:colOff>
      <xdr:row>13</xdr:row>
      <xdr:rowOff>152400</xdr:rowOff>
    </xdr:from>
    <xdr:to>
      <xdr:col>12</xdr:col>
      <xdr:colOff>396240</xdr:colOff>
      <xdr:row>28</xdr:row>
      <xdr:rowOff>38100</xdr:rowOff>
    </xdr:to>
    <xdr:graphicFrame macro="">
      <xdr:nvGraphicFramePr>
        <xdr:cNvPr id="4103" name="Chart 7">
          <a:extLst>
            <a:ext uri="{FF2B5EF4-FFF2-40B4-BE49-F238E27FC236}">
              <a16:creationId xmlns:a16="http://schemas.microsoft.com/office/drawing/2014/main" id="{26E5D54C-152C-B4FE-6F5E-D1B7B1C9D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3073" name="Object 1" hidden="1">
              <a:extLst>
                <a:ext uri="{63B3BB69-23CF-44E3-9099-C40C66FF867C}">
                  <a14:compatExt spid="_x0000_s3073"/>
                </a:ext>
                <a:ext uri="{FF2B5EF4-FFF2-40B4-BE49-F238E27FC236}">
                  <a16:creationId xmlns:a16="http://schemas.microsoft.com/office/drawing/2014/main" id="{2DBD805C-8299-28E9-27A1-1EE16972D16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3074" name="Object 2" hidden="1">
              <a:extLst>
                <a:ext uri="{63B3BB69-23CF-44E3-9099-C40C66FF867C}">
                  <a14:compatExt spid="_x0000_s3074"/>
                </a:ext>
                <a:ext uri="{FF2B5EF4-FFF2-40B4-BE49-F238E27FC236}">
                  <a16:creationId xmlns:a16="http://schemas.microsoft.com/office/drawing/2014/main" id="{BF399DB2-0328-ECE4-81A7-998D87064C8F}"/>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3075" name="Object 3" hidden="1">
              <a:extLst>
                <a:ext uri="{63B3BB69-23CF-44E3-9099-C40C66FF867C}">
                  <a14:compatExt spid="_x0000_s3075"/>
                </a:ext>
                <a:ext uri="{FF2B5EF4-FFF2-40B4-BE49-F238E27FC236}">
                  <a16:creationId xmlns:a16="http://schemas.microsoft.com/office/drawing/2014/main" id="{12CFF3E6-FC3B-BCE4-CCC8-9F415F36D5C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3076" name="Object 4" hidden="1">
              <a:extLst>
                <a:ext uri="{63B3BB69-23CF-44E3-9099-C40C66FF867C}">
                  <a14:compatExt spid="_x0000_s3076"/>
                </a:ext>
                <a:ext uri="{FF2B5EF4-FFF2-40B4-BE49-F238E27FC236}">
                  <a16:creationId xmlns:a16="http://schemas.microsoft.com/office/drawing/2014/main" id="{BF241698-5102-549D-6E9A-939B7ADC5DA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4</xdr:col>
      <xdr:colOff>22860</xdr:colOff>
      <xdr:row>36</xdr:row>
      <xdr:rowOff>38100</xdr:rowOff>
    </xdr:from>
    <xdr:to>
      <xdr:col>10</xdr:col>
      <xdr:colOff>472440</xdr:colOff>
      <xdr:row>43</xdr:row>
      <xdr:rowOff>152400</xdr:rowOff>
    </xdr:to>
    <xdr:graphicFrame macro="">
      <xdr:nvGraphicFramePr>
        <xdr:cNvPr id="3077" name="Chart 5">
          <a:extLst>
            <a:ext uri="{FF2B5EF4-FFF2-40B4-BE49-F238E27FC236}">
              <a16:creationId xmlns:a16="http://schemas.microsoft.com/office/drawing/2014/main" id="{2D3B3559-0B25-EEDF-CAFF-5D118CB39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xdr:colOff>
      <xdr:row>43</xdr:row>
      <xdr:rowOff>152400</xdr:rowOff>
    </xdr:from>
    <xdr:to>
      <xdr:col>10</xdr:col>
      <xdr:colOff>571500</xdr:colOff>
      <xdr:row>51</xdr:row>
      <xdr:rowOff>22860</xdr:rowOff>
    </xdr:to>
    <xdr:graphicFrame macro="">
      <xdr:nvGraphicFramePr>
        <xdr:cNvPr id="3078" name="Chart 6">
          <a:extLst>
            <a:ext uri="{FF2B5EF4-FFF2-40B4-BE49-F238E27FC236}">
              <a16:creationId xmlns:a16="http://schemas.microsoft.com/office/drawing/2014/main" id="{7493380C-F8BC-0D02-13FA-6EF220EF7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51</xdr:row>
      <xdr:rowOff>53340</xdr:rowOff>
    </xdr:from>
    <xdr:to>
      <xdr:col>11</xdr:col>
      <xdr:colOff>45720</xdr:colOff>
      <xdr:row>62</xdr:row>
      <xdr:rowOff>76200</xdr:rowOff>
    </xdr:to>
    <xdr:graphicFrame macro="">
      <xdr:nvGraphicFramePr>
        <xdr:cNvPr id="3079" name="Chart 7">
          <a:extLst>
            <a:ext uri="{FF2B5EF4-FFF2-40B4-BE49-F238E27FC236}">
              <a16:creationId xmlns:a16="http://schemas.microsoft.com/office/drawing/2014/main" id="{3C42D1D9-1092-7A50-4FE3-C3AE3836A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525780</xdr:colOff>
      <xdr:row>4</xdr:row>
      <xdr:rowOff>22860</xdr:rowOff>
    </xdr:from>
    <xdr:to>
      <xdr:col>12</xdr:col>
      <xdr:colOff>350520</xdr:colOff>
      <xdr:row>13</xdr:row>
      <xdr:rowOff>76200</xdr:rowOff>
    </xdr:to>
    <xdr:graphicFrame macro="">
      <xdr:nvGraphicFramePr>
        <xdr:cNvPr id="3080" name="Chart 8">
          <a:extLst>
            <a:ext uri="{FF2B5EF4-FFF2-40B4-BE49-F238E27FC236}">
              <a16:creationId xmlns:a16="http://schemas.microsoft.com/office/drawing/2014/main" id="{20571E31-BBD1-0FCB-DC85-5117A0ED2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563880</xdr:colOff>
      <xdr:row>13</xdr:row>
      <xdr:rowOff>152400</xdr:rowOff>
    </xdr:from>
    <xdr:to>
      <xdr:col>12</xdr:col>
      <xdr:colOff>396240</xdr:colOff>
      <xdr:row>26</xdr:row>
      <xdr:rowOff>381000</xdr:rowOff>
    </xdr:to>
    <xdr:graphicFrame macro="">
      <xdr:nvGraphicFramePr>
        <xdr:cNvPr id="3081" name="Chart 9">
          <a:extLst>
            <a:ext uri="{FF2B5EF4-FFF2-40B4-BE49-F238E27FC236}">
              <a16:creationId xmlns:a16="http://schemas.microsoft.com/office/drawing/2014/main" id="{955B26F2-AD78-CC43-9BE2-B87592120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2049" name="Object 1" hidden="1">
              <a:extLst>
                <a:ext uri="{63B3BB69-23CF-44E3-9099-C40C66FF867C}">
                  <a14:compatExt spid="_x0000_s2049"/>
                </a:ext>
                <a:ext uri="{FF2B5EF4-FFF2-40B4-BE49-F238E27FC236}">
                  <a16:creationId xmlns:a16="http://schemas.microsoft.com/office/drawing/2014/main" id="{D5FFD489-0C85-263B-1EA0-86021A6FAB9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2050" name="Object 2" hidden="1">
              <a:extLst>
                <a:ext uri="{63B3BB69-23CF-44E3-9099-C40C66FF867C}">
                  <a14:compatExt spid="_x0000_s2050"/>
                </a:ext>
                <a:ext uri="{FF2B5EF4-FFF2-40B4-BE49-F238E27FC236}">
                  <a16:creationId xmlns:a16="http://schemas.microsoft.com/office/drawing/2014/main" id="{EF11EE70-1EAA-4EA8-1963-87DB1D55154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2</xdr:col>
      <xdr:colOff>434340</xdr:colOff>
      <xdr:row>101</xdr:row>
      <xdr:rowOff>114300</xdr:rowOff>
    </xdr:from>
    <xdr:to>
      <xdr:col>9</xdr:col>
      <xdr:colOff>289560</xdr:colOff>
      <xdr:row>109</xdr:row>
      <xdr:rowOff>160020</xdr:rowOff>
    </xdr:to>
    <xdr:graphicFrame macro="">
      <xdr:nvGraphicFramePr>
        <xdr:cNvPr id="2051" name="Chart 3">
          <a:extLst>
            <a:ext uri="{FF2B5EF4-FFF2-40B4-BE49-F238E27FC236}">
              <a16:creationId xmlns:a16="http://schemas.microsoft.com/office/drawing/2014/main" id="{E64D22A3-88B3-9A7A-87B1-877400B24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80</xdr:row>
      <xdr:rowOff>0</xdr:rowOff>
    </xdr:from>
    <xdr:to>
      <xdr:col>11</xdr:col>
      <xdr:colOff>60960</xdr:colOff>
      <xdr:row>80</xdr:row>
      <xdr:rowOff>0</xdr:rowOff>
    </xdr:to>
    <xdr:graphicFrame macro="">
      <xdr:nvGraphicFramePr>
        <xdr:cNvPr id="2052" name="Chart 4">
          <a:extLst>
            <a:ext uri="{FF2B5EF4-FFF2-40B4-BE49-F238E27FC236}">
              <a16:creationId xmlns:a16="http://schemas.microsoft.com/office/drawing/2014/main" id="{47720D04-80FD-A386-0870-38CCDB08F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411480</xdr:colOff>
      <xdr:row>98</xdr:row>
      <xdr:rowOff>0</xdr:rowOff>
    </xdr:from>
    <xdr:to>
      <xdr:col>7</xdr:col>
      <xdr:colOff>274320</xdr:colOff>
      <xdr:row>103</xdr:row>
      <xdr:rowOff>76200</xdr:rowOff>
    </xdr:to>
    <xdr:graphicFrame macro="">
      <xdr:nvGraphicFramePr>
        <xdr:cNvPr id="2053" name="Chart 5">
          <a:extLst>
            <a:ext uri="{FF2B5EF4-FFF2-40B4-BE49-F238E27FC236}">
              <a16:creationId xmlns:a16="http://schemas.microsoft.com/office/drawing/2014/main" id="{B56CDEBD-C898-C25D-175B-AA363C5A1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99</xdr:row>
      <xdr:rowOff>0</xdr:rowOff>
    </xdr:from>
    <xdr:to>
      <xdr:col>11</xdr:col>
      <xdr:colOff>548640</xdr:colOff>
      <xdr:row>106</xdr:row>
      <xdr:rowOff>53340</xdr:rowOff>
    </xdr:to>
    <xdr:graphicFrame macro="">
      <xdr:nvGraphicFramePr>
        <xdr:cNvPr id="2054" name="Chart 6">
          <a:extLst>
            <a:ext uri="{FF2B5EF4-FFF2-40B4-BE49-F238E27FC236}">
              <a16:creationId xmlns:a16="http://schemas.microsoft.com/office/drawing/2014/main" id="{E6CB7379-D547-13D7-8BCF-2257C7C99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76200</xdr:colOff>
      <xdr:row>6</xdr:row>
      <xdr:rowOff>68580</xdr:rowOff>
    </xdr:from>
    <xdr:to>
      <xdr:col>22</xdr:col>
      <xdr:colOff>548640</xdr:colOff>
      <xdr:row>20</xdr:row>
      <xdr:rowOff>129540</xdr:rowOff>
    </xdr:to>
    <xdr:graphicFrame macro="">
      <xdr:nvGraphicFramePr>
        <xdr:cNvPr id="2055" name="Chart 7">
          <a:extLst>
            <a:ext uri="{FF2B5EF4-FFF2-40B4-BE49-F238E27FC236}">
              <a16:creationId xmlns:a16="http://schemas.microsoft.com/office/drawing/2014/main" id="{9AE54233-A37B-43BE-E9DF-792071E43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563880</xdr:colOff>
      <xdr:row>13</xdr:row>
      <xdr:rowOff>152400</xdr:rowOff>
    </xdr:from>
    <xdr:to>
      <xdr:col>12</xdr:col>
      <xdr:colOff>396240</xdr:colOff>
      <xdr:row>28</xdr:row>
      <xdr:rowOff>38100</xdr:rowOff>
    </xdr:to>
    <xdr:graphicFrame macro="">
      <xdr:nvGraphicFramePr>
        <xdr:cNvPr id="2056" name="Chart 8">
          <a:extLst>
            <a:ext uri="{FF2B5EF4-FFF2-40B4-BE49-F238E27FC236}">
              <a16:creationId xmlns:a16="http://schemas.microsoft.com/office/drawing/2014/main" id="{AAA7F0A7-2EAC-E4A7-3657-B4FE29B36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1027" name="Object 3" hidden="1">
              <a:extLst>
                <a:ext uri="{63B3BB69-23CF-44E3-9099-C40C66FF867C}">
                  <a14:compatExt spid="_x0000_s1027"/>
                </a:ext>
                <a:ext uri="{FF2B5EF4-FFF2-40B4-BE49-F238E27FC236}">
                  <a16:creationId xmlns:a16="http://schemas.microsoft.com/office/drawing/2014/main" id="{671B57DD-99F1-CDC0-3FF9-AB24DDFDE96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1028" name="Object 4" hidden="1">
              <a:extLst>
                <a:ext uri="{63B3BB69-23CF-44E3-9099-C40C66FF867C}">
                  <a14:compatExt spid="_x0000_s1028"/>
                </a:ext>
                <a:ext uri="{FF2B5EF4-FFF2-40B4-BE49-F238E27FC236}">
                  <a16:creationId xmlns:a16="http://schemas.microsoft.com/office/drawing/2014/main" id="{57660DE9-D1C3-0D61-7F1B-CDE2F6CF583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7</xdr:col>
      <xdr:colOff>601980</xdr:colOff>
      <xdr:row>57</xdr:row>
      <xdr:rowOff>0</xdr:rowOff>
    </xdr:from>
    <xdr:to>
      <xdr:col>14</xdr:col>
      <xdr:colOff>426720</xdr:colOff>
      <xdr:row>63</xdr:row>
      <xdr:rowOff>114300</xdr:rowOff>
    </xdr:to>
    <xdr:graphicFrame macro="">
      <xdr:nvGraphicFramePr>
        <xdr:cNvPr id="1029" name="Chart 5">
          <a:extLst>
            <a:ext uri="{FF2B5EF4-FFF2-40B4-BE49-F238E27FC236}">
              <a16:creationId xmlns:a16="http://schemas.microsoft.com/office/drawing/2014/main" id="{3F2464AD-A601-514D-9ADA-E4ABD5550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56</xdr:row>
      <xdr:rowOff>60960</xdr:rowOff>
    </xdr:from>
    <xdr:to>
      <xdr:col>7</xdr:col>
      <xdr:colOff>571500</xdr:colOff>
      <xdr:row>69</xdr:row>
      <xdr:rowOff>0</xdr:rowOff>
    </xdr:to>
    <xdr:graphicFrame macro="">
      <xdr:nvGraphicFramePr>
        <xdr:cNvPr id="1030" name="Chart 6">
          <a:extLst>
            <a:ext uri="{FF2B5EF4-FFF2-40B4-BE49-F238E27FC236}">
              <a16:creationId xmlns:a16="http://schemas.microsoft.com/office/drawing/2014/main" id="{1145E2B0-D7F7-88C9-C268-93EB05891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388620</xdr:colOff>
      <xdr:row>66</xdr:row>
      <xdr:rowOff>7620</xdr:rowOff>
    </xdr:from>
    <xdr:to>
      <xdr:col>14</xdr:col>
      <xdr:colOff>220980</xdr:colOff>
      <xdr:row>71</xdr:row>
      <xdr:rowOff>7620</xdr:rowOff>
    </xdr:to>
    <xdr:graphicFrame macro="">
      <xdr:nvGraphicFramePr>
        <xdr:cNvPr id="1031" name="Chart 7">
          <a:extLst>
            <a:ext uri="{FF2B5EF4-FFF2-40B4-BE49-F238E27FC236}">
              <a16:creationId xmlns:a16="http://schemas.microsoft.com/office/drawing/2014/main" id="{F9D27C4D-BC95-4D69-CD37-113823618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525780</xdr:colOff>
      <xdr:row>4</xdr:row>
      <xdr:rowOff>22860</xdr:rowOff>
    </xdr:from>
    <xdr:to>
      <xdr:col>12</xdr:col>
      <xdr:colOff>350520</xdr:colOff>
      <xdr:row>13</xdr:row>
      <xdr:rowOff>76200</xdr:rowOff>
    </xdr:to>
    <xdr:graphicFrame macro="">
      <xdr:nvGraphicFramePr>
        <xdr:cNvPr id="1032" name="Chart 8">
          <a:extLst>
            <a:ext uri="{FF2B5EF4-FFF2-40B4-BE49-F238E27FC236}">
              <a16:creationId xmlns:a16="http://schemas.microsoft.com/office/drawing/2014/main" id="{3EE9BA33-A1FF-97EA-9323-C75C281F9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563880</xdr:colOff>
      <xdr:row>13</xdr:row>
      <xdr:rowOff>152400</xdr:rowOff>
    </xdr:from>
    <xdr:to>
      <xdr:col>12</xdr:col>
      <xdr:colOff>396240</xdr:colOff>
      <xdr:row>28</xdr:row>
      <xdr:rowOff>38100</xdr:rowOff>
    </xdr:to>
    <xdr:graphicFrame macro="">
      <xdr:nvGraphicFramePr>
        <xdr:cNvPr id="1033" name="Chart 9">
          <a:extLst>
            <a:ext uri="{FF2B5EF4-FFF2-40B4-BE49-F238E27FC236}">
              <a16:creationId xmlns:a16="http://schemas.microsoft.com/office/drawing/2014/main" id="{EFED4CFA-8A10-1E0E-78EF-D8E05E81B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12289" name="Object 1" hidden="1">
              <a:extLst>
                <a:ext uri="{63B3BB69-23CF-44E3-9099-C40C66FF867C}">
                  <a14:compatExt spid="_x0000_s12289"/>
                </a:ext>
                <a:ext uri="{FF2B5EF4-FFF2-40B4-BE49-F238E27FC236}">
                  <a16:creationId xmlns:a16="http://schemas.microsoft.com/office/drawing/2014/main" id="{2FB1229B-2539-14C5-5F35-FA3DBCACFF1D}"/>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68BC87DD-9F84-60E8-27DB-15E4BA5BDFA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0</xdr:col>
      <xdr:colOff>266700</xdr:colOff>
      <xdr:row>52</xdr:row>
      <xdr:rowOff>0</xdr:rowOff>
    </xdr:from>
    <xdr:to>
      <xdr:col>8</xdr:col>
      <xdr:colOff>259080</xdr:colOff>
      <xdr:row>68</xdr:row>
      <xdr:rowOff>38100</xdr:rowOff>
    </xdr:to>
    <xdr:graphicFrame macro="">
      <xdr:nvGraphicFramePr>
        <xdr:cNvPr id="12291" name="Chart 3">
          <a:extLst>
            <a:ext uri="{FF2B5EF4-FFF2-40B4-BE49-F238E27FC236}">
              <a16:creationId xmlns:a16="http://schemas.microsoft.com/office/drawing/2014/main" id="{9FDD7CA7-F7F3-7F4D-DA45-F21006620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39</xdr:row>
      <xdr:rowOff>99060</xdr:rowOff>
    </xdr:from>
    <xdr:to>
      <xdr:col>11</xdr:col>
      <xdr:colOff>487680</xdr:colOff>
      <xdr:row>49</xdr:row>
      <xdr:rowOff>7620</xdr:rowOff>
    </xdr:to>
    <xdr:graphicFrame macro="">
      <xdr:nvGraphicFramePr>
        <xdr:cNvPr id="12292" name="Chart 4">
          <a:extLst>
            <a:ext uri="{FF2B5EF4-FFF2-40B4-BE49-F238E27FC236}">
              <a16:creationId xmlns:a16="http://schemas.microsoft.com/office/drawing/2014/main" id="{7B9F2F01-0AFE-C4C7-CE3B-A3DD6939B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12293" name="Object 5" hidden="1">
              <a:extLst>
                <a:ext uri="{63B3BB69-23CF-44E3-9099-C40C66FF867C}">
                  <a14:compatExt spid="_x0000_s12293"/>
                </a:ext>
                <a:ext uri="{FF2B5EF4-FFF2-40B4-BE49-F238E27FC236}">
                  <a16:creationId xmlns:a16="http://schemas.microsoft.com/office/drawing/2014/main" id="{64D81031-29D0-AA7B-EC8F-F110A40BD2B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12294" name="Object 6" hidden="1">
              <a:extLst>
                <a:ext uri="{63B3BB69-23CF-44E3-9099-C40C66FF867C}">
                  <a14:compatExt spid="_x0000_s12294"/>
                </a:ext>
                <a:ext uri="{FF2B5EF4-FFF2-40B4-BE49-F238E27FC236}">
                  <a16:creationId xmlns:a16="http://schemas.microsoft.com/office/drawing/2014/main" id="{FC6E413C-3FEC-6195-1D82-CFFB3B12E8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7</xdr:col>
      <xdr:colOff>251460</xdr:colOff>
      <xdr:row>50</xdr:row>
      <xdr:rowOff>99060</xdr:rowOff>
    </xdr:from>
    <xdr:to>
      <xdr:col>15</xdr:col>
      <xdr:colOff>68580</xdr:colOff>
      <xdr:row>59</xdr:row>
      <xdr:rowOff>60960</xdr:rowOff>
    </xdr:to>
    <xdr:graphicFrame macro="">
      <xdr:nvGraphicFramePr>
        <xdr:cNvPr id="12295" name="Chart 7">
          <a:extLst>
            <a:ext uri="{FF2B5EF4-FFF2-40B4-BE49-F238E27FC236}">
              <a16:creationId xmlns:a16="http://schemas.microsoft.com/office/drawing/2014/main" id="{ED15C72D-1F0E-14FB-C13F-943272C1D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403860</xdr:colOff>
      <xdr:row>1</xdr:row>
      <xdr:rowOff>144780</xdr:rowOff>
    </xdr:from>
    <xdr:to>
      <xdr:col>23</xdr:col>
      <xdr:colOff>259080</xdr:colOff>
      <xdr:row>10</xdr:row>
      <xdr:rowOff>129540</xdr:rowOff>
    </xdr:to>
    <xdr:graphicFrame macro="">
      <xdr:nvGraphicFramePr>
        <xdr:cNvPr id="12298" name="Chart 10">
          <a:extLst>
            <a:ext uri="{FF2B5EF4-FFF2-40B4-BE49-F238E27FC236}">
              <a16:creationId xmlns:a16="http://schemas.microsoft.com/office/drawing/2014/main" id="{1C399278-9EE3-DD4B-AB7A-DB9C8EC97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137160</xdr:colOff>
      <xdr:row>15</xdr:row>
      <xdr:rowOff>91440</xdr:rowOff>
    </xdr:from>
    <xdr:to>
      <xdr:col>23</xdr:col>
      <xdr:colOff>0</xdr:colOff>
      <xdr:row>29</xdr:row>
      <xdr:rowOff>152400</xdr:rowOff>
    </xdr:to>
    <xdr:graphicFrame macro="">
      <xdr:nvGraphicFramePr>
        <xdr:cNvPr id="12299" name="Chart 11">
          <a:extLst>
            <a:ext uri="{FF2B5EF4-FFF2-40B4-BE49-F238E27FC236}">
              <a16:creationId xmlns:a16="http://schemas.microsoft.com/office/drawing/2014/main" id="{0BE50945-6420-FE72-7702-325FE23EC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152400</xdr:colOff>
      <xdr:row>32</xdr:row>
      <xdr:rowOff>129540</xdr:rowOff>
    </xdr:from>
    <xdr:to>
      <xdr:col>18</xdr:col>
      <xdr:colOff>335280</xdr:colOff>
      <xdr:row>48</xdr:row>
      <xdr:rowOff>7620</xdr:rowOff>
    </xdr:to>
    <xdr:graphicFrame macro="">
      <xdr:nvGraphicFramePr>
        <xdr:cNvPr id="12300" name="Chart 12">
          <a:extLst>
            <a:ext uri="{FF2B5EF4-FFF2-40B4-BE49-F238E27FC236}">
              <a16:creationId xmlns:a16="http://schemas.microsoft.com/office/drawing/2014/main" id="{2D5BF752-56D0-9DAC-AD0D-A35FD44BC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11265" name="Object 1" hidden="1">
              <a:extLst>
                <a:ext uri="{63B3BB69-23CF-44E3-9099-C40C66FF867C}">
                  <a14:compatExt spid="_x0000_s11265"/>
                </a:ext>
                <a:ext uri="{FF2B5EF4-FFF2-40B4-BE49-F238E27FC236}">
                  <a16:creationId xmlns:a16="http://schemas.microsoft.com/office/drawing/2014/main" id="{F726F892-C27E-BFB7-5685-4A1FFA9B62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11266" name="Object 2" hidden="1">
              <a:extLst>
                <a:ext uri="{63B3BB69-23CF-44E3-9099-C40C66FF867C}">
                  <a14:compatExt spid="_x0000_s11266"/>
                </a:ext>
                <a:ext uri="{FF2B5EF4-FFF2-40B4-BE49-F238E27FC236}">
                  <a16:creationId xmlns:a16="http://schemas.microsoft.com/office/drawing/2014/main" id="{7108E2D2-F238-8B75-B930-FC679DFBC00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0</xdr:col>
      <xdr:colOff>297180</xdr:colOff>
      <xdr:row>42</xdr:row>
      <xdr:rowOff>22860</xdr:rowOff>
    </xdr:from>
    <xdr:to>
      <xdr:col>7</xdr:col>
      <xdr:colOff>548640</xdr:colOff>
      <xdr:row>57</xdr:row>
      <xdr:rowOff>22860</xdr:rowOff>
    </xdr:to>
    <xdr:graphicFrame macro="">
      <xdr:nvGraphicFramePr>
        <xdr:cNvPr id="11267" name="Chart 3">
          <a:extLst>
            <a:ext uri="{FF2B5EF4-FFF2-40B4-BE49-F238E27FC236}">
              <a16:creationId xmlns:a16="http://schemas.microsoft.com/office/drawing/2014/main" id="{ECE6F21F-FB98-B9B7-E2DA-F82492C6C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76200</xdr:rowOff>
    </xdr:from>
    <xdr:to>
      <xdr:col>7</xdr:col>
      <xdr:colOff>160020</xdr:colOff>
      <xdr:row>41</xdr:row>
      <xdr:rowOff>99060</xdr:rowOff>
    </xdr:to>
    <xdr:graphicFrame macro="">
      <xdr:nvGraphicFramePr>
        <xdr:cNvPr id="11268" name="Chart 4">
          <a:extLst>
            <a:ext uri="{FF2B5EF4-FFF2-40B4-BE49-F238E27FC236}">
              <a16:creationId xmlns:a16="http://schemas.microsoft.com/office/drawing/2014/main" id="{34C58E64-A9B2-FCA6-8279-0042B3179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11269" name="Object 5" hidden="1">
              <a:extLst>
                <a:ext uri="{63B3BB69-23CF-44E3-9099-C40C66FF867C}">
                  <a14:compatExt spid="_x0000_s11269"/>
                </a:ext>
                <a:ext uri="{FF2B5EF4-FFF2-40B4-BE49-F238E27FC236}">
                  <a16:creationId xmlns:a16="http://schemas.microsoft.com/office/drawing/2014/main" id="{0D0097B0-6F0F-33D4-5D42-8F57576EE94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11270" name="Object 6" hidden="1">
              <a:extLst>
                <a:ext uri="{63B3BB69-23CF-44E3-9099-C40C66FF867C}">
                  <a14:compatExt spid="_x0000_s11270"/>
                </a:ext>
                <a:ext uri="{FF2B5EF4-FFF2-40B4-BE49-F238E27FC236}">
                  <a16:creationId xmlns:a16="http://schemas.microsoft.com/office/drawing/2014/main" id="{2C2BA946-FE3D-8F80-2602-8C03F775FB7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7</xdr:col>
      <xdr:colOff>434340</xdr:colOff>
      <xdr:row>29</xdr:row>
      <xdr:rowOff>60960</xdr:rowOff>
    </xdr:from>
    <xdr:to>
      <xdr:col>15</xdr:col>
      <xdr:colOff>160020</xdr:colOff>
      <xdr:row>36</xdr:row>
      <xdr:rowOff>7620</xdr:rowOff>
    </xdr:to>
    <xdr:graphicFrame macro="">
      <xdr:nvGraphicFramePr>
        <xdr:cNvPr id="11271" name="Chart 7">
          <a:extLst>
            <a:ext uri="{FF2B5EF4-FFF2-40B4-BE49-F238E27FC236}">
              <a16:creationId xmlns:a16="http://schemas.microsoft.com/office/drawing/2014/main" id="{C2B8B5D2-8D55-C82D-CFB2-F62F0E60E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xdr:row>
      <xdr:rowOff>548640</xdr:rowOff>
    </xdr:from>
    <xdr:to>
      <xdr:col>6</xdr:col>
      <xdr:colOff>457200</xdr:colOff>
      <xdr:row>17</xdr:row>
      <xdr:rowOff>22860</xdr:rowOff>
    </xdr:to>
    <xdr:graphicFrame macro="">
      <xdr:nvGraphicFramePr>
        <xdr:cNvPr id="11272" name="Chart 8">
          <a:extLst>
            <a:ext uri="{FF2B5EF4-FFF2-40B4-BE49-F238E27FC236}">
              <a16:creationId xmlns:a16="http://schemas.microsoft.com/office/drawing/2014/main" id="{B3560487-DFBD-BC42-76B1-18A1F9489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160020</xdr:colOff>
      <xdr:row>21</xdr:row>
      <xdr:rowOff>502920</xdr:rowOff>
    </xdr:from>
    <xdr:to>
      <xdr:col>12</xdr:col>
      <xdr:colOff>609600</xdr:colOff>
      <xdr:row>35</xdr:row>
      <xdr:rowOff>91440</xdr:rowOff>
    </xdr:to>
    <xdr:graphicFrame macro="">
      <xdr:nvGraphicFramePr>
        <xdr:cNvPr id="11273" name="Chart 9">
          <a:extLst>
            <a:ext uri="{FF2B5EF4-FFF2-40B4-BE49-F238E27FC236}">
              <a16:creationId xmlns:a16="http://schemas.microsoft.com/office/drawing/2014/main" id="{FEF0AAF7-A31C-40C9-A252-33BFBD3BF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44</xdr:row>
      <xdr:rowOff>0</xdr:rowOff>
    </xdr:from>
    <xdr:to>
      <xdr:col>17</xdr:col>
      <xdr:colOff>281940</xdr:colOff>
      <xdr:row>59</xdr:row>
      <xdr:rowOff>7620</xdr:rowOff>
    </xdr:to>
    <xdr:graphicFrame macro="">
      <xdr:nvGraphicFramePr>
        <xdr:cNvPr id="11274" name="Chart 10">
          <a:extLst>
            <a:ext uri="{FF2B5EF4-FFF2-40B4-BE49-F238E27FC236}">
              <a16:creationId xmlns:a16="http://schemas.microsoft.com/office/drawing/2014/main" id="{7325DF6A-F2B6-4DB3-1636-4BB38457E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F411DFE-FDDE-29A4-E593-EF66E56EA26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9AB86CFC-4FA0-6E78-8666-F728987C14E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0</xdr:col>
      <xdr:colOff>601980</xdr:colOff>
      <xdr:row>58</xdr:row>
      <xdr:rowOff>53340</xdr:rowOff>
    </xdr:from>
    <xdr:to>
      <xdr:col>8</xdr:col>
      <xdr:colOff>259080</xdr:colOff>
      <xdr:row>71</xdr:row>
      <xdr:rowOff>60960</xdr:rowOff>
    </xdr:to>
    <xdr:graphicFrame macro="">
      <xdr:nvGraphicFramePr>
        <xdr:cNvPr id="10243" name="Chart 3">
          <a:extLst>
            <a:ext uri="{FF2B5EF4-FFF2-40B4-BE49-F238E27FC236}">
              <a16:creationId xmlns:a16="http://schemas.microsoft.com/office/drawing/2014/main" id="{9FCEA539-7096-7C18-EACD-F3E532D46B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251460</xdr:colOff>
      <xdr:row>44</xdr:row>
      <xdr:rowOff>7620</xdr:rowOff>
    </xdr:from>
    <xdr:to>
      <xdr:col>7</xdr:col>
      <xdr:colOff>411480</xdr:colOff>
      <xdr:row>55</xdr:row>
      <xdr:rowOff>99060</xdr:rowOff>
    </xdr:to>
    <xdr:graphicFrame macro="">
      <xdr:nvGraphicFramePr>
        <xdr:cNvPr id="10244" name="Chart 4">
          <a:extLst>
            <a:ext uri="{FF2B5EF4-FFF2-40B4-BE49-F238E27FC236}">
              <a16:creationId xmlns:a16="http://schemas.microsoft.com/office/drawing/2014/main" id="{293E32D2-0EE2-D1C9-FCAE-6E7D150FC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10245" name="Object 5" hidden="1">
              <a:extLst>
                <a:ext uri="{63B3BB69-23CF-44E3-9099-C40C66FF867C}">
                  <a14:compatExt spid="_x0000_s10245"/>
                </a:ext>
                <a:ext uri="{FF2B5EF4-FFF2-40B4-BE49-F238E27FC236}">
                  <a16:creationId xmlns:a16="http://schemas.microsoft.com/office/drawing/2014/main" id="{2CA8FFCA-39BF-84BA-126F-01BD572CD16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9A0AB2F3-F9FB-B31E-52E0-7A98D64F7E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4</xdr:col>
      <xdr:colOff>213360</xdr:colOff>
      <xdr:row>42</xdr:row>
      <xdr:rowOff>76200</xdr:rowOff>
    </xdr:from>
    <xdr:to>
      <xdr:col>12</xdr:col>
      <xdr:colOff>144780</xdr:colOff>
      <xdr:row>55</xdr:row>
      <xdr:rowOff>91440</xdr:rowOff>
    </xdr:to>
    <xdr:graphicFrame macro="">
      <xdr:nvGraphicFramePr>
        <xdr:cNvPr id="10247" name="Chart 7">
          <a:extLst>
            <a:ext uri="{FF2B5EF4-FFF2-40B4-BE49-F238E27FC236}">
              <a16:creationId xmlns:a16="http://schemas.microsoft.com/office/drawing/2014/main" id="{E182FC27-B02C-A5AA-7BB2-FE59B2CBA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5</xdr:row>
      <xdr:rowOff>30480</xdr:rowOff>
    </xdr:from>
    <xdr:to>
      <xdr:col>12</xdr:col>
      <xdr:colOff>327660</xdr:colOff>
      <xdr:row>14</xdr:row>
      <xdr:rowOff>76200</xdr:rowOff>
    </xdr:to>
    <xdr:graphicFrame macro="">
      <xdr:nvGraphicFramePr>
        <xdr:cNvPr id="10251" name="Chart 11">
          <a:extLst>
            <a:ext uri="{FF2B5EF4-FFF2-40B4-BE49-F238E27FC236}">
              <a16:creationId xmlns:a16="http://schemas.microsoft.com/office/drawing/2014/main" id="{1F860DA5-85B9-C24B-8DF7-BDDEA25AB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541020</xdr:colOff>
      <xdr:row>14</xdr:row>
      <xdr:rowOff>152400</xdr:rowOff>
    </xdr:from>
    <xdr:to>
      <xdr:col>12</xdr:col>
      <xdr:colOff>365760</xdr:colOff>
      <xdr:row>29</xdr:row>
      <xdr:rowOff>38100</xdr:rowOff>
    </xdr:to>
    <xdr:graphicFrame macro="">
      <xdr:nvGraphicFramePr>
        <xdr:cNvPr id="10252" name="Chart 12">
          <a:extLst>
            <a:ext uri="{FF2B5EF4-FFF2-40B4-BE49-F238E27FC236}">
              <a16:creationId xmlns:a16="http://schemas.microsoft.com/office/drawing/2014/main" id="{FE567E38-FAF5-ADD7-D606-AB042B972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46</xdr:row>
      <xdr:rowOff>0</xdr:rowOff>
    </xdr:from>
    <xdr:to>
      <xdr:col>20</xdr:col>
      <xdr:colOff>320040</xdr:colOff>
      <xdr:row>59</xdr:row>
      <xdr:rowOff>15240</xdr:rowOff>
    </xdr:to>
    <xdr:graphicFrame macro="">
      <xdr:nvGraphicFramePr>
        <xdr:cNvPr id="10253" name="Chart 13">
          <a:extLst>
            <a:ext uri="{FF2B5EF4-FFF2-40B4-BE49-F238E27FC236}">
              <a16:creationId xmlns:a16="http://schemas.microsoft.com/office/drawing/2014/main" id="{DA054671-AC84-209C-68BE-D76B8AF17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9217" name="Object 1" hidden="1">
              <a:extLst>
                <a:ext uri="{63B3BB69-23CF-44E3-9099-C40C66FF867C}">
                  <a14:compatExt spid="_x0000_s9217"/>
                </a:ext>
                <a:ext uri="{FF2B5EF4-FFF2-40B4-BE49-F238E27FC236}">
                  <a16:creationId xmlns:a16="http://schemas.microsoft.com/office/drawing/2014/main" id="{ACFFE97E-6180-462A-BB33-C53DA6C65AB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9218" name="Object 2" hidden="1">
              <a:extLst>
                <a:ext uri="{63B3BB69-23CF-44E3-9099-C40C66FF867C}">
                  <a14:compatExt spid="_x0000_s9218"/>
                </a:ext>
                <a:ext uri="{FF2B5EF4-FFF2-40B4-BE49-F238E27FC236}">
                  <a16:creationId xmlns:a16="http://schemas.microsoft.com/office/drawing/2014/main" id="{13F81F76-2183-39F6-928B-30253B8EE7E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0</xdr:col>
      <xdr:colOff>388620</xdr:colOff>
      <xdr:row>57</xdr:row>
      <xdr:rowOff>129540</xdr:rowOff>
    </xdr:from>
    <xdr:to>
      <xdr:col>9</xdr:col>
      <xdr:colOff>167640</xdr:colOff>
      <xdr:row>73</xdr:row>
      <xdr:rowOff>38100</xdr:rowOff>
    </xdr:to>
    <xdr:graphicFrame macro="">
      <xdr:nvGraphicFramePr>
        <xdr:cNvPr id="9219" name="Chart 3">
          <a:extLst>
            <a:ext uri="{FF2B5EF4-FFF2-40B4-BE49-F238E27FC236}">
              <a16:creationId xmlns:a16="http://schemas.microsoft.com/office/drawing/2014/main" id="{F7B127DC-A68F-5632-C354-DB68ED124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76200</xdr:rowOff>
    </xdr:from>
    <xdr:to>
      <xdr:col>7</xdr:col>
      <xdr:colOff>160020</xdr:colOff>
      <xdr:row>56</xdr:row>
      <xdr:rowOff>99060</xdr:rowOff>
    </xdr:to>
    <xdr:graphicFrame macro="">
      <xdr:nvGraphicFramePr>
        <xdr:cNvPr id="9221" name="Chart 5">
          <a:extLst>
            <a:ext uri="{FF2B5EF4-FFF2-40B4-BE49-F238E27FC236}">
              <a16:creationId xmlns:a16="http://schemas.microsoft.com/office/drawing/2014/main" id="{072B1502-9E29-6C78-E72C-A5901CDC0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9222" name="Object 6" hidden="1">
              <a:extLst>
                <a:ext uri="{63B3BB69-23CF-44E3-9099-C40C66FF867C}">
                  <a14:compatExt spid="_x0000_s9222"/>
                </a:ext>
                <a:ext uri="{FF2B5EF4-FFF2-40B4-BE49-F238E27FC236}">
                  <a16:creationId xmlns:a16="http://schemas.microsoft.com/office/drawing/2014/main" id="{9157C8F9-ACE5-5E78-3879-E51A8C17A9C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9223" name="Object 7" hidden="1">
              <a:extLst>
                <a:ext uri="{63B3BB69-23CF-44E3-9099-C40C66FF867C}">
                  <a14:compatExt spid="_x0000_s9223"/>
                </a:ext>
                <a:ext uri="{FF2B5EF4-FFF2-40B4-BE49-F238E27FC236}">
                  <a16:creationId xmlns:a16="http://schemas.microsoft.com/office/drawing/2014/main" id="{A156A6C6-5BB4-48AF-1816-A87A9C0351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7</xdr:col>
      <xdr:colOff>434340</xdr:colOff>
      <xdr:row>44</xdr:row>
      <xdr:rowOff>60960</xdr:rowOff>
    </xdr:from>
    <xdr:to>
      <xdr:col>15</xdr:col>
      <xdr:colOff>160020</xdr:colOff>
      <xdr:row>51</xdr:row>
      <xdr:rowOff>7620</xdr:rowOff>
    </xdr:to>
    <xdr:graphicFrame macro="">
      <xdr:nvGraphicFramePr>
        <xdr:cNvPr id="9225" name="Chart 9">
          <a:extLst>
            <a:ext uri="{FF2B5EF4-FFF2-40B4-BE49-F238E27FC236}">
              <a16:creationId xmlns:a16="http://schemas.microsoft.com/office/drawing/2014/main" id="{0C3EED4C-C913-5397-9970-4F320A567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4</xdr:row>
      <xdr:rowOff>22860</xdr:rowOff>
    </xdr:from>
    <xdr:to>
      <xdr:col>12</xdr:col>
      <xdr:colOff>327660</xdr:colOff>
      <xdr:row>13</xdr:row>
      <xdr:rowOff>76200</xdr:rowOff>
    </xdr:to>
    <xdr:graphicFrame macro="">
      <xdr:nvGraphicFramePr>
        <xdr:cNvPr id="9227" name="Chart 11">
          <a:extLst>
            <a:ext uri="{FF2B5EF4-FFF2-40B4-BE49-F238E27FC236}">
              <a16:creationId xmlns:a16="http://schemas.microsoft.com/office/drawing/2014/main" id="{E8ABE89D-5130-F63E-2A74-981A843A4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541020</xdr:colOff>
      <xdr:row>13</xdr:row>
      <xdr:rowOff>152400</xdr:rowOff>
    </xdr:from>
    <xdr:to>
      <xdr:col>12</xdr:col>
      <xdr:colOff>365760</xdr:colOff>
      <xdr:row>28</xdr:row>
      <xdr:rowOff>38100</xdr:rowOff>
    </xdr:to>
    <xdr:graphicFrame macro="">
      <xdr:nvGraphicFramePr>
        <xdr:cNvPr id="9228" name="Chart 12">
          <a:extLst>
            <a:ext uri="{FF2B5EF4-FFF2-40B4-BE49-F238E27FC236}">
              <a16:creationId xmlns:a16="http://schemas.microsoft.com/office/drawing/2014/main" id="{4BC561D9-01F0-E703-3A95-871D50240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53</xdr:row>
      <xdr:rowOff>0</xdr:rowOff>
    </xdr:from>
    <xdr:to>
      <xdr:col>19</xdr:col>
      <xdr:colOff>457200</xdr:colOff>
      <xdr:row>68</xdr:row>
      <xdr:rowOff>91440</xdr:rowOff>
    </xdr:to>
    <xdr:graphicFrame macro="">
      <xdr:nvGraphicFramePr>
        <xdr:cNvPr id="9229" name="Chart 13">
          <a:extLst>
            <a:ext uri="{FF2B5EF4-FFF2-40B4-BE49-F238E27FC236}">
              <a16:creationId xmlns:a16="http://schemas.microsoft.com/office/drawing/2014/main" id="{AB1196E7-2FB3-22A7-E209-34BC622FE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3CF0F813-E500-2203-4E99-5EC91FA9EC3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8194" name="Object 2" hidden="1">
              <a:extLst>
                <a:ext uri="{63B3BB69-23CF-44E3-9099-C40C66FF867C}">
                  <a14:compatExt spid="_x0000_s8194"/>
                </a:ext>
                <a:ext uri="{FF2B5EF4-FFF2-40B4-BE49-F238E27FC236}">
                  <a16:creationId xmlns:a16="http://schemas.microsoft.com/office/drawing/2014/main" id="{6C768921-FF8F-A399-3B72-EF42CE6F6DB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0</xdr:col>
      <xdr:colOff>228600</xdr:colOff>
      <xdr:row>64</xdr:row>
      <xdr:rowOff>160020</xdr:rowOff>
    </xdr:from>
    <xdr:to>
      <xdr:col>9</xdr:col>
      <xdr:colOff>266700</xdr:colOff>
      <xdr:row>84</xdr:row>
      <xdr:rowOff>38100</xdr:rowOff>
    </xdr:to>
    <xdr:graphicFrame macro="">
      <xdr:nvGraphicFramePr>
        <xdr:cNvPr id="8195" name="Chart 3">
          <a:extLst>
            <a:ext uri="{FF2B5EF4-FFF2-40B4-BE49-F238E27FC236}">
              <a16:creationId xmlns:a16="http://schemas.microsoft.com/office/drawing/2014/main" id="{060B2A34-5C4A-1997-F80E-4D40C6D7D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502920</xdr:colOff>
      <xdr:row>49</xdr:row>
      <xdr:rowOff>38100</xdr:rowOff>
    </xdr:from>
    <xdr:to>
      <xdr:col>15</xdr:col>
      <xdr:colOff>228600</xdr:colOff>
      <xdr:row>54</xdr:row>
      <xdr:rowOff>0</xdr:rowOff>
    </xdr:to>
    <xdr:graphicFrame macro="">
      <xdr:nvGraphicFramePr>
        <xdr:cNvPr id="8196" name="Chart 4">
          <a:extLst>
            <a:ext uri="{FF2B5EF4-FFF2-40B4-BE49-F238E27FC236}">
              <a16:creationId xmlns:a16="http://schemas.microsoft.com/office/drawing/2014/main" id="{D754463B-40D4-4BFF-769C-5B54FDB3A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144780</xdr:colOff>
      <xdr:row>48</xdr:row>
      <xdr:rowOff>22860</xdr:rowOff>
    </xdr:from>
    <xdr:to>
      <xdr:col>7</xdr:col>
      <xdr:colOff>320040</xdr:colOff>
      <xdr:row>64</xdr:row>
      <xdr:rowOff>38100</xdr:rowOff>
    </xdr:to>
    <xdr:graphicFrame macro="">
      <xdr:nvGraphicFramePr>
        <xdr:cNvPr id="8197" name="Chart 5">
          <a:extLst>
            <a:ext uri="{FF2B5EF4-FFF2-40B4-BE49-F238E27FC236}">
              <a16:creationId xmlns:a16="http://schemas.microsoft.com/office/drawing/2014/main" id="{62698EBE-65AF-67A1-8D2D-5429CF511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236220</xdr:colOff>
      <xdr:row>10</xdr:row>
      <xdr:rowOff>152400</xdr:rowOff>
    </xdr:from>
    <xdr:to>
      <xdr:col>7</xdr:col>
      <xdr:colOff>68580</xdr:colOff>
      <xdr:row>25</xdr:row>
      <xdr:rowOff>38100</xdr:rowOff>
    </xdr:to>
    <xdr:graphicFrame macro="">
      <xdr:nvGraphicFramePr>
        <xdr:cNvPr id="8200" name="Chart 8">
          <a:extLst>
            <a:ext uri="{FF2B5EF4-FFF2-40B4-BE49-F238E27FC236}">
              <a16:creationId xmlns:a16="http://schemas.microsoft.com/office/drawing/2014/main" id="{EE26E5EC-C18B-99C4-E049-37E00EB0F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487680</xdr:colOff>
      <xdr:row>19</xdr:row>
      <xdr:rowOff>91440</xdr:rowOff>
    </xdr:from>
    <xdr:to>
      <xdr:col>8</xdr:col>
      <xdr:colOff>320040</xdr:colOff>
      <xdr:row>33</xdr:row>
      <xdr:rowOff>144780</xdr:rowOff>
    </xdr:to>
    <xdr:graphicFrame macro="">
      <xdr:nvGraphicFramePr>
        <xdr:cNvPr id="8201" name="Chart 9">
          <a:extLst>
            <a:ext uri="{FF2B5EF4-FFF2-40B4-BE49-F238E27FC236}">
              <a16:creationId xmlns:a16="http://schemas.microsoft.com/office/drawing/2014/main" id="{2652B3D7-87C8-3407-260B-352A364D7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59</xdr:row>
      <xdr:rowOff>0</xdr:rowOff>
    </xdr:from>
    <xdr:to>
      <xdr:col>19</xdr:col>
      <xdr:colOff>68580</xdr:colOff>
      <xdr:row>78</xdr:row>
      <xdr:rowOff>60960</xdr:rowOff>
    </xdr:to>
    <xdr:graphicFrame macro="">
      <xdr:nvGraphicFramePr>
        <xdr:cNvPr id="8202" name="Chart 10">
          <a:extLst>
            <a:ext uri="{FF2B5EF4-FFF2-40B4-BE49-F238E27FC236}">
              <a16:creationId xmlns:a16="http://schemas.microsoft.com/office/drawing/2014/main" id="{416C355B-56C7-8E2B-4A14-2F2ACBD7F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7169" name="Object 1" hidden="1">
              <a:extLst>
                <a:ext uri="{63B3BB69-23CF-44E3-9099-C40C66FF867C}">
                  <a14:compatExt spid="_x0000_s7169"/>
                </a:ext>
                <a:ext uri="{FF2B5EF4-FFF2-40B4-BE49-F238E27FC236}">
                  <a16:creationId xmlns:a16="http://schemas.microsoft.com/office/drawing/2014/main" id="{335A2424-32FC-DA53-62AC-3AF76E75587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7170" name="Object 2" hidden="1">
              <a:extLst>
                <a:ext uri="{63B3BB69-23CF-44E3-9099-C40C66FF867C}">
                  <a14:compatExt spid="_x0000_s7170"/>
                </a:ext>
                <a:ext uri="{FF2B5EF4-FFF2-40B4-BE49-F238E27FC236}">
                  <a16:creationId xmlns:a16="http://schemas.microsoft.com/office/drawing/2014/main" id="{03AB856A-D614-7161-714F-E1559E3C8F1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7</xdr:col>
      <xdr:colOff>457200</xdr:colOff>
      <xdr:row>36</xdr:row>
      <xdr:rowOff>53340</xdr:rowOff>
    </xdr:from>
    <xdr:to>
      <xdr:col>15</xdr:col>
      <xdr:colOff>83820</xdr:colOff>
      <xdr:row>43</xdr:row>
      <xdr:rowOff>38100</xdr:rowOff>
    </xdr:to>
    <xdr:graphicFrame macro="">
      <xdr:nvGraphicFramePr>
        <xdr:cNvPr id="7171" name="Chart 3">
          <a:extLst>
            <a:ext uri="{FF2B5EF4-FFF2-40B4-BE49-F238E27FC236}">
              <a16:creationId xmlns:a16="http://schemas.microsoft.com/office/drawing/2014/main" id="{13E55873-15F1-C4AC-913A-7995810C5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45</xdr:row>
      <xdr:rowOff>38100</xdr:rowOff>
    </xdr:from>
    <xdr:to>
      <xdr:col>15</xdr:col>
      <xdr:colOff>464820</xdr:colOff>
      <xdr:row>50</xdr:row>
      <xdr:rowOff>0</xdr:rowOff>
    </xdr:to>
    <xdr:graphicFrame macro="">
      <xdr:nvGraphicFramePr>
        <xdr:cNvPr id="7172" name="Chart 4">
          <a:extLst>
            <a:ext uri="{FF2B5EF4-FFF2-40B4-BE49-F238E27FC236}">
              <a16:creationId xmlns:a16="http://schemas.microsoft.com/office/drawing/2014/main" id="{DA869B62-84AB-C065-AF26-5F45092B4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32</xdr:row>
      <xdr:rowOff>68580</xdr:rowOff>
    </xdr:from>
    <xdr:to>
      <xdr:col>7</xdr:col>
      <xdr:colOff>350520</xdr:colOff>
      <xdr:row>54</xdr:row>
      <xdr:rowOff>91440</xdr:rowOff>
    </xdr:to>
    <xdr:graphicFrame macro="">
      <xdr:nvGraphicFramePr>
        <xdr:cNvPr id="7173" name="Chart 5">
          <a:extLst>
            <a:ext uri="{FF2B5EF4-FFF2-40B4-BE49-F238E27FC236}">
              <a16:creationId xmlns:a16="http://schemas.microsoft.com/office/drawing/2014/main" id="{AF766FC9-A094-864A-7440-A8D12E656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525780</xdr:colOff>
      <xdr:row>4</xdr:row>
      <xdr:rowOff>22860</xdr:rowOff>
    </xdr:from>
    <xdr:to>
      <xdr:col>12</xdr:col>
      <xdr:colOff>350520</xdr:colOff>
      <xdr:row>13</xdr:row>
      <xdr:rowOff>76200</xdr:rowOff>
    </xdr:to>
    <xdr:graphicFrame macro="">
      <xdr:nvGraphicFramePr>
        <xdr:cNvPr id="7176" name="Chart 8">
          <a:extLst>
            <a:ext uri="{FF2B5EF4-FFF2-40B4-BE49-F238E27FC236}">
              <a16:creationId xmlns:a16="http://schemas.microsoft.com/office/drawing/2014/main" id="{BA612FD9-2EB0-7D2C-C926-C0ECEC490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563880</xdr:colOff>
      <xdr:row>13</xdr:row>
      <xdr:rowOff>152400</xdr:rowOff>
    </xdr:from>
    <xdr:to>
      <xdr:col>12</xdr:col>
      <xdr:colOff>396240</xdr:colOff>
      <xdr:row>26</xdr:row>
      <xdr:rowOff>38100</xdr:rowOff>
    </xdr:to>
    <xdr:graphicFrame macro="">
      <xdr:nvGraphicFramePr>
        <xdr:cNvPr id="7177" name="Chart 9">
          <a:extLst>
            <a:ext uri="{FF2B5EF4-FFF2-40B4-BE49-F238E27FC236}">
              <a16:creationId xmlns:a16="http://schemas.microsoft.com/office/drawing/2014/main" id="{5B17D98A-C54F-72A9-24EB-C3F3894AB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6145" name="Object 1" hidden="1">
              <a:extLst>
                <a:ext uri="{63B3BB69-23CF-44E3-9099-C40C66FF867C}">
                  <a14:compatExt spid="_x0000_s6145"/>
                </a:ext>
                <a:ext uri="{FF2B5EF4-FFF2-40B4-BE49-F238E27FC236}">
                  <a16:creationId xmlns:a16="http://schemas.microsoft.com/office/drawing/2014/main" id="{348CBA9D-599B-337E-5B60-DDC93A862FDC}"/>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6146" name="Object 2" hidden="1">
              <a:extLst>
                <a:ext uri="{63B3BB69-23CF-44E3-9099-C40C66FF867C}">
                  <a14:compatExt spid="_x0000_s6146"/>
                </a:ext>
                <a:ext uri="{FF2B5EF4-FFF2-40B4-BE49-F238E27FC236}">
                  <a16:creationId xmlns:a16="http://schemas.microsoft.com/office/drawing/2014/main" id="{4909835F-BCA7-122A-4C93-A64A3AC45C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0</xdr:col>
      <xdr:colOff>396240</xdr:colOff>
      <xdr:row>30</xdr:row>
      <xdr:rowOff>0</xdr:rowOff>
    </xdr:from>
    <xdr:to>
      <xdr:col>8</xdr:col>
      <xdr:colOff>53340</xdr:colOff>
      <xdr:row>35</xdr:row>
      <xdr:rowOff>114300</xdr:rowOff>
    </xdr:to>
    <xdr:graphicFrame macro="">
      <xdr:nvGraphicFramePr>
        <xdr:cNvPr id="6147" name="Chart 3">
          <a:extLst>
            <a:ext uri="{FF2B5EF4-FFF2-40B4-BE49-F238E27FC236}">
              <a16:creationId xmlns:a16="http://schemas.microsoft.com/office/drawing/2014/main" id="{BB6675B8-03C1-6011-ABF3-45A45F740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502920</xdr:colOff>
      <xdr:row>31</xdr:row>
      <xdr:rowOff>99060</xdr:rowOff>
    </xdr:from>
    <xdr:to>
      <xdr:col>16</xdr:col>
      <xdr:colOff>228600</xdr:colOff>
      <xdr:row>38</xdr:row>
      <xdr:rowOff>53340</xdr:rowOff>
    </xdr:to>
    <xdr:graphicFrame macro="">
      <xdr:nvGraphicFramePr>
        <xdr:cNvPr id="6148" name="Chart 4">
          <a:extLst>
            <a:ext uri="{FF2B5EF4-FFF2-40B4-BE49-F238E27FC236}">
              <a16:creationId xmlns:a16="http://schemas.microsoft.com/office/drawing/2014/main" id="{00410A00-A2E6-1D5E-91D9-BB485DBCA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xdr:colOff>
      <xdr:row>28</xdr:row>
      <xdr:rowOff>114300</xdr:rowOff>
    </xdr:from>
    <xdr:to>
      <xdr:col>11</xdr:col>
      <xdr:colOff>190500</xdr:colOff>
      <xdr:row>50</xdr:row>
      <xdr:rowOff>129540</xdr:rowOff>
    </xdr:to>
    <xdr:graphicFrame macro="">
      <xdr:nvGraphicFramePr>
        <xdr:cNvPr id="6149" name="Chart 5">
          <a:extLst>
            <a:ext uri="{FF2B5EF4-FFF2-40B4-BE49-F238E27FC236}">
              <a16:creationId xmlns:a16="http://schemas.microsoft.com/office/drawing/2014/main" id="{875CC7B0-1000-FD2D-7572-B9619F564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xdr:colOff>
      <xdr:row>20</xdr:row>
      <xdr:rowOff>91440</xdr:rowOff>
    </xdr:from>
    <xdr:to>
      <xdr:col>11</xdr:col>
      <xdr:colOff>495300</xdr:colOff>
      <xdr:row>34</xdr:row>
      <xdr:rowOff>144780</xdr:rowOff>
    </xdr:to>
    <xdr:graphicFrame macro="">
      <xdr:nvGraphicFramePr>
        <xdr:cNvPr id="6154" name="Chart 10">
          <a:extLst>
            <a:ext uri="{FF2B5EF4-FFF2-40B4-BE49-F238E27FC236}">
              <a16:creationId xmlns:a16="http://schemas.microsoft.com/office/drawing/2014/main" id="{E62D1470-B553-1237-A0DD-A9BBDC1D7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160020</xdr:colOff>
          <xdr:row>0</xdr:row>
          <xdr:rowOff>144780</xdr:rowOff>
        </xdr:from>
        <xdr:to>
          <xdr:col>9</xdr:col>
          <xdr:colOff>281940</xdr:colOff>
          <xdr:row>3</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A40F946C-EDC3-A8C2-F546-40319FEB218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525780</xdr:colOff>
          <xdr:row>1</xdr:row>
          <xdr:rowOff>38100</xdr:rowOff>
        </xdr:from>
        <xdr:to>
          <xdr:col>12</xdr:col>
          <xdr:colOff>53340</xdr:colOff>
          <xdr:row>2</xdr:row>
          <xdr:rowOff>129540</xdr:rowOff>
        </xdr:to>
        <xdr:sp macro="" textlink="">
          <xdr:nvSpPr>
            <xdr:cNvPr id="5122" name="Object 2" hidden="1">
              <a:extLst>
                <a:ext uri="{63B3BB69-23CF-44E3-9099-C40C66FF867C}">
                  <a14:compatExt spid="_x0000_s5122"/>
                </a:ext>
                <a:ext uri="{FF2B5EF4-FFF2-40B4-BE49-F238E27FC236}">
                  <a16:creationId xmlns:a16="http://schemas.microsoft.com/office/drawing/2014/main" id="{D91FAD5B-9B45-D739-8F58-BF2A9DE5E6CA}"/>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4</xdr:col>
      <xdr:colOff>114300</xdr:colOff>
      <xdr:row>36</xdr:row>
      <xdr:rowOff>7620</xdr:rowOff>
    </xdr:from>
    <xdr:to>
      <xdr:col>11</xdr:col>
      <xdr:colOff>480060</xdr:colOff>
      <xdr:row>44</xdr:row>
      <xdr:rowOff>76200</xdr:rowOff>
    </xdr:to>
    <xdr:graphicFrame macro="">
      <xdr:nvGraphicFramePr>
        <xdr:cNvPr id="5123" name="Chart 3">
          <a:extLst>
            <a:ext uri="{FF2B5EF4-FFF2-40B4-BE49-F238E27FC236}">
              <a16:creationId xmlns:a16="http://schemas.microsoft.com/office/drawing/2014/main" id="{DA4B9C31-937A-A00A-24EA-E214F6C36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160020</xdr:colOff>
      <xdr:row>36</xdr:row>
      <xdr:rowOff>160020</xdr:rowOff>
    </xdr:from>
    <xdr:to>
      <xdr:col>7</xdr:col>
      <xdr:colOff>571500</xdr:colOff>
      <xdr:row>44</xdr:row>
      <xdr:rowOff>129540</xdr:rowOff>
    </xdr:to>
    <xdr:graphicFrame macro="">
      <xdr:nvGraphicFramePr>
        <xdr:cNvPr id="5124" name="Chart 4">
          <a:extLst>
            <a:ext uri="{FF2B5EF4-FFF2-40B4-BE49-F238E27FC236}">
              <a16:creationId xmlns:a16="http://schemas.microsoft.com/office/drawing/2014/main" id="{235C38FB-19DE-46FE-2C7A-E7EBB22C6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45</xdr:row>
      <xdr:rowOff>99060</xdr:rowOff>
    </xdr:from>
    <xdr:to>
      <xdr:col>11</xdr:col>
      <xdr:colOff>472440</xdr:colOff>
      <xdr:row>51</xdr:row>
      <xdr:rowOff>129540</xdr:rowOff>
    </xdr:to>
    <xdr:graphicFrame macro="">
      <xdr:nvGraphicFramePr>
        <xdr:cNvPr id="5125" name="Chart 5">
          <a:extLst>
            <a:ext uri="{FF2B5EF4-FFF2-40B4-BE49-F238E27FC236}">
              <a16:creationId xmlns:a16="http://schemas.microsoft.com/office/drawing/2014/main" id="{F5B06A8F-5060-1019-2867-51120B0AD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525780</xdr:colOff>
      <xdr:row>4</xdr:row>
      <xdr:rowOff>22860</xdr:rowOff>
    </xdr:from>
    <xdr:to>
      <xdr:col>12</xdr:col>
      <xdr:colOff>350520</xdr:colOff>
      <xdr:row>13</xdr:row>
      <xdr:rowOff>76200</xdr:rowOff>
    </xdr:to>
    <xdr:graphicFrame macro="">
      <xdr:nvGraphicFramePr>
        <xdr:cNvPr id="5128" name="Chart 8">
          <a:extLst>
            <a:ext uri="{FF2B5EF4-FFF2-40B4-BE49-F238E27FC236}">
              <a16:creationId xmlns:a16="http://schemas.microsoft.com/office/drawing/2014/main" id="{C97B86A2-08DB-6C9D-BCCA-498DD6156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563880</xdr:colOff>
      <xdr:row>13</xdr:row>
      <xdr:rowOff>152400</xdr:rowOff>
    </xdr:from>
    <xdr:to>
      <xdr:col>12</xdr:col>
      <xdr:colOff>396240</xdr:colOff>
      <xdr:row>28</xdr:row>
      <xdr:rowOff>38100</xdr:rowOff>
    </xdr:to>
    <xdr:graphicFrame macro="">
      <xdr:nvGraphicFramePr>
        <xdr:cNvPr id="5129" name="Chart 9">
          <a:extLst>
            <a:ext uri="{FF2B5EF4-FFF2-40B4-BE49-F238E27FC236}">
              <a16:creationId xmlns:a16="http://schemas.microsoft.com/office/drawing/2014/main" id="{7115EA48-A867-4057-7B52-9B91F8CDF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7" Type="http://schemas.openxmlformats.org/officeDocument/2006/relationships/image" Target="../media/image2.emf"/><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oleObject" Target="../embeddings/oleObject26.bin"/><Relationship Id="rId5" Type="http://schemas.openxmlformats.org/officeDocument/2006/relationships/image" Target="../media/image1.emf"/><Relationship Id="rId4" Type="http://schemas.openxmlformats.org/officeDocument/2006/relationships/oleObject" Target="../embeddings/oleObject25.bin"/></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29.bin"/><Relationship Id="rId3" Type="http://schemas.openxmlformats.org/officeDocument/2006/relationships/vmlDrawing" Target="../drawings/vmlDrawing10.vml"/><Relationship Id="rId7" Type="http://schemas.openxmlformats.org/officeDocument/2006/relationships/image" Target="../media/image2.emf"/><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oleObject" Target="../embeddings/oleObject28.bin"/><Relationship Id="rId5" Type="http://schemas.openxmlformats.org/officeDocument/2006/relationships/image" Target="../media/image1.emf"/><Relationship Id="rId4" Type="http://schemas.openxmlformats.org/officeDocument/2006/relationships/oleObject" Target="../embeddings/oleObject27.bin"/><Relationship Id="rId9" Type="http://schemas.openxmlformats.org/officeDocument/2006/relationships/oleObject" Target="../embeddings/oleObject30.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7" Type="http://schemas.openxmlformats.org/officeDocument/2006/relationships/image" Target="../media/image2.emf"/><Relationship Id="rId2" Type="http://schemas.openxmlformats.org/officeDocument/2006/relationships/drawing" Target="../drawings/drawing12.xml"/><Relationship Id="rId1" Type="http://schemas.openxmlformats.org/officeDocument/2006/relationships/printerSettings" Target="../printerSettings/printerSettings12.bin"/><Relationship Id="rId6" Type="http://schemas.openxmlformats.org/officeDocument/2006/relationships/oleObject" Target="../embeddings/oleObject32.bin"/><Relationship Id="rId5" Type="http://schemas.openxmlformats.org/officeDocument/2006/relationships/image" Target="../media/image1.emf"/><Relationship Id="rId4" Type="http://schemas.openxmlformats.org/officeDocument/2006/relationships/oleObject" Target="../embeddings/oleObject3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7" Type="http://schemas.openxmlformats.org/officeDocument/2006/relationships/image" Target="../media/image2.emf"/><Relationship Id="rId2" Type="http://schemas.openxmlformats.org/officeDocument/2006/relationships/drawing" Target="../drawings/drawing13.xml"/><Relationship Id="rId1" Type="http://schemas.openxmlformats.org/officeDocument/2006/relationships/printerSettings" Target="../printerSettings/printerSettings13.bin"/><Relationship Id="rId6" Type="http://schemas.openxmlformats.org/officeDocument/2006/relationships/oleObject" Target="../embeddings/oleObject34.bin"/><Relationship Id="rId5" Type="http://schemas.openxmlformats.org/officeDocument/2006/relationships/image" Target="../media/image1.emf"/><Relationship Id="rId4" Type="http://schemas.openxmlformats.org/officeDocument/2006/relationships/oleObject" Target="../embeddings/oleObject33.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4.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6.bin"/><Relationship Id="rId5" Type="http://schemas.openxmlformats.org/officeDocument/2006/relationships/image" Target="../media/image1.emf"/><Relationship Id="rId4" Type="http://schemas.openxmlformats.org/officeDocument/2006/relationships/oleObject" Target="../embeddings/oleObject5.bin"/><Relationship Id="rId9" Type="http://schemas.openxmlformats.org/officeDocument/2006/relationships/oleObject" Target="../embeddings/oleObject8.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1.bin"/><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0.bin"/><Relationship Id="rId5" Type="http://schemas.openxmlformats.org/officeDocument/2006/relationships/image" Target="../media/image1.emf"/><Relationship Id="rId10" Type="http://schemas.openxmlformats.org/officeDocument/2006/relationships/comments" Target="../comments1.xml"/><Relationship Id="rId4" Type="http://schemas.openxmlformats.org/officeDocument/2006/relationships/oleObject" Target="../embeddings/oleObject9.bin"/><Relationship Id="rId9" Type="http://schemas.openxmlformats.org/officeDocument/2006/relationships/oleObject" Target="../embeddings/oleObject12.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15.bin"/><Relationship Id="rId3" Type="http://schemas.openxmlformats.org/officeDocument/2006/relationships/vmlDrawing" Target="../drawings/vmlDrawing4.vml"/><Relationship Id="rId7" Type="http://schemas.openxmlformats.org/officeDocument/2006/relationships/image" Target="../media/image2.emf"/><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4.bin"/><Relationship Id="rId5" Type="http://schemas.openxmlformats.org/officeDocument/2006/relationships/image" Target="../media/image1.emf"/><Relationship Id="rId4" Type="http://schemas.openxmlformats.org/officeDocument/2006/relationships/oleObject" Target="../embeddings/oleObject13.bin"/><Relationship Id="rId9" Type="http://schemas.openxmlformats.org/officeDocument/2006/relationships/oleObject" Target="../embeddings/oleObject16.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image" Target="../media/image2.emf"/><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oleObject" Target="../embeddings/oleObject18.bin"/><Relationship Id="rId5" Type="http://schemas.openxmlformats.org/officeDocument/2006/relationships/image" Target="../media/image1.emf"/><Relationship Id="rId4" Type="http://schemas.openxmlformats.org/officeDocument/2006/relationships/oleObject" Target="../embeddings/oleObject17.bin"/></Relationships>
</file>

<file path=xl/worksheets/_rels/sheet7.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oleObject" Target="../embeddings/oleObject20.bin"/><Relationship Id="rId5" Type="http://schemas.openxmlformats.org/officeDocument/2006/relationships/image" Target="../media/image1.emf"/><Relationship Id="rId4" Type="http://schemas.openxmlformats.org/officeDocument/2006/relationships/oleObject" Target="../embeddings/oleObject19.bin"/></Relationships>
</file>

<file path=xl/worksheets/_rels/sheet8.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7.vml"/><Relationship Id="rId7" Type="http://schemas.openxmlformats.org/officeDocument/2006/relationships/image" Target="../media/image2.emf"/><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oleObject" Target="../embeddings/oleObject22.bin"/><Relationship Id="rId5" Type="http://schemas.openxmlformats.org/officeDocument/2006/relationships/image" Target="../media/image1.emf"/><Relationship Id="rId4" Type="http://schemas.openxmlformats.org/officeDocument/2006/relationships/oleObject" Target="../embeddings/oleObject21.bin"/></Relationships>
</file>

<file path=xl/worksheets/_rels/sheet9.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vmlDrawing" Target="../drawings/vmlDrawing8.vml"/><Relationship Id="rId7" Type="http://schemas.openxmlformats.org/officeDocument/2006/relationships/image" Target="../media/image2.emf"/><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oleObject" Target="../embeddings/oleObject24.bin"/><Relationship Id="rId5" Type="http://schemas.openxmlformats.org/officeDocument/2006/relationships/image" Target="../media/image1.emf"/><Relationship Id="rId4" Type="http://schemas.openxmlformats.org/officeDocument/2006/relationships/oleObject" Target="../embeddings/oleObject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4"/>
  <sheetViews>
    <sheetView topLeftCell="A19" workbookViewId="0">
      <selection activeCell="B54" sqref="B54:C64"/>
    </sheetView>
  </sheetViews>
  <sheetFormatPr defaultRowHeight="13.2"/>
  <sheetData>
    <row r="1" spans="1:23">
      <c r="A1" t="s">
        <v>43</v>
      </c>
      <c r="B1" s="38" t="s">
        <v>44</v>
      </c>
      <c r="C1" s="39"/>
      <c r="D1" s="38" t="s">
        <v>45</v>
      </c>
      <c r="E1" s="39"/>
      <c r="F1" s="38" t="s">
        <v>46</v>
      </c>
      <c r="G1" s="39"/>
      <c r="H1" t="s">
        <v>50</v>
      </c>
      <c r="I1" t="s">
        <v>43</v>
      </c>
      <c r="J1" s="38" t="s">
        <v>44</v>
      </c>
      <c r="K1" s="39"/>
      <c r="L1" s="38" t="s">
        <v>45</v>
      </c>
      <c r="M1" s="39"/>
      <c r="N1" s="38" t="s">
        <v>46</v>
      </c>
      <c r="O1" s="39"/>
      <c r="P1" t="s">
        <v>51</v>
      </c>
      <c r="Q1" t="s">
        <v>43</v>
      </c>
      <c r="R1" s="38" t="s">
        <v>44</v>
      </c>
      <c r="S1" s="39"/>
      <c r="T1" s="38" t="s">
        <v>45</v>
      </c>
      <c r="U1" s="39"/>
      <c r="V1" s="38" t="s">
        <v>46</v>
      </c>
      <c r="W1" s="39"/>
    </row>
    <row r="2" spans="1:23">
      <c r="B2" s="40" t="s">
        <v>47</v>
      </c>
      <c r="C2" s="41" t="s">
        <v>48</v>
      </c>
      <c r="D2" s="40" t="s">
        <v>47</v>
      </c>
      <c r="E2" s="41" t="s">
        <v>48</v>
      </c>
      <c r="F2" s="40" t="s">
        <v>47</v>
      </c>
      <c r="G2" s="41" t="s">
        <v>48</v>
      </c>
      <c r="J2" s="40" t="s">
        <v>47</v>
      </c>
      <c r="K2" s="41" t="s">
        <v>48</v>
      </c>
      <c r="L2" s="40" t="s">
        <v>47</v>
      </c>
      <c r="M2" s="41" t="s">
        <v>48</v>
      </c>
      <c r="N2" s="40" t="s">
        <v>47</v>
      </c>
      <c r="O2" s="41" t="s">
        <v>48</v>
      </c>
      <c r="R2" s="40" t="s">
        <v>47</v>
      </c>
      <c r="S2" s="41" t="s">
        <v>48</v>
      </c>
      <c r="T2" s="40" t="s">
        <v>47</v>
      </c>
      <c r="U2" s="41" t="s">
        <v>48</v>
      </c>
      <c r="V2" s="40" t="s">
        <v>47</v>
      </c>
      <c r="W2" s="41" t="s">
        <v>48</v>
      </c>
    </row>
    <row r="3" spans="1:23">
      <c r="A3">
        <v>16</v>
      </c>
      <c r="B3">
        <v>0.45679999999999998</v>
      </c>
      <c r="C3">
        <v>2.8077000000000001</v>
      </c>
      <c r="D3">
        <v>5.74E-2</v>
      </c>
      <c r="E3">
        <v>0.33879999999999999</v>
      </c>
      <c r="F3">
        <v>0.12570000000000001</v>
      </c>
      <c r="G3">
        <v>1.3899999999999999E-2</v>
      </c>
      <c r="I3">
        <v>16</v>
      </c>
      <c r="J3">
        <f>B3-$B$15</f>
        <v>3.4424999999999983E-2</v>
      </c>
      <c r="K3">
        <f>C3-$C$15</f>
        <v>0.19142499999999973</v>
      </c>
      <c r="L3">
        <f>D3-$D$15</f>
        <v>5.1090909090909034E-3</v>
      </c>
      <c r="M3">
        <f>E3-$E$15</f>
        <v>2.1918181818181892E-2</v>
      </c>
      <c r="N3">
        <f>F3-$F$15</f>
        <v>1.918181818181805E-3</v>
      </c>
      <c r="O3">
        <f>G3-$G$15</f>
        <v>2.760909090909091E-2</v>
      </c>
      <c r="Q3">
        <v>16</v>
      </c>
      <c r="R3" s="42">
        <f>(B3-$B$15)/$B$15</f>
        <v>8.150340337377919E-2</v>
      </c>
      <c r="S3" s="42">
        <f>(C3-$C$15)/$C$15</f>
        <v>7.3167002704226311E-2</v>
      </c>
      <c r="T3" s="42">
        <f>(D3-$D$15)/$D$15</f>
        <v>9.770514603616122E-2</v>
      </c>
      <c r="U3" s="42">
        <f>(E3-$E$15)/$E$15</f>
        <v>6.9168316263591489E-2</v>
      </c>
      <c r="V3" s="42">
        <f>(F3-$F$15)/$F$15</f>
        <v>1.5496474735605061E-2</v>
      </c>
      <c r="W3" s="42">
        <f>(G3-$G$15)/$G$15</f>
        <v>-2.0139257294429709</v>
      </c>
    </row>
    <row r="4" spans="1:23">
      <c r="A4">
        <v>17</v>
      </c>
      <c r="B4">
        <v>0.36849999999999999</v>
      </c>
      <c r="C4">
        <v>3.3105000000000002</v>
      </c>
      <c r="D4">
        <v>3.9E-2</v>
      </c>
      <c r="E4">
        <v>0.42130000000000001</v>
      </c>
      <c r="F4">
        <v>0.1081</v>
      </c>
      <c r="G4">
        <v>6.0199999999999997E-2</v>
      </c>
      <c r="I4">
        <v>17</v>
      </c>
      <c r="J4">
        <f t="shared" ref="J4:J14" si="0">B4-$B$15</f>
        <v>-5.3875000000000006E-2</v>
      </c>
      <c r="K4">
        <f t="shared" ref="K4:K14" si="1">C4-$C$15</f>
        <v>0.69422499999999987</v>
      </c>
      <c r="L4">
        <f t="shared" ref="L4:L14" si="2">D4-$D$15</f>
        <v>-1.3290909090909096E-2</v>
      </c>
      <c r="M4">
        <f t="shared" ref="M4:M14" si="3">E4-$E$15</f>
        <v>0.10441818181818191</v>
      </c>
      <c r="N4">
        <f t="shared" ref="N4:N14" si="4">F4-$F$15</f>
        <v>-1.56818181818182E-2</v>
      </c>
      <c r="O4">
        <f t="shared" ref="O4:O14" si="5">G4-$G$15</f>
        <v>7.390909090909091E-2</v>
      </c>
      <c r="Q4">
        <v>17</v>
      </c>
      <c r="R4" s="42">
        <f t="shared" ref="R4:R14" si="6">(B4-$B$15)/$B$15</f>
        <v>-0.12755253033441849</v>
      </c>
      <c r="S4" s="42">
        <f t="shared" ref="S4:S14" si="7">(C4-$C$15)/$C$15</f>
        <v>0.26534863498676547</v>
      </c>
      <c r="T4" s="42">
        <f t="shared" ref="T4:T14" si="8">(D4-$D$15)/$D$15</f>
        <v>-0.25417246175243402</v>
      </c>
      <c r="U4" s="42">
        <f t="shared" ref="U4:U14" si="9">(E4-$E$15)/$E$15</f>
        <v>0.32951774392518041</v>
      </c>
      <c r="V4" s="42">
        <f t="shared" ref="V4:V14" si="10">(F4-$F$15)/$F$15</f>
        <v>-0.12668918918918931</v>
      </c>
      <c r="W4" s="42">
        <f t="shared" ref="W4:W14" si="11">(G4-$G$15)/$G$15</f>
        <v>-5.3912466843501319</v>
      </c>
    </row>
    <row r="5" spans="1:23">
      <c r="A5">
        <v>18</v>
      </c>
      <c r="B5">
        <v>0.43809999999999999</v>
      </c>
      <c r="C5">
        <v>2.9666000000000001</v>
      </c>
      <c r="D5">
        <v>5.5899999999999998E-2</v>
      </c>
      <c r="E5">
        <v>0.29120000000000001</v>
      </c>
      <c r="F5">
        <v>0.1275</v>
      </c>
      <c r="G5">
        <v>-8.6999999999999994E-2</v>
      </c>
      <c r="I5">
        <v>18</v>
      </c>
      <c r="J5">
        <f t="shared" si="0"/>
        <v>1.5724999999999989E-2</v>
      </c>
      <c r="K5">
        <f t="shared" si="1"/>
        <v>0.35032499999999978</v>
      </c>
      <c r="L5">
        <f t="shared" si="2"/>
        <v>3.6090909090909021E-3</v>
      </c>
      <c r="M5">
        <f t="shared" si="3"/>
        <v>-2.5681818181818084E-2</v>
      </c>
      <c r="N5">
        <f t="shared" si="4"/>
        <v>3.718181818181801E-3</v>
      </c>
      <c r="O5">
        <f t="shared" si="5"/>
        <v>-7.3290909090909087E-2</v>
      </c>
      <c r="Q5">
        <v>18</v>
      </c>
      <c r="R5" s="42">
        <f t="shared" si="6"/>
        <v>3.722994968925715E-2</v>
      </c>
      <c r="S5" s="42">
        <f t="shared" si="7"/>
        <v>0.13390220829232391</v>
      </c>
      <c r="T5" s="42">
        <f t="shared" si="8"/>
        <v>6.9019471488177886E-2</v>
      </c>
      <c r="U5" s="42">
        <f t="shared" si="9"/>
        <v>-8.1045414120549386E-2</v>
      </c>
      <c r="V5" s="42">
        <f t="shared" si="10"/>
        <v>3.0038190364277177E-2</v>
      </c>
      <c r="W5" s="42">
        <f t="shared" si="11"/>
        <v>5.3461538461538458</v>
      </c>
    </row>
    <row r="6" spans="1:23">
      <c r="A6">
        <v>21</v>
      </c>
      <c r="B6">
        <v>0.44590000000000002</v>
      </c>
      <c r="C6">
        <v>2.7431999999999999</v>
      </c>
      <c r="D6">
        <v>4.8899999999999999E-2</v>
      </c>
      <c r="E6">
        <v>0.29249999999999998</v>
      </c>
      <c r="F6">
        <v>0.1094</v>
      </c>
      <c r="G6">
        <v>-7.1000000000000004E-3</v>
      </c>
      <c r="I6">
        <v>21</v>
      </c>
      <c r="J6">
        <f t="shared" si="0"/>
        <v>2.3525000000000018E-2</v>
      </c>
      <c r="K6">
        <f t="shared" si="1"/>
        <v>0.12692499999999951</v>
      </c>
      <c r="L6">
        <f t="shared" si="2"/>
        <v>-3.3909090909090972E-3</v>
      </c>
      <c r="M6">
        <f t="shared" si="3"/>
        <v>-2.4381818181818116E-2</v>
      </c>
      <c r="N6">
        <f t="shared" si="4"/>
        <v>-1.4381818181818204E-2</v>
      </c>
      <c r="O6">
        <f t="shared" si="5"/>
        <v>6.6090909090909099E-3</v>
      </c>
      <c r="Q6">
        <v>21</v>
      </c>
      <c r="R6" s="42">
        <f t="shared" si="6"/>
        <v>5.5696951760876044E-2</v>
      </c>
      <c r="S6" s="42">
        <f t="shared" si="7"/>
        <v>4.8513631021203617E-2</v>
      </c>
      <c r="T6" s="42">
        <f t="shared" si="8"/>
        <v>-6.4847009735744199E-2</v>
      </c>
      <c r="U6" s="42">
        <f t="shared" si="9"/>
        <v>-7.6942938290730511E-2</v>
      </c>
      <c r="V6" s="42">
        <f t="shared" si="10"/>
        <v>-0.11618683901292613</v>
      </c>
      <c r="W6" s="42">
        <f t="shared" si="11"/>
        <v>-0.48209549071618041</v>
      </c>
    </row>
    <row r="7" spans="1:23">
      <c r="A7">
        <v>20</v>
      </c>
      <c r="B7">
        <v>0.45440000000000003</v>
      </c>
      <c r="C7">
        <v>2.7090000000000001</v>
      </c>
      <c r="D7">
        <v>4.8899999999999999E-2</v>
      </c>
      <c r="E7">
        <v>0.2888</v>
      </c>
      <c r="F7">
        <v>0.1075</v>
      </c>
      <c r="G7">
        <v>-2E-3</v>
      </c>
      <c r="I7">
        <v>20</v>
      </c>
      <c r="J7">
        <f t="shared" si="0"/>
        <v>3.2025000000000026E-2</v>
      </c>
      <c r="K7">
        <f t="shared" si="1"/>
        <v>9.2724999999999724E-2</v>
      </c>
      <c r="L7">
        <f t="shared" si="2"/>
        <v>-3.3909090909090972E-3</v>
      </c>
      <c r="M7">
        <f t="shared" si="3"/>
        <v>-2.8081818181818097E-2</v>
      </c>
      <c r="N7">
        <f t="shared" si="4"/>
        <v>-1.6281818181818203E-2</v>
      </c>
      <c r="O7">
        <f t="shared" si="5"/>
        <v>1.170909090909091E-2</v>
      </c>
      <c r="Q7">
        <v>20</v>
      </c>
      <c r="R7" s="42">
        <f t="shared" si="6"/>
        <v>7.5821248890204265E-2</v>
      </c>
      <c r="S7" s="42">
        <f t="shared" si="7"/>
        <v>3.544161068694985E-2</v>
      </c>
      <c r="T7" s="42">
        <f t="shared" si="8"/>
        <v>-6.4847009735744199E-2</v>
      </c>
      <c r="U7" s="42">
        <f t="shared" si="9"/>
        <v>-8.8619215652522926E-2</v>
      </c>
      <c r="V7" s="42">
        <f t="shared" si="10"/>
        <v>-0.13153642773208005</v>
      </c>
      <c r="W7" s="42">
        <f t="shared" si="11"/>
        <v>-0.85411140583554379</v>
      </c>
    </row>
    <row r="8" spans="1:23">
      <c r="A8">
        <v>22</v>
      </c>
      <c r="B8">
        <v>0.5131</v>
      </c>
      <c r="C8">
        <v>2.3740000000000001</v>
      </c>
      <c r="D8">
        <v>5.5800000000000002E-2</v>
      </c>
      <c r="E8">
        <v>0.28799999999999998</v>
      </c>
      <c r="F8">
        <v>0.1087</v>
      </c>
      <c r="G8">
        <v>2.3099999999999999E-2</v>
      </c>
      <c r="I8">
        <v>22</v>
      </c>
      <c r="J8">
        <f t="shared" si="0"/>
        <v>9.0725E-2</v>
      </c>
      <c r="K8">
        <f t="shared" si="1"/>
        <v>-0.24227500000000024</v>
      </c>
      <c r="L8">
        <f t="shared" si="2"/>
        <v>3.5090909090909062E-3</v>
      </c>
      <c r="M8">
        <f t="shared" si="3"/>
        <v>-2.888181818181812E-2</v>
      </c>
      <c r="N8">
        <f t="shared" si="4"/>
        <v>-1.5081818181818196E-2</v>
      </c>
      <c r="O8">
        <f t="shared" si="5"/>
        <v>3.6809090909090909E-2</v>
      </c>
      <c r="Q8">
        <v>22</v>
      </c>
      <c r="R8" s="42">
        <f t="shared" si="6"/>
        <v>0.21479727730097661</v>
      </c>
      <c r="S8" s="42">
        <f t="shared" si="7"/>
        <v>-9.2603032938051319E-2</v>
      </c>
      <c r="T8" s="42">
        <f t="shared" si="8"/>
        <v>6.710709318497908E-2</v>
      </c>
      <c r="U8" s="42">
        <f t="shared" si="9"/>
        <v>-9.1143816163180819E-2</v>
      </c>
      <c r="V8" s="42">
        <f t="shared" si="10"/>
        <v>-0.12184195064629857</v>
      </c>
      <c r="W8" s="42">
        <f t="shared" si="11"/>
        <v>-2.6850132625994694</v>
      </c>
    </row>
    <row r="9" spans="1:23">
      <c r="A9">
        <v>23</v>
      </c>
      <c r="B9">
        <v>0.40129999999999999</v>
      </c>
      <c r="C9">
        <v>2.8237000000000001</v>
      </c>
      <c r="I9">
        <v>23</v>
      </c>
      <c r="J9">
        <f t="shared" si="0"/>
        <v>-2.107500000000001E-2</v>
      </c>
      <c r="K9">
        <f t="shared" si="1"/>
        <v>0.20742499999999975</v>
      </c>
      <c r="L9">
        <f t="shared" si="2"/>
        <v>-5.2290909090909096E-2</v>
      </c>
      <c r="M9">
        <f t="shared" si="3"/>
        <v>-0.3168818181818181</v>
      </c>
      <c r="N9">
        <f t="shared" si="4"/>
        <v>-0.1237818181818182</v>
      </c>
      <c r="O9">
        <f t="shared" si="5"/>
        <v>1.370909090909091E-2</v>
      </c>
      <c r="Q9">
        <v>23</v>
      </c>
      <c r="R9" s="42">
        <f t="shared" si="6"/>
        <v>-4.9896419058893186E-2</v>
      </c>
      <c r="S9" s="42">
        <f t="shared" si="7"/>
        <v>7.9282567772883089E-2</v>
      </c>
      <c r="T9" s="42"/>
      <c r="U9" s="42"/>
      <c r="V9" s="42"/>
      <c r="W9" s="42"/>
    </row>
    <row r="10" spans="1:23">
      <c r="A10">
        <v>24</v>
      </c>
      <c r="B10">
        <v>0.44790000000000002</v>
      </c>
      <c r="C10">
        <v>2.6354000000000002</v>
      </c>
      <c r="D10">
        <v>6.1100000000000002E-2</v>
      </c>
      <c r="E10">
        <v>0.34250000000000003</v>
      </c>
      <c r="F10">
        <v>0.13639999999999999</v>
      </c>
      <c r="G10">
        <v>-0.17100000000000001</v>
      </c>
      <c r="I10">
        <v>24</v>
      </c>
      <c r="J10">
        <f t="shared" si="0"/>
        <v>2.552500000000002E-2</v>
      </c>
      <c r="K10">
        <f t="shared" si="1"/>
        <v>1.9124999999999837E-2</v>
      </c>
      <c r="L10">
        <f t="shared" si="2"/>
        <v>8.8090909090909053E-3</v>
      </c>
      <c r="M10">
        <f t="shared" si="3"/>
        <v>2.5618181818181929E-2</v>
      </c>
      <c r="N10">
        <f t="shared" si="4"/>
        <v>1.2618181818181792E-2</v>
      </c>
      <c r="O10">
        <f t="shared" si="5"/>
        <v>-0.15729090909090909</v>
      </c>
      <c r="Q10">
        <v>24</v>
      </c>
      <c r="R10" s="42">
        <f t="shared" si="6"/>
        <v>6.0432080497188567E-2</v>
      </c>
      <c r="S10" s="42">
        <f t="shared" si="7"/>
        <v>7.3100113711287362E-3</v>
      </c>
      <c r="T10" s="42">
        <f t="shared" si="8"/>
        <v>0.16846314325452008</v>
      </c>
      <c r="U10" s="42">
        <f t="shared" si="9"/>
        <v>8.0844593625384084E-2</v>
      </c>
      <c r="V10" s="42">
        <f t="shared" si="10"/>
        <v>0.10193889541715606</v>
      </c>
      <c r="W10" s="42">
        <f t="shared" si="11"/>
        <v>11.473474801061007</v>
      </c>
    </row>
    <row r="11" spans="1:23">
      <c r="A11">
        <v>25</v>
      </c>
      <c r="B11">
        <v>0.45779999999999998</v>
      </c>
      <c r="C11">
        <v>2.5865</v>
      </c>
      <c r="D11">
        <v>5.6899999999999999E-2</v>
      </c>
      <c r="E11">
        <v>0.33410000000000001</v>
      </c>
      <c r="F11">
        <v>0.1241</v>
      </c>
      <c r="G11">
        <v>1.34E-2</v>
      </c>
      <c r="I11">
        <v>25</v>
      </c>
      <c r="J11">
        <f t="shared" si="0"/>
        <v>3.5424999999999984E-2</v>
      </c>
      <c r="K11">
        <f t="shared" si="1"/>
        <v>-2.9775000000000329E-2</v>
      </c>
      <c r="L11">
        <f t="shared" si="2"/>
        <v>4.609090909090903E-3</v>
      </c>
      <c r="M11">
        <f t="shared" si="3"/>
        <v>1.721818181818191E-2</v>
      </c>
      <c r="N11">
        <f t="shared" si="4"/>
        <v>3.181818181818008E-4</v>
      </c>
      <c r="O11">
        <f t="shared" si="5"/>
        <v>2.7109090909090909E-2</v>
      </c>
      <c r="Q11">
        <v>25</v>
      </c>
      <c r="R11" s="42">
        <f t="shared" si="6"/>
        <v>8.3870967741935448E-2</v>
      </c>
      <c r="S11" s="42">
        <f t="shared" si="7"/>
        <v>-1.1380684369953589E-2</v>
      </c>
      <c r="T11" s="42">
        <f t="shared" si="8"/>
        <v>8.8143254520166775E-2</v>
      </c>
      <c r="U11" s="42">
        <f t="shared" si="9"/>
        <v>5.4336288263476792E-2</v>
      </c>
      <c r="V11" s="42">
        <f t="shared" si="10"/>
        <v>2.5705052878964513E-3</v>
      </c>
      <c r="W11" s="42">
        <f t="shared" si="11"/>
        <v>-1.9774535809018565</v>
      </c>
    </row>
    <row r="12" spans="1:23">
      <c r="A12" t="s">
        <v>49</v>
      </c>
      <c r="B12">
        <v>0.33289999999999997</v>
      </c>
      <c r="C12">
        <v>1.9247000000000001</v>
      </c>
      <c r="D12">
        <v>4.5600000000000002E-2</v>
      </c>
      <c r="E12">
        <v>0.26050000000000001</v>
      </c>
      <c r="F12">
        <v>0.1343</v>
      </c>
      <c r="G12">
        <v>2E-3</v>
      </c>
      <c r="I12" t="s">
        <v>49</v>
      </c>
      <c r="J12">
        <f t="shared" si="0"/>
        <v>-8.9475000000000027E-2</v>
      </c>
      <c r="K12">
        <f t="shared" si="1"/>
        <v>-0.69157500000000027</v>
      </c>
      <c r="L12">
        <f t="shared" si="2"/>
        <v>-6.6909090909090946E-3</v>
      </c>
      <c r="M12">
        <f t="shared" si="3"/>
        <v>-5.6381818181818089E-2</v>
      </c>
      <c r="N12">
        <f t="shared" si="4"/>
        <v>1.0518181818181802E-2</v>
      </c>
      <c r="O12">
        <f t="shared" si="5"/>
        <v>1.5709090909090909E-2</v>
      </c>
      <c r="Q12" t="s">
        <v>49</v>
      </c>
      <c r="R12" s="42">
        <f t="shared" si="6"/>
        <v>-0.21183782184078137</v>
      </c>
      <c r="S12" s="42">
        <f t="shared" si="7"/>
        <v>-0.26433574452226932</v>
      </c>
      <c r="T12" s="42">
        <f t="shared" si="8"/>
        <v>-0.12795549374130744</v>
      </c>
      <c r="U12" s="42">
        <f t="shared" si="9"/>
        <v>-0.17792695871704367</v>
      </c>
      <c r="V12" s="42">
        <f t="shared" si="10"/>
        <v>8.4973560517038624E-2</v>
      </c>
      <c r="W12" s="42">
        <f t="shared" si="11"/>
        <v>-1.1458885941644561</v>
      </c>
    </row>
    <row r="13" spans="1:23">
      <c r="A13">
        <v>27</v>
      </c>
      <c r="B13">
        <v>0.38619999999999999</v>
      </c>
      <c r="C13">
        <v>2.2675000000000001</v>
      </c>
      <c r="D13">
        <v>5.1400000000000001E-2</v>
      </c>
      <c r="E13">
        <v>0.29659999999999997</v>
      </c>
      <c r="F13">
        <v>0.13220000000000001</v>
      </c>
      <c r="G13">
        <v>2.8999999999999998E-3</v>
      </c>
      <c r="I13">
        <v>27</v>
      </c>
      <c r="J13">
        <f t="shared" si="0"/>
        <v>-3.6175000000000013E-2</v>
      </c>
      <c r="K13">
        <f t="shared" si="1"/>
        <v>-0.34877500000000028</v>
      </c>
      <c r="L13">
        <f t="shared" si="2"/>
        <v>-8.9090909090909498E-4</v>
      </c>
      <c r="M13">
        <f t="shared" si="3"/>
        <v>-2.0281818181818123E-2</v>
      </c>
      <c r="N13">
        <f t="shared" si="4"/>
        <v>8.4181818181818108E-3</v>
      </c>
      <c r="O13">
        <f t="shared" si="5"/>
        <v>1.660909090909091E-2</v>
      </c>
      <c r="Q13">
        <v>27</v>
      </c>
      <c r="R13" s="42">
        <f t="shared" si="6"/>
        <v>-8.5646641018052708E-2</v>
      </c>
      <c r="S13" s="42">
        <f t="shared" si="7"/>
        <v>-0.13330976292629798</v>
      </c>
      <c r="T13" s="42">
        <f t="shared" si="8"/>
        <v>-1.7037552155771983E-2</v>
      </c>
      <c r="U13" s="42">
        <f t="shared" si="9"/>
        <v>-6.4004360673609151E-2</v>
      </c>
      <c r="V13" s="42">
        <f t="shared" si="10"/>
        <v>6.80082256169212E-2</v>
      </c>
      <c r="W13" s="42">
        <f t="shared" si="11"/>
        <v>-1.2115384615384615</v>
      </c>
    </row>
    <row r="14" spans="1:23">
      <c r="A14">
        <v>28</v>
      </c>
      <c r="B14">
        <v>0.36559999999999998</v>
      </c>
      <c r="C14">
        <v>2.2465000000000002</v>
      </c>
      <c r="D14">
        <v>5.4300000000000001E-2</v>
      </c>
      <c r="E14">
        <v>0.33139999999999997</v>
      </c>
      <c r="F14">
        <v>0.1477</v>
      </c>
      <c r="G14">
        <v>8.0000000000000004E-4</v>
      </c>
      <c r="I14">
        <v>28</v>
      </c>
      <c r="J14">
        <f t="shared" si="0"/>
        <v>-5.677500000000002E-2</v>
      </c>
      <c r="K14">
        <f t="shared" si="1"/>
        <v>-0.36977500000000019</v>
      </c>
      <c r="L14">
        <f t="shared" si="2"/>
        <v>2.0090909090909048E-3</v>
      </c>
      <c r="M14">
        <f t="shared" si="3"/>
        <v>1.4518181818181874E-2</v>
      </c>
      <c r="N14">
        <f t="shared" si="4"/>
        <v>2.3918181818181797E-2</v>
      </c>
      <c r="O14">
        <f t="shared" si="5"/>
        <v>1.4509090909090911E-2</v>
      </c>
      <c r="Q14">
        <v>28</v>
      </c>
      <c r="R14" s="42">
        <f t="shared" si="6"/>
        <v>-0.13441846700207166</v>
      </c>
      <c r="S14" s="42">
        <f t="shared" si="7"/>
        <v>-0.14133644207890994</v>
      </c>
      <c r="T14" s="42">
        <f t="shared" si="8"/>
        <v>3.842141863699574E-2</v>
      </c>
      <c r="U14" s="42">
        <f t="shared" si="9"/>
        <v>4.5815761540006501E-2</v>
      </c>
      <c r="V14" s="42">
        <f t="shared" si="10"/>
        <v>0.19322855464159791</v>
      </c>
      <c r="W14" s="42">
        <f t="shared" si="11"/>
        <v>-1.0583554376657824</v>
      </c>
    </row>
    <row r="15" spans="1:23">
      <c r="B15">
        <f t="shared" ref="B15:G15" si="12">AVERAGE(B3:B14)</f>
        <v>0.422375</v>
      </c>
      <c r="C15">
        <f t="shared" si="12"/>
        <v>2.6162750000000004</v>
      </c>
      <c r="D15">
        <f t="shared" si="12"/>
        <v>5.2290909090909096E-2</v>
      </c>
      <c r="E15">
        <f t="shared" si="12"/>
        <v>0.3168818181818181</v>
      </c>
      <c r="F15">
        <f t="shared" si="12"/>
        <v>0.1237818181818182</v>
      </c>
      <c r="G15">
        <f t="shared" si="12"/>
        <v>-1.370909090909091E-2</v>
      </c>
    </row>
    <row r="53" spans="2:3" ht="13.8" thickBot="1"/>
    <row r="54" spans="2:3" ht="13.8" thickBot="1">
      <c r="B54" s="44">
        <v>599.29999999999995</v>
      </c>
      <c r="C54" s="45">
        <v>936</v>
      </c>
    </row>
    <row r="55" spans="2:3" ht="13.8" thickBot="1">
      <c r="B55" s="46">
        <v>609.29999999999995</v>
      </c>
      <c r="C55" s="47">
        <v>952</v>
      </c>
    </row>
    <row r="56" spans="2:3" ht="13.8" thickBot="1">
      <c r="B56" s="46">
        <v>606.79999999999995</v>
      </c>
      <c r="C56" s="47">
        <v>948</v>
      </c>
    </row>
    <row r="57" spans="2:3" ht="13.8" thickBot="1">
      <c r="B57" s="46">
        <v>626.70000000000005</v>
      </c>
      <c r="C57" s="47">
        <v>979</v>
      </c>
    </row>
    <row r="58" spans="2:3" ht="13.8" thickBot="1">
      <c r="B58" s="46">
        <v>626.70000000000005</v>
      </c>
      <c r="C58" s="47">
        <v>979</v>
      </c>
    </row>
    <row r="59" spans="2:3" ht="13.8" thickBot="1">
      <c r="B59" s="46">
        <v>554.5</v>
      </c>
      <c r="C59" s="47">
        <v>866</v>
      </c>
    </row>
    <row r="60" spans="2:3" ht="13.8" thickBot="1">
      <c r="B60" s="46">
        <v>519.70000000000005</v>
      </c>
      <c r="C60" s="47">
        <v>812</v>
      </c>
    </row>
    <row r="61" spans="2:3" ht="13.8" thickBot="1">
      <c r="B61" s="46">
        <v>552.1</v>
      </c>
      <c r="C61" s="47">
        <v>863</v>
      </c>
    </row>
    <row r="62" spans="2:3" ht="13.8" thickBot="1">
      <c r="B62" s="46">
        <v>527.20000000000005</v>
      </c>
      <c r="C62" s="47">
        <v>824</v>
      </c>
    </row>
    <row r="63" spans="2:3" ht="13.8" thickBot="1">
      <c r="B63" s="46">
        <v>611.79999999999995</v>
      </c>
      <c r="C63" s="47">
        <v>956</v>
      </c>
    </row>
    <row r="64" spans="2:3" ht="13.8" thickBot="1">
      <c r="B64" s="46">
        <v>569.5</v>
      </c>
      <c r="C64" s="47">
        <v>890</v>
      </c>
    </row>
  </sheetData>
  <phoneticPr fontId="0" type="noConversion"/>
  <pageMargins left="0.75" right="0.75" top="1" bottom="1" header="0.5" footer="0.5"/>
  <pageSetup orientation="portrait" horizontalDpi="355" verticalDpi="355"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3"/>
  <sheetViews>
    <sheetView topLeftCell="F5" workbookViewId="0">
      <selection activeCell="O6" sqref="O6:P24"/>
    </sheetView>
  </sheetViews>
  <sheetFormatPr defaultColWidth="9" defaultRowHeight="13.2"/>
  <cols>
    <col min="1" max="9" width="9" style="3"/>
    <col min="10" max="10" width="9.33203125" style="13" customWidth="1"/>
    <col min="11" max="16384" width="9" style="3"/>
  </cols>
  <sheetData>
    <row r="1" spans="1:16" s="1" customFormat="1">
      <c r="A1" s="1" t="s">
        <v>31</v>
      </c>
      <c r="C1" s="19" t="s">
        <v>10</v>
      </c>
      <c r="D1" s="1">
        <v>379</v>
      </c>
      <c r="E1" s="1" t="s">
        <v>11</v>
      </c>
      <c r="F1" s="7" t="s">
        <v>20</v>
      </c>
      <c r="G1" s="17">
        <f>D4/(2*D3)</f>
        <v>1485.8075040783035</v>
      </c>
      <c r="H1" s="1" t="s">
        <v>26</v>
      </c>
      <c r="J1" s="13"/>
    </row>
    <row r="2" spans="1:16">
      <c r="C2" s="18" t="s">
        <v>15</v>
      </c>
      <c r="D2" s="3">
        <v>384.9</v>
      </c>
      <c r="E2" s="3" t="s">
        <v>11</v>
      </c>
      <c r="F2" s="18" t="s">
        <v>21</v>
      </c>
      <c r="G2" s="3">
        <f>SQRT(1/(D3*D5))</f>
        <v>8244.4965742557415</v>
      </c>
      <c r="H2" s="3" t="s">
        <v>26</v>
      </c>
    </row>
    <row r="3" spans="1:16">
      <c r="C3" s="18" t="s">
        <v>16</v>
      </c>
      <c r="D3" s="16">
        <v>3.0649999999999999E-6</v>
      </c>
      <c r="E3" s="3" t="s">
        <v>17</v>
      </c>
      <c r="F3" s="18" t="s">
        <v>25</v>
      </c>
      <c r="G3" s="16">
        <v>1.7110000000000001E-4</v>
      </c>
      <c r="H3" s="3" t="s">
        <v>27</v>
      </c>
    </row>
    <row r="4" spans="1:16">
      <c r="C4" s="18" t="s">
        <v>18</v>
      </c>
      <c r="D4" s="16">
        <v>9.1079999999999998E-3</v>
      </c>
      <c r="E4" s="3" t="s">
        <v>19</v>
      </c>
    </row>
    <row r="5" spans="1:16">
      <c r="C5" s="18" t="s">
        <v>22</v>
      </c>
      <c r="D5" s="16">
        <v>4.7999999999999996E-3</v>
      </c>
      <c r="E5" s="3" t="s">
        <v>23</v>
      </c>
    </row>
    <row r="6" spans="1:16" s="6" customFormat="1" ht="92.4">
      <c r="A6" s="2" t="s">
        <v>0</v>
      </c>
      <c r="B6" s="2" t="s">
        <v>5</v>
      </c>
      <c r="C6" s="2" t="s">
        <v>1</v>
      </c>
      <c r="D6" s="2" t="s">
        <v>2</v>
      </c>
      <c r="E6" s="2" t="s">
        <v>3</v>
      </c>
      <c r="F6" s="2" t="s">
        <v>9</v>
      </c>
      <c r="G6" s="2" t="s">
        <v>7</v>
      </c>
      <c r="H6" s="2" t="s">
        <v>8</v>
      </c>
      <c r="I6" s="2" t="s">
        <v>4</v>
      </c>
      <c r="J6" s="14"/>
      <c r="K6" s="5" t="s">
        <v>5</v>
      </c>
      <c r="L6" s="5" t="s">
        <v>13</v>
      </c>
      <c r="M6" s="5" t="s">
        <v>24</v>
      </c>
      <c r="N6" s="5" t="s">
        <v>14</v>
      </c>
      <c r="O6" s="6" t="s">
        <v>52</v>
      </c>
      <c r="P6" s="6" t="s">
        <v>54</v>
      </c>
    </row>
    <row r="7" spans="1:16">
      <c r="A7" s="2">
        <v>0</v>
      </c>
      <c r="B7" s="8">
        <v>0</v>
      </c>
      <c r="C7" s="5">
        <v>0.33200000000000002</v>
      </c>
      <c r="D7" s="9">
        <v>2.5</v>
      </c>
      <c r="E7" s="10">
        <v>36294</v>
      </c>
      <c r="F7" s="12">
        <f>(0.2027*A7+1.2055)*1000</f>
        <v>1205.5</v>
      </c>
      <c r="G7" s="12">
        <f t="shared" ref="G7:G21" si="0">D7*157.4</f>
        <v>393.5</v>
      </c>
      <c r="H7" s="12">
        <f>C7*7.751*157.4</f>
        <v>405.04245680000002</v>
      </c>
      <c r="I7" s="9">
        <f>G7/H7</f>
        <v>0.97150309404305379</v>
      </c>
    </row>
    <row r="8" spans="1:16">
      <c r="A8" s="8">
        <v>0</v>
      </c>
      <c r="B8" s="8">
        <v>14736</v>
      </c>
      <c r="C8" s="11">
        <v>0.33600000000000002</v>
      </c>
      <c r="D8" s="9">
        <v>2.6</v>
      </c>
      <c r="E8" s="10" t="s">
        <v>32</v>
      </c>
      <c r="F8" s="12">
        <f t="shared" ref="F8:F21" si="1">(0.2027*A8+1.2055)*1000</f>
        <v>1205.5</v>
      </c>
      <c r="G8" s="12">
        <f t="shared" si="0"/>
        <v>409.24</v>
      </c>
      <c r="H8" s="12">
        <f t="shared" ref="H8:H21" si="2">C8*7.751*157.4</f>
        <v>409.92248640000008</v>
      </c>
      <c r="I8" s="9">
        <f t="shared" ref="I8:I21" si="3">G8/H8</f>
        <v>0.99833508425948092</v>
      </c>
      <c r="K8" s="3">
        <f>B8-B7</f>
        <v>14736</v>
      </c>
      <c r="L8" s="15">
        <f>F8</f>
        <v>1205.5</v>
      </c>
      <c r="M8" s="16">
        <f>8*F8/($D$3*SQRT($G$2^2-$G$1^2))</f>
        <v>388000.49790581595</v>
      </c>
      <c r="N8" s="16">
        <f>M8*(EXP(-$G$1*$G$3))*SIN(SQRT($G$2^2-$G$1^2)*$G$3)</f>
        <v>295863.45722298301</v>
      </c>
      <c r="O8" s="16">
        <f>1000*(D8*1000-228.75)*8/64.353</f>
        <v>294780.35212033632</v>
      </c>
      <c r="P8" s="43">
        <f>IF(O8/N8&gt;0.5,O8/N8,"")</f>
        <v>0.99633917242496639</v>
      </c>
    </row>
    <row r="9" spans="1:16">
      <c r="A9" s="8">
        <v>0</v>
      </c>
      <c r="B9" s="8">
        <v>15200</v>
      </c>
      <c r="C9" s="11">
        <v>0.32800000000000001</v>
      </c>
      <c r="D9" s="9">
        <v>2.6</v>
      </c>
      <c r="E9" s="10">
        <v>36295</v>
      </c>
      <c r="F9" s="12">
        <f t="shared" si="1"/>
        <v>1205.5</v>
      </c>
      <c r="G9" s="12">
        <f t="shared" si="0"/>
        <v>409.24</v>
      </c>
      <c r="H9" s="12">
        <f t="shared" si="2"/>
        <v>400.16242720000008</v>
      </c>
      <c r="I9" s="9">
        <f t="shared" si="3"/>
        <v>1.0226847204609317</v>
      </c>
      <c r="K9" s="3">
        <f t="shared" ref="K9:K21" si="4">B9-B8</f>
        <v>464</v>
      </c>
      <c r="L9" s="15">
        <f t="shared" ref="L9:L21" si="5">F9</f>
        <v>1205.5</v>
      </c>
      <c r="M9" s="16">
        <f t="shared" ref="M9:M21" si="6">8*F9/($D$3*SQRT($G$2^2-$G$1^2))</f>
        <v>388000.49790581595</v>
      </c>
      <c r="N9" s="16">
        <f t="shared" ref="N9:N21" si="7">M9*(EXP(-$G$1*$G$3))*SIN(SQRT($G$2^2-$G$1^2)*$G$3)</f>
        <v>295863.45722298301</v>
      </c>
      <c r="O9" s="16">
        <f t="shared" ref="O9:O21" si="8">1000*(D9*1000-228.75)*8/64.353</f>
        <v>294780.35212033632</v>
      </c>
      <c r="P9" s="43">
        <f t="shared" ref="P9:P21" si="9">IF(O9/N9&gt;0.5,O9/N9,"")</f>
        <v>0.99633917242496639</v>
      </c>
    </row>
    <row r="10" spans="1:16">
      <c r="A10" s="8">
        <v>1.5</v>
      </c>
      <c r="B10" s="8">
        <v>15200</v>
      </c>
      <c r="C10" s="11">
        <v>0.42399999999999999</v>
      </c>
      <c r="D10" s="9">
        <v>3.28</v>
      </c>
      <c r="E10" s="10">
        <v>36297</v>
      </c>
      <c r="F10" s="12">
        <f>(0.2027*A10+1.2055)*1000</f>
        <v>1509.55</v>
      </c>
      <c r="G10" s="12">
        <f>D10*157.4</f>
        <v>516.27199999999993</v>
      </c>
      <c r="H10" s="12">
        <f>C10*7.751*157.4</f>
        <v>517.28313760000003</v>
      </c>
      <c r="I10" s="9">
        <f>G10/H10</f>
        <v>0.99804529178219226</v>
      </c>
      <c r="K10" s="3">
        <f t="shared" si="4"/>
        <v>0</v>
      </c>
      <c r="L10" s="15">
        <f t="shared" si="5"/>
        <v>1509.55</v>
      </c>
      <c r="M10" s="16">
        <f t="shared" si="6"/>
        <v>485861.59403875936</v>
      </c>
      <c r="N10" s="16">
        <f t="shared" si="7"/>
        <v>370485.84143588052</v>
      </c>
      <c r="O10" s="16">
        <f t="shared" si="8"/>
        <v>379314.09569095459</v>
      </c>
      <c r="P10" s="43">
        <f t="shared" si="9"/>
        <v>1.0238288573211292</v>
      </c>
    </row>
    <row r="11" spans="1:16">
      <c r="A11" s="8">
        <v>1.5</v>
      </c>
      <c r="B11" s="8">
        <v>24000</v>
      </c>
      <c r="C11" s="11">
        <v>0.42399999999999999</v>
      </c>
      <c r="D11" s="9">
        <v>3.28</v>
      </c>
      <c r="E11" s="10">
        <v>36297</v>
      </c>
      <c r="F11" s="12">
        <f t="shared" si="1"/>
        <v>1509.55</v>
      </c>
      <c r="G11" s="12">
        <f t="shared" si="0"/>
        <v>516.27199999999993</v>
      </c>
      <c r="H11" s="12">
        <f t="shared" si="2"/>
        <v>517.28313760000003</v>
      </c>
      <c r="I11" s="9">
        <f t="shared" si="3"/>
        <v>0.99804529178219226</v>
      </c>
      <c r="K11" s="3">
        <f t="shared" si="4"/>
        <v>8800</v>
      </c>
      <c r="L11" s="15">
        <f t="shared" si="5"/>
        <v>1509.55</v>
      </c>
      <c r="M11" s="16">
        <f t="shared" si="6"/>
        <v>485861.59403875936</v>
      </c>
      <c r="N11" s="16">
        <f t="shared" si="7"/>
        <v>370485.84143588052</v>
      </c>
      <c r="O11" s="16">
        <f t="shared" si="8"/>
        <v>379314.09569095459</v>
      </c>
      <c r="P11" s="43">
        <f t="shared" si="9"/>
        <v>1.0238288573211292</v>
      </c>
    </row>
    <row r="12" spans="1:16">
      <c r="A12" s="8">
        <v>2</v>
      </c>
      <c r="B12" s="8">
        <v>24000</v>
      </c>
      <c r="C12" s="11">
        <v>0.44800000000000001</v>
      </c>
      <c r="D12" s="9">
        <v>3.56</v>
      </c>
      <c r="E12" s="10">
        <v>36297</v>
      </c>
      <c r="F12" s="12">
        <f>(0.2027*A12+1.2055)*1000</f>
        <v>1610.9</v>
      </c>
      <c r="G12" s="12">
        <f>D12*157.4</f>
        <v>560.34400000000005</v>
      </c>
      <c r="H12" s="12">
        <f>C12*7.751*157.4</f>
        <v>546.56331520000003</v>
      </c>
      <c r="I12" s="9">
        <f>G12/H12</f>
        <v>1.0252133365280056</v>
      </c>
      <c r="K12" s="3">
        <f t="shared" si="4"/>
        <v>0</v>
      </c>
      <c r="L12" s="15">
        <f t="shared" si="5"/>
        <v>1610.9</v>
      </c>
      <c r="M12" s="16">
        <f t="shared" si="6"/>
        <v>518481.95941640722</v>
      </c>
      <c r="N12" s="16">
        <f t="shared" si="7"/>
        <v>395359.96950684639</v>
      </c>
      <c r="O12" s="16">
        <f t="shared" si="8"/>
        <v>414122.10774944449</v>
      </c>
      <c r="P12" s="43">
        <f t="shared" si="9"/>
        <v>1.0474558369326088</v>
      </c>
    </row>
    <row r="13" spans="1:16">
      <c r="A13" s="8">
        <v>2</v>
      </c>
      <c r="B13" s="8">
        <v>54800</v>
      </c>
      <c r="C13" s="11">
        <v>0.44800000000000001</v>
      </c>
      <c r="D13" s="9">
        <v>3.56</v>
      </c>
      <c r="E13" s="10">
        <v>36297</v>
      </c>
      <c r="F13" s="12">
        <f t="shared" si="1"/>
        <v>1610.9</v>
      </c>
      <c r="G13" s="12">
        <f t="shared" si="0"/>
        <v>560.34400000000005</v>
      </c>
      <c r="H13" s="12">
        <f t="shared" si="2"/>
        <v>546.56331520000003</v>
      </c>
      <c r="I13" s="9">
        <f t="shared" si="3"/>
        <v>1.0252133365280056</v>
      </c>
      <c r="K13" s="3">
        <f t="shared" si="4"/>
        <v>30800</v>
      </c>
      <c r="L13" s="15">
        <f t="shared" si="5"/>
        <v>1610.9</v>
      </c>
      <c r="M13" s="16">
        <f t="shared" si="6"/>
        <v>518481.95941640722</v>
      </c>
      <c r="N13" s="16">
        <f t="shared" si="7"/>
        <v>395359.96950684639</v>
      </c>
      <c r="O13" s="16">
        <f t="shared" si="8"/>
        <v>414122.10774944449</v>
      </c>
      <c r="P13" s="43">
        <f t="shared" si="9"/>
        <v>1.0474558369326088</v>
      </c>
    </row>
    <row r="14" spans="1:16">
      <c r="A14" s="8">
        <v>2.5</v>
      </c>
      <c r="B14" s="8">
        <v>54800</v>
      </c>
      <c r="C14" s="11">
        <v>0.48</v>
      </c>
      <c r="D14" s="9">
        <v>3.76</v>
      </c>
      <c r="E14" s="10">
        <v>36298</v>
      </c>
      <c r="F14" s="12">
        <f t="shared" si="1"/>
        <v>1712.25</v>
      </c>
      <c r="G14" s="12">
        <f t="shared" si="0"/>
        <v>591.82399999999996</v>
      </c>
      <c r="H14" s="12">
        <f t="shared" si="2"/>
        <v>585.60355200000004</v>
      </c>
      <c r="I14" s="9">
        <f t="shared" si="3"/>
        <v>1.0106222852965208</v>
      </c>
      <c r="K14" s="3">
        <f t="shared" si="4"/>
        <v>0</v>
      </c>
      <c r="L14" s="15">
        <f t="shared" si="5"/>
        <v>1712.25</v>
      </c>
      <c r="M14" s="16">
        <f t="shared" si="6"/>
        <v>551102.32479405496</v>
      </c>
      <c r="N14" s="16">
        <f t="shared" si="7"/>
        <v>420234.09757781215</v>
      </c>
      <c r="O14" s="16">
        <f t="shared" si="8"/>
        <v>438984.97350550874</v>
      </c>
      <c r="P14" s="43">
        <f t="shared" si="9"/>
        <v>1.04462007256378</v>
      </c>
    </row>
    <row r="15" spans="1:16">
      <c r="A15" s="8">
        <v>2.5</v>
      </c>
      <c r="B15" s="8">
        <v>58500</v>
      </c>
      <c r="C15" s="11">
        <v>0.48</v>
      </c>
      <c r="D15" s="9">
        <v>3.76</v>
      </c>
      <c r="E15" s="10">
        <v>36298</v>
      </c>
      <c r="F15" s="12">
        <f t="shared" si="1"/>
        <v>1712.25</v>
      </c>
      <c r="G15" s="12"/>
      <c r="H15" s="12"/>
      <c r="I15" s="9"/>
      <c r="K15" s="3">
        <f t="shared" si="4"/>
        <v>3700</v>
      </c>
      <c r="L15" s="15">
        <f t="shared" si="5"/>
        <v>1712.25</v>
      </c>
      <c r="M15" s="16">
        <f t="shared" si="6"/>
        <v>551102.32479405496</v>
      </c>
      <c r="N15" s="16">
        <f t="shared" si="7"/>
        <v>420234.09757781215</v>
      </c>
      <c r="O15" s="16">
        <f t="shared" si="8"/>
        <v>438984.97350550874</v>
      </c>
      <c r="P15" s="43">
        <f t="shared" si="9"/>
        <v>1.04462007256378</v>
      </c>
    </row>
    <row r="16" spans="1:16">
      <c r="A16" s="8">
        <v>3</v>
      </c>
      <c r="B16" s="8">
        <v>58500</v>
      </c>
      <c r="C16" s="11">
        <v>0.504</v>
      </c>
      <c r="D16" s="9">
        <v>3.92</v>
      </c>
      <c r="E16" s="10">
        <v>36298</v>
      </c>
      <c r="F16" s="12">
        <f>(0.2027*A16+1.2055)*1000</f>
        <v>1813.6000000000001</v>
      </c>
      <c r="G16" s="12">
        <f>D16*157.4</f>
        <v>617.00800000000004</v>
      </c>
      <c r="H16" s="12">
        <f>C16*7.751*157.4</f>
        <v>614.88372960000004</v>
      </c>
      <c r="I16" s="9">
        <f>G16/H16</f>
        <v>1.0034547513582477</v>
      </c>
      <c r="K16" s="3">
        <f t="shared" si="4"/>
        <v>0</v>
      </c>
      <c r="L16" s="15">
        <f t="shared" si="5"/>
        <v>1813.6000000000001</v>
      </c>
      <c r="M16" s="16">
        <f t="shared" si="6"/>
        <v>583722.69017170288</v>
      </c>
      <c r="N16" s="16">
        <f t="shared" si="7"/>
        <v>445108.22564877814</v>
      </c>
      <c r="O16" s="16">
        <f t="shared" si="8"/>
        <v>458875.2661103601</v>
      </c>
      <c r="P16" s="43">
        <f t="shared" si="9"/>
        <v>1.0309296473717497</v>
      </c>
    </row>
    <row r="17" spans="1:16">
      <c r="A17" s="8">
        <v>3</v>
      </c>
      <c r="B17" s="8">
        <v>63800</v>
      </c>
      <c r="C17" s="11">
        <v>0.504</v>
      </c>
      <c r="D17" s="9">
        <v>3.92</v>
      </c>
      <c r="E17" s="10">
        <v>36298</v>
      </c>
      <c r="F17" s="12">
        <f>(0.2027*A17+1.2055)*1000</f>
        <v>1813.6000000000001</v>
      </c>
      <c r="G17" s="12">
        <f>D17*157.4</f>
        <v>617.00800000000004</v>
      </c>
      <c r="H17" s="12">
        <f>C17*7.751*157.4</f>
        <v>614.88372960000004</v>
      </c>
      <c r="I17" s="9">
        <f>G17/H17</f>
        <v>1.0034547513582477</v>
      </c>
      <c r="K17" s="3">
        <f t="shared" si="4"/>
        <v>5300</v>
      </c>
      <c r="L17" s="15">
        <f t="shared" si="5"/>
        <v>1813.6000000000001</v>
      </c>
      <c r="M17" s="16">
        <f t="shared" si="6"/>
        <v>583722.69017170288</v>
      </c>
      <c r="N17" s="16">
        <f t="shared" si="7"/>
        <v>445108.22564877814</v>
      </c>
      <c r="O17" s="16">
        <f t="shared" si="8"/>
        <v>458875.2661103601</v>
      </c>
      <c r="P17" s="43">
        <f t="shared" si="9"/>
        <v>1.0309296473717497</v>
      </c>
    </row>
    <row r="18" spans="1:16">
      <c r="A18" s="8">
        <v>3.5</v>
      </c>
      <c r="B18" s="8">
        <v>63800</v>
      </c>
      <c r="C18" s="11">
        <v>0.52800000000000002</v>
      </c>
      <c r="D18" s="8">
        <v>4.16</v>
      </c>
      <c r="E18" s="10">
        <v>36298</v>
      </c>
      <c r="F18" s="12">
        <f>(0.2027*A18+1.2055)*1000</f>
        <v>1914.9499999999998</v>
      </c>
      <c r="G18" s="12">
        <f>D18*157.4</f>
        <v>654.78399999999999</v>
      </c>
      <c r="H18" s="12">
        <f>C18*7.751*157.4</f>
        <v>644.16390720000015</v>
      </c>
      <c r="I18" s="9">
        <f>G18/H18</f>
        <v>1.0164866312460168</v>
      </c>
      <c r="K18" s="3">
        <f t="shared" si="4"/>
        <v>0</v>
      </c>
      <c r="L18" s="15">
        <f t="shared" si="5"/>
        <v>1914.9499999999998</v>
      </c>
      <c r="M18" s="16">
        <f t="shared" si="6"/>
        <v>616343.05554935057</v>
      </c>
      <c r="N18" s="16">
        <f t="shared" si="7"/>
        <v>469982.35371974384</v>
      </c>
      <c r="O18" s="16">
        <f t="shared" si="8"/>
        <v>488710.70501763711</v>
      </c>
      <c r="P18" s="43">
        <f t="shared" si="9"/>
        <v>1.0398490520966692</v>
      </c>
    </row>
    <row r="19" spans="1:16">
      <c r="A19" s="8">
        <v>3.5</v>
      </c>
      <c r="B19" s="8">
        <v>68400</v>
      </c>
      <c r="C19" s="11">
        <v>0.52800000000000002</v>
      </c>
      <c r="D19" s="8">
        <v>4.16</v>
      </c>
      <c r="E19" s="10">
        <v>36298</v>
      </c>
      <c r="F19" s="12">
        <f t="shared" si="1"/>
        <v>1914.9499999999998</v>
      </c>
      <c r="G19" s="12">
        <f t="shared" si="0"/>
        <v>654.78399999999999</v>
      </c>
      <c r="H19" s="12">
        <f t="shared" si="2"/>
        <v>644.16390720000015</v>
      </c>
      <c r="I19" s="9">
        <f t="shared" si="3"/>
        <v>1.0164866312460168</v>
      </c>
      <c r="K19" s="3">
        <f t="shared" si="4"/>
        <v>4600</v>
      </c>
      <c r="L19" s="15">
        <f t="shared" si="5"/>
        <v>1914.9499999999998</v>
      </c>
      <c r="M19" s="16">
        <f t="shared" si="6"/>
        <v>616343.05554935057</v>
      </c>
      <c r="N19" s="16">
        <f t="shared" si="7"/>
        <v>469982.35371974384</v>
      </c>
      <c r="O19" s="16">
        <f t="shared" si="8"/>
        <v>488710.70501763711</v>
      </c>
      <c r="P19" s="43">
        <f t="shared" si="9"/>
        <v>1.0398490520966692</v>
      </c>
    </row>
    <row r="20" spans="1:16">
      <c r="A20" s="8">
        <v>4.6500000000000004</v>
      </c>
      <c r="B20" s="8">
        <v>68400</v>
      </c>
      <c r="C20" s="8">
        <v>0.6</v>
      </c>
      <c r="D20" s="8">
        <v>4.72</v>
      </c>
      <c r="E20" s="10">
        <v>36298</v>
      </c>
      <c r="F20" s="12">
        <f t="shared" si="1"/>
        <v>2148.0550000000003</v>
      </c>
      <c r="G20" s="12">
        <f t="shared" si="0"/>
        <v>742.928</v>
      </c>
      <c r="H20" s="12">
        <f t="shared" si="2"/>
        <v>732.00444000000005</v>
      </c>
      <c r="I20" s="9">
        <f t="shared" si="3"/>
        <v>1.0149228056594848</v>
      </c>
      <c r="K20" s="3">
        <f t="shared" si="4"/>
        <v>0</v>
      </c>
      <c r="L20" s="15">
        <f t="shared" si="5"/>
        <v>2148.0550000000003</v>
      </c>
      <c r="M20" s="16">
        <f t="shared" si="6"/>
        <v>691369.89591794077</v>
      </c>
      <c r="N20" s="16">
        <f t="shared" si="7"/>
        <v>527192.84828296548</v>
      </c>
      <c r="O20" s="16">
        <f t="shared" si="8"/>
        <v>558326.72913461691</v>
      </c>
      <c r="P20" s="43">
        <f t="shared" si="9"/>
        <v>1.0590559620697673</v>
      </c>
    </row>
    <row r="21" spans="1:16">
      <c r="A21" s="8">
        <v>4.6500000000000004</v>
      </c>
      <c r="B21" s="8">
        <v>154350</v>
      </c>
      <c r="C21" s="8">
        <v>0.6</v>
      </c>
      <c r="D21" s="8">
        <v>4.72</v>
      </c>
      <c r="E21" s="10">
        <v>36299</v>
      </c>
      <c r="F21" s="12">
        <f t="shared" si="1"/>
        <v>2148.0550000000003</v>
      </c>
      <c r="G21" s="12">
        <f t="shared" si="0"/>
        <v>742.928</v>
      </c>
      <c r="H21" s="12">
        <f t="shared" si="2"/>
        <v>732.00444000000005</v>
      </c>
      <c r="I21" s="9">
        <f t="shared" si="3"/>
        <v>1.0149228056594848</v>
      </c>
      <c r="K21" s="3">
        <f t="shared" si="4"/>
        <v>85950</v>
      </c>
      <c r="L21" s="15">
        <f t="shared" si="5"/>
        <v>2148.0550000000003</v>
      </c>
      <c r="M21" s="16">
        <f t="shared" si="6"/>
        <v>691369.89591794077</v>
      </c>
      <c r="N21" s="16">
        <f t="shared" si="7"/>
        <v>527192.84828296548</v>
      </c>
      <c r="O21" s="16">
        <f t="shared" si="8"/>
        <v>558326.72913461691</v>
      </c>
      <c r="P21" s="43">
        <f t="shared" si="9"/>
        <v>1.0590559620697673</v>
      </c>
    </row>
    <row r="22" spans="1:16">
      <c r="A22" s="8"/>
      <c r="B22" s="4"/>
      <c r="E22" s="3" t="s">
        <v>12</v>
      </c>
      <c r="F22" s="15">
        <f>MAX(F7:F21)</f>
        <v>2148.0550000000003</v>
      </c>
      <c r="K22" s="3">
        <f>SUM(K8:K21)</f>
        <v>154350</v>
      </c>
      <c r="O22" s="16"/>
      <c r="P22" s="43"/>
    </row>
    <row r="23" spans="1:16">
      <c r="O23" s="3" t="s">
        <v>12</v>
      </c>
      <c r="P23" s="43">
        <f>MAX(P8:P22)</f>
        <v>1.0590559620697673</v>
      </c>
    </row>
    <row r="24" spans="1:16">
      <c r="O24" s="3" t="s">
        <v>53</v>
      </c>
      <c r="P24" s="43">
        <f>MIN(P8:P23)</f>
        <v>0.99633917242496639</v>
      </c>
    </row>
    <row r="25" spans="1:16">
      <c r="A25" s="3" t="s">
        <v>5</v>
      </c>
      <c r="B25" s="3" t="s">
        <v>13</v>
      </c>
      <c r="C25" s="3" t="s">
        <v>24</v>
      </c>
      <c r="D25" s="3" t="s">
        <v>14</v>
      </c>
    </row>
    <row r="26" spans="1:16">
      <c r="A26" s="15">
        <v>15200</v>
      </c>
      <c r="B26" s="15">
        <v>1205.5</v>
      </c>
      <c r="C26" s="15">
        <v>388000.49790581595</v>
      </c>
      <c r="D26" s="15">
        <v>295863.45722298301</v>
      </c>
    </row>
    <row r="27" spans="1:16">
      <c r="A27" s="15">
        <v>8800</v>
      </c>
      <c r="B27" s="15">
        <v>1509.55</v>
      </c>
      <c r="C27" s="15">
        <v>485861.59403875936</v>
      </c>
      <c r="D27" s="15">
        <v>370485.84143588052</v>
      </c>
    </row>
    <row r="28" spans="1:16">
      <c r="A28" s="15">
        <v>30800</v>
      </c>
      <c r="B28" s="15">
        <v>1610.9</v>
      </c>
      <c r="C28" s="15">
        <v>518481.95941640722</v>
      </c>
      <c r="D28" s="15">
        <v>395359.96950684639</v>
      </c>
    </row>
    <row r="29" spans="1:16">
      <c r="A29" s="15">
        <v>3700</v>
      </c>
      <c r="B29" s="15">
        <v>1712.25</v>
      </c>
      <c r="C29" s="15">
        <v>551102.32479405496</v>
      </c>
      <c r="D29" s="15">
        <v>420234.09757781215</v>
      </c>
    </row>
    <row r="30" spans="1:16">
      <c r="A30" s="15">
        <v>5300</v>
      </c>
      <c r="B30" s="15">
        <v>1813.6</v>
      </c>
      <c r="C30" s="15">
        <v>583722.69017170288</v>
      </c>
      <c r="D30" s="15">
        <v>445108.22564877814</v>
      </c>
    </row>
    <row r="31" spans="1:16">
      <c r="A31" s="15">
        <v>4600</v>
      </c>
      <c r="B31" s="15">
        <v>1914.95</v>
      </c>
      <c r="C31" s="15">
        <v>616343.05554935057</v>
      </c>
      <c r="D31" s="15">
        <v>469982.35371974384</v>
      </c>
    </row>
    <row r="32" spans="1:16">
      <c r="A32" s="15">
        <v>85950</v>
      </c>
      <c r="B32" s="15">
        <v>2148.0549999999998</v>
      </c>
      <c r="C32" s="15">
        <v>691369.89591794077</v>
      </c>
      <c r="D32" s="15">
        <v>527192.84828296548</v>
      </c>
    </row>
    <row r="33" spans="1:10">
      <c r="A33" s="15">
        <f>SUM(A26:A32)</f>
        <v>154350</v>
      </c>
      <c r="I33" s="13"/>
      <c r="J33" s="3"/>
    </row>
  </sheetData>
  <phoneticPr fontId="0" type="noConversion"/>
  <pageMargins left="0.75" right="0.75" top="1" bottom="1" header="0.5" footer="0.5"/>
  <pageSetup scale="83" orientation="landscape" horizontalDpi="355" verticalDpi="355" r:id="rId1"/>
  <headerFooter alignWithMargins="0"/>
  <drawing r:id="rId2"/>
  <legacyDrawing r:id="rId3"/>
  <oleObjects>
    <mc:AlternateContent xmlns:mc="http://schemas.openxmlformats.org/markup-compatibility/2006">
      <mc:Choice Requires="x14">
        <oleObject progId="Mathcad" shapeId="4097"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4097" r:id="rId4"/>
      </mc:Fallback>
    </mc:AlternateContent>
    <mc:AlternateContent xmlns:mc="http://schemas.openxmlformats.org/markup-compatibility/2006">
      <mc:Choice Requires="x14">
        <oleObject progId="Mathcad" shapeId="4098"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4098" r:id="rId6"/>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6"/>
  <sheetViews>
    <sheetView topLeftCell="F4" workbookViewId="0">
      <selection activeCell="P24" sqref="O6:P24"/>
    </sheetView>
  </sheetViews>
  <sheetFormatPr defaultColWidth="9" defaultRowHeight="13.2"/>
  <cols>
    <col min="1" max="9" width="9" style="3"/>
    <col min="10" max="10" width="9.33203125" style="13" customWidth="1"/>
    <col min="11" max="16384" width="9" style="3"/>
  </cols>
  <sheetData>
    <row r="1" spans="1:16" s="1" customFormat="1">
      <c r="A1" s="1" t="s">
        <v>29</v>
      </c>
      <c r="C1" s="19" t="s">
        <v>10</v>
      </c>
      <c r="D1" s="1">
        <v>379</v>
      </c>
      <c r="E1" s="1" t="s">
        <v>11</v>
      </c>
      <c r="F1" s="7" t="s">
        <v>20</v>
      </c>
      <c r="G1" s="17">
        <f>D4/(2*D3)</f>
        <v>1485.8075040783035</v>
      </c>
      <c r="H1" s="1" t="s">
        <v>26</v>
      </c>
      <c r="J1" s="13"/>
    </row>
    <row r="2" spans="1:16">
      <c r="A2" s="3" t="s">
        <v>30</v>
      </c>
      <c r="C2" s="18" t="s">
        <v>15</v>
      </c>
      <c r="D2" s="3">
        <v>384.9</v>
      </c>
      <c r="E2" s="3" t="s">
        <v>11</v>
      </c>
      <c r="F2" s="18" t="s">
        <v>21</v>
      </c>
      <c r="G2" s="3">
        <f>SQRT(1/(D3*D5))</f>
        <v>8244.4965742557415</v>
      </c>
      <c r="H2" s="3" t="s">
        <v>26</v>
      </c>
    </row>
    <row r="3" spans="1:16">
      <c r="C3" s="18" t="s">
        <v>16</v>
      </c>
      <c r="D3" s="16">
        <v>3.0649999999999999E-6</v>
      </c>
      <c r="E3" s="3" t="s">
        <v>17</v>
      </c>
      <c r="F3" s="18" t="s">
        <v>25</v>
      </c>
      <c r="G3" s="16">
        <v>1.7110000000000001E-4</v>
      </c>
      <c r="H3" s="3" t="s">
        <v>27</v>
      </c>
    </row>
    <row r="4" spans="1:16">
      <c r="C4" s="18" t="s">
        <v>18</v>
      </c>
      <c r="D4" s="16">
        <v>9.1079999999999998E-3</v>
      </c>
      <c r="E4" s="3" t="s">
        <v>19</v>
      </c>
    </row>
    <row r="5" spans="1:16">
      <c r="C5" s="18" t="s">
        <v>22</v>
      </c>
      <c r="D5" s="16">
        <v>4.7999999999999996E-3</v>
      </c>
      <c r="E5" s="3" t="s">
        <v>23</v>
      </c>
    </row>
    <row r="6" spans="1:16" s="6" customFormat="1" ht="92.4">
      <c r="A6" s="2" t="s">
        <v>0</v>
      </c>
      <c r="B6" s="2" t="s">
        <v>5</v>
      </c>
      <c r="C6" s="2" t="s">
        <v>1</v>
      </c>
      <c r="D6" s="2" t="s">
        <v>2</v>
      </c>
      <c r="E6" s="2" t="s">
        <v>3</v>
      </c>
      <c r="F6" s="2" t="s">
        <v>9</v>
      </c>
      <c r="G6" s="2" t="s">
        <v>7</v>
      </c>
      <c r="H6" s="2" t="s">
        <v>8</v>
      </c>
      <c r="I6" s="2" t="s">
        <v>4</v>
      </c>
      <c r="J6" s="14"/>
      <c r="K6" s="5" t="s">
        <v>5</v>
      </c>
      <c r="L6" s="5" t="s">
        <v>13</v>
      </c>
      <c r="M6" s="5" t="s">
        <v>24</v>
      </c>
      <c r="N6" s="5" t="s">
        <v>14</v>
      </c>
      <c r="O6" s="6" t="s">
        <v>52</v>
      </c>
      <c r="P6" s="6" t="s">
        <v>54</v>
      </c>
    </row>
    <row r="7" spans="1:16">
      <c r="A7" s="2">
        <v>0</v>
      </c>
      <c r="B7" s="8"/>
      <c r="C7" s="5">
        <v>0.26</v>
      </c>
      <c r="D7" s="9">
        <v>1.92</v>
      </c>
      <c r="E7" s="10">
        <v>37223</v>
      </c>
      <c r="F7" s="12">
        <f>(0.2027*A7+1.2055)*1000</f>
        <v>1205.5</v>
      </c>
      <c r="G7" s="12">
        <f>D7*157.4</f>
        <v>302.20800000000003</v>
      </c>
      <c r="H7" s="12">
        <f>C7*7.751*157.4</f>
        <v>317.20192400000002</v>
      </c>
      <c r="I7" s="9">
        <f>G7/H7</f>
        <v>0.9527306650258528</v>
      </c>
    </row>
    <row r="8" spans="1:16">
      <c r="A8" s="2">
        <v>0</v>
      </c>
      <c r="B8" s="8">
        <v>1300</v>
      </c>
      <c r="C8" s="5">
        <v>0.26</v>
      </c>
      <c r="D8" s="9">
        <v>1.92</v>
      </c>
      <c r="E8" s="10">
        <v>37223</v>
      </c>
      <c r="F8" s="12">
        <f>(0.2027*A8+1.2055)*1000</f>
        <v>1205.5</v>
      </c>
      <c r="G8" s="12">
        <f>D8*157.4</f>
        <v>302.20800000000003</v>
      </c>
      <c r="H8" s="12">
        <f>C8*7.751*157.4</f>
        <v>317.20192400000002</v>
      </c>
      <c r="I8" s="9">
        <f>G8/H8</f>
        <v>0.9527306650258528</v>
      </c>
      <c r="K8" s="3">
        <f>B8-B7</f>
        <v>1300</v>
      </c>
      <c r="L8" s="15">
        <f>F8</f>
        <v>1205.5</v>
      </c>
      <c r="M8" s="16">
        <f>8*F8/($D$3*SQRT($G$2^2-$G$1^2))</f>
        <v>388000.49790581595</v>
      </c>
      <c r="N8" s="16">
        <f>M8*(EXP(-$G$1*$G$3))*SIN(SQRT($G$2^2-$G$1^2)*$G$3)</f>
        <v>295863.45722298301</v>
      </c>
      <c r="O8" s="16">
        <f>1000*(D8*1000-228.75)*8/64.353</f>
        <v>210246.60854971799</v>
      </c>
      <c r="P8" s="43">
        <f>IF(O8/N8&gt;0.5,O8/N8,"")</f>
        <v>0.710620400785967</v>
      </c>
    </row>
    <row r="9" spans="1:16">
      <c r="A9" s="8">
        <v>1</v>
      </c>
      <c r="B9" s="8">
        <v>1300</v>
      </c>
      <c r="C9" s="11">
        <v>0.30399999999999999</v>
      </c>
      <c r="D9" s="9">
        <v>2.2799999999999998</v>
      </c>
      <c r="E9" s="10">
        <v>37223</v>
      </c>
      <c r="F9" s="12">
        <f t="shared" ref="F9:F22" si="0">(0.2027*A9+1.2055)*1000</f>
        <v>1408.1999999999998</v>
      </c>
      <c r="G9" s="12">
        <f t="shared" ref="G9:G22" si="1">D9*157.4</f>
        <v>358.87199999999996</v>
      </c>
      <c r="H9" s="12">
        <f t="shared" ref="H9:H22" si="2">C9*7.751*157.4</f>
        <v>370.88224960000002</v>
      </c>
      <c r="I9" s="9">
        <f t="shared" ref="I9:I22" si="3">G9/H9</f>
        <v>0.96761708166688154</v>
      </c>
      <c r="K9" s="3">
        <f t="shared" ref="K9:K22" si="4">B9-B8</f>
        <v>0</v>
      </c>
      <c r="L9" s="15">
        <f t="shared" ref="L9:L22" si="5">F9</f>
        <v>1408.1999999999998</v>
      </c>
      <c r="M9" s="16">
        <f t="shared" ref="M9:M22" si="6">8*F9/($D$3*SQRT($G$2^2-$G$1^2))</f>
        <v>453241.2286611115</v>
      </c>
      <c r="N9" s="16">
        <f t="shared" ref="N9:N22" si="7">M9*(EXP(-$G$1*$G$3))*SIN(SQRT($G$2^2-$G$1^2)*$G$3)</f>
        <v>345611.71336491464</v>
      </c>
      <c r="O9" s="16">
        <f t="shared" ref="O9:O22" si="8">1000*(D9*1000-228.75)*8/64.353</f>
        <v>254999.76691063357</v>
      </c>
      <c r="P9" s="43">
        <f t="shared" ref="P9:P22" si="9">IF(O9/N9&gt;0.5,O9/N9,"")</f>
        <v>0.73782154090764762</v>
      </c>
    </row>
    <row r="10" spans="1:16">
      <c r="A10" s="8">
        <v>1</v>
      </c>
      <c r="B10" s="8">
        <v>1440</v>
      </c>
      <c r="C10" s="11">
        <v>0.30399999999999999</v>
      </c>
      <c r="D10" s="9">
        <v>2.2400000000000002</v>
      </c>
      <c r="E10" s="10">
        <v>37224</v>
      </c>
      <c r="F10" s="12">
        <f t="shared" si="0"/>
        <v>1408.1999999999998</v>
      </c>
      <c r="G10" s="12">
        <f t="shared" si="1"/>
        <v>352.57600000000002</v>
      </c>
      <c r="H10" s="12">
        <f t="shared" si="2"/>
        <v>370.88224960000002</v>
      </c>
      <c r="I10" s="9">
        <f t="shared" si="3"/>
        <v>0.95064134339202411</v>
      </c>
      <c r="K10" s="3">
        <f t="shared" si="4"/>
        <v>140</v>
      </c>
      <c r="L10" s="15">
        <f t="shared" si="5"/>
        <v>1408.1999999999998</v>
      </c>
      <c r="M10" s="16">
        <f t="shared" si="6"/>
        <v>453241.2286611115</v>
      </c>
      <c r="N10" s="16">
        <f t="shared" si="7"/>
        <v>345611.71336491464</v>
      </c>
      <c r="O10" s="16">
        <f t="shared" si="8"/>
        <v>250027.19375942071</v>
      </c>
      <c r="P10" s="43">
        <f t="shared" si="9"/>
        <v>0.7234337960514351</v>
      </c>
    </row>
    <row r="11" spans="1:16">
      <c r="A11" s="8">
        <v>1</v>
      </c>
      <c r="B11" s="8">
        <v>0</v>
      </c>
      <c r="C11" s="11">
        <v>0.30399999999999999</v>
      </c>
      <c r="D11" s="9">
        <v>2.2400000000000002</v>
      </c>
      <c r="E11" s="10">
        <v>37224</v>
      </c>
      <c r="F11" s="12">
        <f t="shared" si="0"/>
        <v>1408.1999999999998</v>
      </c>
      <c r="G11" s="12">
        <f t="shared" si="1"/>
        <v>352.57600000000002</v>
      </c>
      <c r="H11" s="12">
        <f t="shared" si="2"/>
        <v>370.88224960000002</v>
      </c>
      <c r="I11" s="9">
        <f t="shared" si="3"/>
        <v>0.95064134339202411</v>
      </c>
      <c r="L11" s="15">
        <f t="shared" si="5"/>
        <v>1408.1999999999998</v>
      </c>
      <c r="M11" s="16">
        <f t="shared" si="6"/>
        <v>453241.2286611115</v>
      </c>
      <c r="N11" s="16">
        <f t="shared" si="7"/>
        <v>345611.71336491464</v>
      </c>
      <c r="O11" s="16">
        <f t="shared" si="8"/>
        <v>250027.19375942071</v>
      </c>
      <c r="P11" s="43">
        <f t="shared" si="9"/>
        <v>0.7234337960514351</v>
      </c>
    </row>
    <row r="12" spans="1:16">
      <c r="A12" s="8">
        <v>1</v>
      </c>
      <c r="B12" s="8">
        <v>2600</v>
      </c>
      <c r="C12" s="11">
        <v>0.30399999999999999</v>
      </c>
      <c r="D12" s="9">
        <v>2.2400000000000002</v>
      </c>
      <c r="E12" s="10">
        <v>37224</v>
      </c>
      <c r="F12" s="12">
        <f t="shared" si="0"/>
        <v>1408.1999999999998</v>
      </c>
      <c r="G12" s="12">
        <f t="shared" si="1"/>
        <v>352.57600000000002</v>
      </c>
      <c r="H12" s="12">
        <f t="shared" si="2"/>
        <v>370.88224960000002</v>
      </c>
      <c r="I12" s="9">
        <f t="shared" si="3"/>
        <v>0.95064134339202411</v>
      </c>
      <c r="K12" s="3">
        <f t="shared" si="4"/>
        <v>2600</v>
      </c>
      <c r="L12" s="15">
        <f t="shared" si="5"/>
        <v>1408.1999999999998</v>
      </c>
      <c r="M12" s="16">
        <f t="shared" si="6"/>
        <v>453241.2286611115</v>
      </c>
      <c r="N12" s="16">
        <f t="shared" si="7"/>
        <v>345611.71336491464</v>
      </c>
      <c r="O12" s="16">
        <f t="shared" si="8"/>
        <v>250027.19375942071</v>
      </c>
      <c r="P12" s="43">
        <f t="shared" si="9"/>
        <v>0.7234337960514351</v>
      </c>
    </row>
    <row r="13" spans="1:16">
      <c r="A13" s="8">
        <v>2</v>
      </c>
      <c r="B13" s="8">
        <v>2600</v>
      </c>
      <c r="C13" s="11">
        <v>0.35599999999999998</v>
      </c>
      <c r="D13" s="9">
        <v>2.64</v>
      </c>
      <c r="E13" s="10">
        <v>37224</v>
      </c>
      <c r="F13" s="12">
        <f t="shared" si="0"/>
        <v>1610.9</v>
      </c>
      <c r="G13" s="12">
        <f t="shared" si="1"/>
        <v>415.53600000000006</v>
      </c>
      <c r="H13" s="12">
        <f t="shared" si="2"/>
        <v>434.32263440000003</v>
      </c>
      <c r="I13" s="9">
        <f t="shared" si="3"/>
        <v>0.95674497962568084</v>
      </c>
      <c r="K13" s="3">
        <f t="shared" si="4"/>
        <v>0</v>
      </c>
      <c r="L13" s="15">
        <f t="shared" si="5"/>
        <v>1610.9</v>
      </c>
      <c r="M13" s="16">
        <f t="shared" si="6"/>
        <v>518481.95941640722</v>
      </c>
      <c r="N13" s="16">
        <f t="shared" si="7"/>
        <v>395359.96950684639</v>
      </c>
      <c r="O13" s="16">
        <f t="shared" si="8"/>
        <v>299752.92527154915</v>
      </c>
      <c r="P13" s="43">
        <f t="shared" si="9"/>
        <v>0.75817722680788091</v>
      </c>
    </row>
    <row r="14" spans="1:16">
      <c r="A14" s="8">
        <v>2</v>
      </c>
      <c r="B14" s="8">
        <v>3350</v>
      </c>
      <c r="C14" s="11">
        <v>0.35599999999999998</v>
      </c>
      <c r="D14" s="9">
        <v>2.64</v>
      </c>
      <c r="E14" s="10">
        <v>37224</v>
      </c>
      <c r="F14" s="12">
        <f t="shared" si="0"/>
        <v>1610.9</v>
      </c>
      <c r="G14" s="12">
        <f t="shared" si="1"/>
        <v>415.53600000000006</v>
      </c>
      <c r="H14" s="12">
        <f t="shared" si="2"/>
        <v>434.32263440000003</v>
      </c>
      <c r="I14" s="9">
        <f t="shared" si="3"/>
        <v>0.95674497962568084</v>
      </c>
      <c r="K14" s="3">
        <f t="shared" si="4"/>
        <v>750</v>
      </c>
      <c r="L14" s="15">
        <f t="shared" si="5"/>
        <v>1610.9</v>
      </c>
      <c r="M14" s="16">
        <f t="shared" si="6"/>
        <v>518481.95941640722</v>
      </c>
      <c r="N14" s="16">
        <f t="shared" si="7"/>
        <v>395359.96950684639</v>
      </c>
      <c r="O14" s="16">
        <f t="shared" si="8"/>
        <v>299752.92527154915</v>
      </c>
      <c r="P14" s="43">
        <f t="shared" si="9"/>
        <v>0.75817722680788091</v>
      </c>
    </row>
    <row r="15" spans="1:16">
      <c r="A15" s="8">
        <v>3</v>
      </c>
      <c r="B15" s="8">
        <v>3350</v>
      </c>
      <c r="C15" s="11">
        <v>0.4</v>
      </c>
      <c r="D15" s="9">
        <v>2.96</v>
      </c>
      <c r="E15" s="10">
        <v>37224</v>
      </c>
      <c r="F15" s="12">
        <f t="shared" si="0"/>
        <v>1813.6000000000001</v>
      </c>
      <c r="G15" s="12">
        <f t="shared" si="1"/>
        <v>465.904</v>
      </c>
      <c r="H15" s="12">
        <f t="shared" si="2"/>
        <v>488.00296000000009</v>
      </c>
      <c r="I15" s="9">
        <f t="shared" si="3"/>
        <v>0.95471552057798981</v>
      </c>
      <c r="K15" s="3">
        <f t="shared" si="4"/>
        <v>0</v>
      </c>
      <c r="L15" s="15">
        <f t="shared" si="5"/>
        <v>1813.6000000000001</v>
      </c>
      <c r="M15" s="16">
        <f t="shared" si="6"/>
        <v>583722.69017170288</v>
      </c>
      <c r="N15" s="16">
        <f t="shared" si="7"/>
        <v>445108.22564877814</v>
      </c>
      <c r="O15" s="16">
        <f t="shared" si="8"/>
        <v>339533.51048125187</v>
      </c>
      <c r="P15" s="43">
        <f t="shared" si="9"/>
        <v>0.76281113427269664</v>
      </c>
    </row>
    <row r="16" spans="1:16">
      <c r="A16" s="8">
        <v>3</v>
      </c>
      <c r="B16" s="8">
        <v>4780</v>
      </c>
      <c r="C16" s="11">
        <v>0.4</v>
      </c>
      <c r="D16" s="9">
        <v>2.96</v>
      </c>
      <c r="E16" s="10">
        <v>37224</v>
      </c>
      <c r="F16" s="12">
        <f t="shared" si="0"/>
        <v>1813.6000000000001</v>
      </c>
      <c r="G16" s="12">
        <f t="shared" si="1"/>
        <v>465.904</v>
      </c>
      <c r="H16" s="12">
        <f t="shared" si="2"/>
        <v>488.00296000000009</v>
      </c>
      <c r="I16" s="9">
        <f t="shared" si="3"/>
        <v>0.95471552057798981</v>
      </c>
      <c r="K16" s="3">
        <f t="shared" si="4"/>
        <v>1430</v>
      </c>
      <c r="L16" s="15">
        <f t="shared" si="5"/>
        <v>1813.6000000000001</v>
      </c>
      <c r="M16" s="16">
        <f t="shared" si="6"/>
        <v>583722.69017170288</v>
      </c>
      <c r="N16" s="16">
        <f t="shared" si="7"/>
        <v>445108.22564877814</v>
      </c>
      <c r="O16" s="16">
        <f t="shared" si="8"/>
        <v>339533.51048125187</v>
      </c>
      <c r="P16" s="43">
        <f t="shared" si="9"/>
        <v>0.76281113427269664</v>
      </c>
    </row>
    <row r="17" spans="1:16">
      <c r="A17" s="8">
        <v>3.5</v>
      </c>
      <c r="B17" s="8">
        <v>4780</v>
      </c>
      <c r="C17" s="11">
        <v>0.42399999999999999</v>
      </c>
      <c r="D17" s="9">
        <v>3.12</v>
      </c>
      <c r="E17" s="10">
        <v>37224</v>
      </c>
      <c r="F17" s="12">
        <f t="shared" si="0"/>
        <v>1914.9499999999998</v>
      </c>
      <c r="G17" s="12">
        <f t="shared" si="1"/>
        <v>491.08800000000002</v>
      </c>
      <c r="H17" s="12">
        <f t="shared" si="2"/>
        <v>517.28313760000003</v>
      </c>
      <c r="I17" s="9">
        <f t="shared" si="3"/>
        <v>0.94936015559769527</v>
      </c>
      <c r="K17" s="3">
        <f t="shared" si="4"/>
        <v>0</v>
      </c>
      <c r="L17" s="15">
        <f t="shared" si="5"/>
        <v>1914.9499999999998</v>
      </c>
      <c r="M17" s="16">
        <f t="shared" si="6"/>
        <v>616343.05554935057</v>
      </c>
      <c r="N17" s="16">
        <f t="shared" si="7"/>
        <v>469982.35371974384</v>
      </c>
      <c r="O17" s="16">
        <f t="shared" si="8"/>
        <v>359423.80308610323</v>
      </c>
      <c r="P17" s="43">
        <f t="shared" si="9"/>
        <v>0.7647602090618747</v>
      </c>
    </row>
    <row r="18" spans="1:16">
      <c r="A18" s="8">
        <v>3.5</v>
      </c>
      <c r="B18" s="8">
        <v>9010</v>
      </c>
      <c r="C18" s="11">
        <v>0.42399999999999999</v>
      </c>
      <c r="D18" s="9">
        <v>3.12</v>
      </c>
      <c r="E18" s="10">
        <v>37224</v>
      </c>
      <c r="F18" s="12">
        <f t="shared" si="0"/>
        <v>1914.9499999999998</v>
      </c>
      <c r="G18" s="12">
        <f t="shared" si="1"/>
        <v>491.08800000000002</v>
      </c>
      <c r="H18" s="12">
        <f t="shared" si="2"/>
        <v>517.28313760000003</v>
      </c>
      <c r="I18" s="9">
        <f t="shared" si="3"/>
        <v>0.94936015559769527</v>
      </c>
      <c r="K18" s="3">
        <f t="shared" si="4"/>
        <v>4230</v>
      </c>
      <c r="L18" s="15">
        <f t="shared" si="5"/>
        <v>1914.9499999999998</v>
      </c>
      <c r="M18" s="16">
        <f t="shared" si="6"/>
        <v>616343.05554935057</v>
      </c>
      <c r="N18" s="16">
        <f t="shared" si="7"/>
        <v>469982.35371974384</v>
      </c>
      <c r="O18" s="16">
        <f t="shared" si="8"/>
        <v>359423.80308610323</v>
      </c>
      <c r="P18" s="43">
        <f t="shared" si="9"/>
        <v>0.7647602090618747</v>
      </c>
    </row>
    <row r="19" spans="1:16">
      <c r="A19" s="8">
        <v>4</v>
      </c>
      <c r="B19" s="8">
        <v>9010</v>
      </c>
      <c r="C19" s="11">
        <v>0.44</v>
      </c>
      <c r="D19" s="8">
        <v>3.28</v>
      </c>
      <c r="E19" s="10">
        <v>37224</v>
      </c>
      <c r="F19" s="12">
        <f t="shared" si="0"/>
        <v>2016.3000000000002</v>
      </c>
      <c r="G19" s="12">
        <f t="shared" si="1"/>
        <v>516.27199999999993</v>
      </c>
      <c r="H19" s="12">
        <f t="shared" si="2"/>
        <v>536.80325600000003</v>
      </c>
      <c r="I19" s="9">
        <f t="shared" si="3"/>
        <v>0.96175273571738529</v>
      </c>
      <c r="K19" s="3">
        <f t="shared" si="4"/>
        <v>0</v>
      </c>
      <c r="L19" s="15">
        <f t="shared" si="5"/>
        <v>2016.3000000000002</v>
      </c>
      <c r="M19" s="16">
        <f t="shared" si="6"/>
        <v>648963.42092699849</v>
      </c>
      <c r="N19" s="16">
        <f t="shared" si="7"/>
        <v>494856.48179070977</v>
      </c>
      <c r="O19" s="16">
        <f t="shared" si="8"/>
        <v>379314.09569095459</v>
      </c>
      <c r="P19" s="43">
        <f t="shared" si="9"/>
        <v>0.76651334204687316</v>
      </c>
    </row>
    <row r="20" spans="1:16">
      <c r="A20" s="8">
        <v>4</v>
      </c>
      <c r="B20" s="8">
        <v>9600</v>
      </c>
      <c r="C20" s="11">
        <v>0.44</v>
      </c>
      <c r="D20" s="8">
        <v>3.28</v>
      </c>
      <c r="E20" s="10">
        <v>37224</v>
      </c>
      <c r="F20" s="12">
        <f t="shared" si="0"/>
        <v>2016.3000000000002</v>
      </c>
      <c r="G20" s="12">
        <f t="shared" si="1"/>
        <v>516.27199999999993</v>
      </c>
      <c r="H20" s="12">
        <f t="shared" si="2"/>
        <v>536.80325600000003</v>
      </c>
      <c r="I20" s="9">
        <f t="shared" si="3"/>
        <v>0.96175273571738529</v>
      </c>
      <c r="K20" s="3">
        <f t="shared" si="4"/>
        <v>590</v>
      </c>
      <c r="L20" s="15">
        <f t="shared" si="5"/>
        <v>2016.3000000000002</v>
      </c>
      <c r="M20" s="16">
        <f t="shared" si="6"/>
        <v>648963.42092699849</v>
      </c>
      <c r="N20" s="16">
        <f t="shared" si="7"/>
        <v>494856.48179070977</v>
      </c>
      <c r="O20" s="16">
        <f t="shared" si="8"/>
        <v>379314.09569095459</v>
      </c>
      <c r="P20" s="43">
        <f t="shared" si="9"/>
        <v>0.76651334204687316</v>
      </c>
    </row>
    <row r="21" spans="1:16">
      <c r="A21" s="8">
        <v>4.2</v>
      </c>
      <c r="B21" s="8">
        <v>9600</v>
      </c>
      <c r="C21" s="8">
        <v>0.44800000000000001</v>
      </c>
      <c r="D21" s="8">
        <v>3.32</v>
      </c>
      <c r="E21" s="10">
        <v>37224</v>
      </c>
      <c r="F21" s="12">
        <f t="shared" si="0"/>
        <v>2056.84</v>
      </c>
      <c r="G21" s="12">
        <f t="shared" si="1"/>
        <v>522.56799999999998</v>
      </c>
      <c r="H21" s="12">
        <f t="shared" si="2"/>
        <v>546.56331520000003</v>
      </c>
      <c r="I21" s="9">
        <f t="shared" si="3"/>
        <v>0.95609783069465681</v>
      </c>
      <c r="K21" s="3">
        <f t="shared" si="4"/>
        <v>0</v>
      </c>
      <c r="L21" s="15">
        <f t="shared" si="5"/>
        <v>2056.84</v>
      </c>
      <c r="M21" s="16">
        <f t="shared" si="6"/>
        <v>662011.56707805768</v>
      </c>
      <c r="N21" s="16">
        <f t="shared" si="7"/>
        <v>504806.13301909616</v>
      </c>
      <c r="O21" s="16">
        <f t="shared" si="8"/>
        <v>384286.66884216748</v>
      </c>
      <c r="P21" s="43">
        <f t="shared" si="9"/>
        <v>0.76125594303671107</v>
      </c>
    </row>
    <row r="22" spans="1:16">
      <c r="A22" s="8">
        <v>4.2</v>
      </c>
      <c r="B22" s="8">
        <v>11924</v>
      </c>
      <c r="C22" s="8">
        <v>0.44800000000000001</v>
      </c>
      <c r="D22" s="8">
        <v>3.32</v>
      </c>
      <c r="E22" s="10">
        <v>37224</v>
      </c>
      <c r="F22" s="12">
        <f t="shared" si="0"/>
        <v>2056.84</v>
      </c>
      <c r="G22" s="12">
        <f t="shared" si="1"/>
        <v>522.56799999999998</v>
      </c>
      <c r="H22" s="12">
        <f t="shared" si="2"/>
        <v>546.56331520000003</v>
      </c>
      <c r="I22" s="9">
        <f t="shared" si="3"/>
        <v>0.95609783069465681</v>
      </c>
      <c r="K22" s="3">
        <f t="shared" si="4"/>
        <v>2324</v>
      </c>
      <c r="L22" s="15">
        <f t="shared" si="5"/>
        <v>2056.84</v>
      </c>
      <c r="M22" s="16">
        <f t="shared" si="6"/>
        <v>662011.56707805768</v>
      </c>
      <c r="N22" s="16">
        <f t="shared" si="7"/>
        <v>504806.13301909616</v>
      </c>
      <c r="O22" s="16">
        <f t="shared" si="8"/>
        <v>384286.66884216748</v>
      </c>
      <c r="P22" s="43">
        <f t="shared" si="9"/>
        <v>0.76125594303671107</v>
      </c>
    </row>
    <row r="23" spans="1:16">
      <c r="A23" s="8"/>
      <c r="B23" s="4"/>
      <c r="E23" s="3" t="s">
        <v>12</v>
      </c>
      <c r="F23" s="15">
        <f>MAX(F7:F22)</f>
        <v>2056.84</v>
      </c>
      <c r="K23" s="3">
        <f>SUM(K8:K22)</f>
        <v>13364</v>
      </c>
      <c r="O23" s="3" t="s">
        <v>12</v>
      </c>
      <c r="P23" s="43">
        <f>MAX(P8:P22)</f>
        <v>0.76651334204687316</v>
      </c>
    </row>
    <row r="24" spans="1:16">
      <c r="O24" s="3" t="s">
        <v>53</v>
      </c>
      <c r="P24" s="43">
        <f>MIN(P8:P23)</f>
        <v>0.710620400785967</v>
      </c>
    </row>
    <row r="27" spans="1:16" ht="39.6">
      <c r="A27" s="5" t="s">
        <v>5</v>
      </c>
      <c r="B27" s="5" t="s">
        <v>13</v>
      </c>
      <c r="C27" s="5" t="s">
        <v>24</v>
      </c>
      <c r="D27" s="5" t="s">
        <v>14</v>
      </c>
      <c r="E27" s="5"/>
      <c r="J27" s="3"/>
      <c r="K27" s="13"/>
    </row>
    <row r="29" spans="1:16">
      <c r="A29" s="3">
        <v>1300</v>
      </c>
      <c r="B29" s="15">
        <v>1205.5</v>
      </c>
      <c r="C29" s="16">
        <v>388000.49790581595</v>
      </c>
      <c r="D29" s="16">
        <v>295863.45722298301</v>
      </c>
    </row>
    <row r="30" spans="1:16">
      <c r="A30" s="3">
        <v>2740</v>
      </c>
      <c r="B30" s="15">
        <v>1408.2</v>
      </c>
      <c r="C30" s="16">
        <v>453241.2286611115</v>
      </c>
      <c r="D30" s="16">
        <v>345611.71336491464</v>
      </c>
    </row>
    <row r="31" spans="1:16">
      <c r="A31" s="3">
        <v>750</v>
      </c>
      <c r="B31" s="15">
        <v>1610.9</v>
      </c>
      <c r="C31" s="16">
        <v>518481.95941640722</v>
      </c>
      <c r="D31" s="16">
        <v>395359.96950684639</v>
      </c>
    </row>
    <row r="32" spans="1:16">
      <c r="A32" s="3">
        <v>1430</v>
      </c>
      <c r="B32" s="3">
        <v>1813.6</v>
      </c>
      <c r="C32" s="3">
        <v>583722.69017170288</v>
      </c>
      <c r="D32" s="3">
        <v>445108.22564877814</v>
      </c>
    </row>
    <row r="33" spans="1:10">
      <c r="A33" s="3">
        <v>4230</v>
      </c>
      <c r="B33" s="3">
        <v>1914.95</v>
      </c>
      <c r="C33" s="3">
        <v>616343.05554935057</v>
      </c>
      <c r="D33" s="3">
        <v>469982.35371974384</v>
      </c>
    </row>
    <row r="34" spans="1:10">
      <c r="A34" s="3">
        <v>590</v>
      </c>
      <c r="B34" s="3">
        <v>2016.3</v>
      </c>
      <c r="C34" s="3">
        <v>648963.42092699849</v>
      </c>
      <c r="D34" s="3">
        <v>494856.48179070977</v>
      </c>
    </row>
    <row r="35" spans="1:10">
      <c r="A35" s="3">
        <v>2324</v>
      </c>
      <c r="B35" s="3">
        <v>2056.84</v>
      </c>
      <c r="C35" s="3">
        <v>662011.56707805768</v>
      </c>
      <c r="D35" s="3">
        <v>504806.13301909616</v>
      </c>
    </row>
    <row r="36" spans="1:10">
      <c r="A36" s="3">
        <f>SUM(A29:A35)</f>
        <v>13364</v>
      </c>
      <c r="I36" s="13"/>
      <c r="J36" s="3"/>
    </row>
  </sheetData>
  <phoneticPr fontId="0" type="noConversion"/>
  <pageMargins left="0.75" right="0.75" top="1" bottom="1" header="0.5" footer="0.5"/>
  <pageSetup scale="78" orientation="landscape" horizontalDpi="355" verticalDpi="355" r:id="rId1"/>
  <headerFooter alignWithMargins="0"/>
  <drawing r:id="rId2"/>
  <legacyDrawing r:id="rId3"/>
  <oleObjects>
    <mc:AlternateContent xmlns:mc="http://schemas.openxmlformats.org/markup-compatibility/2006">
      <mc:Choice Requires="x14">
        <oleObject progId="Mathcad" shapeId="3073"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3073" r:id="rId4"/>
      </mc:Fallback>
    </mc:AlternateContent>
    <mc:AlternateContent xmlns:mc="http://schemas.openxmlformats.org/markup-compatibility/2006">
      <mc:Choice Requires="x14">
        <oleObject progId="Mathcad" shapeId="3074"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3074" r:id="rId6"/>
      </mc:Fallback>
    </mc:AlternateContent>
    <mc:AlternateContent xmlns:mc="http://schemas.openxmlformats.org/markup-compatibility/2006">
      <mc:Choice Requires="x14">
        <oleObject progId="Mathcad" shapeId="3075" r:id="rId8">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3075" r:id="rId8"/>
      </mc:Fallback>
    </mc:AlternateContent>
    <mc:AlternateContent xmlns:mc="http://schemas.openxmlformats.org/markup-compatibility/2006">
      <mc:Choice Requires="x14">
        <oleObject progId="Mathcad" shapeId="3076" r:id="rId9">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3076" r:id="rId9"/>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96"/>
  <sheetViews>
    <sheetView topLeftCell="E52" workbookViewId="0">
      <selection activeCell="O76" sqref="O76"/>
    </sheetView>
  </sheetViews>
  <sheetFormatPr defaultColWidth="9" defaultRowHeight="13.2"/>
  <cols>
    <col min="1" max="9" width="9" style="3"/>
    <col min="10" max="10" width="9.33203125" style="13" customWidth="1"/>
    <col min="11" max="16384" width="9" style="3"/>
  </cols>
  <sheetData>
    <row r="1" spans="1:16" s="1" customFormat="1">
      <c r="A1" s="1" t="s">
        <v>28</v>
      </c>
      <c r="C1" s="19" t="s">
        <v>10</v>
      </c>
      <c r="D1" s="1">
        <v>377.5</v>
      </c>
      <c r="E1" s="1" t="s">
        <v>11</v>
      </c>
      <c r="F1" s="7" t="s">
        <v>20</v>
      </c>
      <c r="G1" s="17">
        <f>D4/(2*D3)</f>
        <v>1485.8075040783035</v>
      </c>
      <c r="H1" s="1" t="s">
        <v>26</v>
      </c>
      <c r="J1" s="13"/>
    </row>
    <row r="2" spans="1:16">
      <c r="C2" s="18" t="s">
        <v>15</v>
      </c>
      <c r="D2" s="3">
        <v>385</v>
      </c>
      <c r="E2" s="3" t="s">
        <v>11</v>
      </c>
      <c r="F2" s="18" t="s">
        <v>21</v>
      </c>
      <c r="G2" s="3">
        <f>SQRT(1/(D3*D5))</f>
        <v>8244.4965742557415</v>
      </c>
      <c r="H2" s="3" t="s">
        <v>26</v>
      </c>
    </row>
    <row r="3" spans="1:16">
      <c r="C3" s="18" t="s">
        <v>16</v>
      </c>
      <c r="D3" s="16">
        <v>3.0649999999999999E-6</v>
      </c>
      <c r="E3" s="3" t="s">
        <v>17</v>
      </c>
      <c r="F3" s="18" t="s">
        <v>25</v>
      </c>
      <c r="G3" s="16">
        <v>1.7110000000000001E-4</v>
      </c>
      <c r="H3" s="3" t="s">
        <v>27</v>
      </c>
    </row>
    <row r="4" spans="1:16">
      <c r="C4" s="18" t="s">
        <v>18</v>
      </c>
      <c r="D4" s="16">
        <v>9.1079999999999998E-3</v>
      </c>
      <c r="E4" s="3" t="s">
        <v>19</v>
      </c>
    </row>
    <row r="5" spans="1:16">
      <c r="C5" s="18" t="s">
        <v>22</v>
      </c>
      <c r="D5" s="16">
        <v>4.7999999999999996E-3</v>
      </c>
      <c r="E5" s="3" t="s">
        <v>23</v>
      </c>
    </row>
    <row r="6" spans="1:16" s="6" customFormat="1" ht="92.4">
      <c r="A6" s="2" t="s">
        <v>0</v>
      </c>
      <c r="B6" s="2" t="s">
        <v>5</v>
      </c>
      <c r="C6" s="2" t="s">
        <v>1</v>
      </c>
      <c r="D6" s="2" t="s">
        <v>2</v>
      </c>
      <c r="E6" s="2" t="s">
        <v>3</v>
      </c>
      <c r="F6" s="2" t="s">
        <v>9</v>
      </c>
      <c r="G6" s="2" t="s">
        <v>7</v>
      </c>
      <c r="H6" s="2" t="s">
        <v>8</v>
      </c>
      <c r="I6" s="2" t="s">
        <v>4</v>
      </c>
      <c r="J6" s="14"/>
      <c r="K6" s="5" t="s">
        <v>5</v>
      </c>
      <c r="L6" s="5" t="s">
        <v>13</v>
      </c>
      <c r="M6" s="5" t="s">
        <v>24</v>
      </c>
      <c r="N6" s="5" t="s">
        <v>14</v>
      </c>
      <c r="O6" s="6" t="s">
        <v>52</v>
      </c>
      <c r="P6" s="6" t="s">
        <v>54</v>
      </c>
    </row>
    <row r="7" spans="1:16">
      <c r="A7" s="2">
        <v>0</v>
      </c>
      <c r="B7" s="8"/>
      <c r="C7" s="5">
        <v>0.29199999999999998</v>
      </c>
      <c r="D7" s="9">
        <v>2.2400000000000002</v>
      </c>
      <c r="E7" s="10">
        <v>37326</v>
      </c>
      <c r="F7" s="12">
        <f>(0.2027*A7+1.2055)*1000</f>
        <v>1205.5</v>
      </c>
      <c r="G7" s="12">
        <f>D7*157.4</f>
        <v>352.57600000000002</v>
      </c>
      <c r="H7" s="12">
        <f>C7*7.751*157.4</f>
        <v>356.24216079999997</v>
      </c>
      <c r="I7" s="9">
        <f>G7/H7</f>
        <v>0.98970879586018967</v>
      </c>
    </row>
    <row r="8" spans="1:16">
      <c r="A8" s="2">
        <v>0</v>
      </c>
      <c r="B8" s="8">
        <v>1100</v>
      </c>
      <c r="C8" s="5">
        <v>0.29199999999999998</v>
      </c>
      <c r="D8" s="9">
        <v>2.2400000000000002</v>
      </c>
      <c r="E8" s="10">
        <v>37326</v>
      </c>
      <c r="F8" s="12">
        <f>(0.2027*A8+1.2055)*1000</f>
        <v>1205.5</v>
      </c>
      <c r="G8" s="12">
        <f>D8*157.4</f>
        <v>352.57600000000002</v>
      </c>
      <c r="H8" s="12">
        <f>C8*7.751*157.4</f>
        <v>356.24216079999997</v>
      </c>
      <c r="I8" s="9">
        <f>G8/H8</f>
        <v>0.98970879586018967</v>
      </c>
      <c r="K8" s="3">
        <f>B8-B7</f>
        <v>1100</v>
      </c>
      <c r="L8" s="15">
        <f>F8</f>
        <v>1205.5</v>
      </c>
      <c r="M8" s="16">
        <f>8*F8/($D$3*SQRT($G$2^2-$G$1^2))</f>
        <v>388000.49790581595</v>
      </c>
      <c r="N8" s="16">
        <f>M8*(EXP(-$G$1*$G$3))*SIN(SQRT($G$2^2-$G$1^2)*$G$3)</f>
        <v>295863.45722298301</v>
      </c>
      <c r="O8" s="16">
        <f>1000*(D8*1000-228.75)*8/64.353</f>
        <v>250027.19375942071</v>
      </c>
      <c r="P8" s="43">
        <f>IF(O8/N8&gt;0.5,O8/N8,"")</f>
        <v>0.84507629332196665</v>
      </c>
    </row>
    <row r="9" spans="1:16">
      <c r="A9" s="8">
        <v>1</v>
      </c>
      <c r="B9" s="8">
        <v>1100</v>
      </c>
      <c r="C9" s="11">
        <v>0.34399999999999997</v>
      </c>
      <c r="D9" s="9">
        <v>2.64</v>
      </c>
      <c r="E9" s="10">
        <v>37326</v>
      </c>
      <c r="F9" s="12">
        <f>(0.2027*A9+1.2055)*1000</f>
        <v>1408.1999999999998</v>
      </c>
      <c r="G9" s="12">
        <f>D9*157.4</f>
        <v>415.53600000000006</v>
      </c>
      <c r="H9" s="12">
        <f>C9*7.751*157.4</f>
        <v>419.68254560000003</v>
      </c>
      <c r="I9" s="9">
        <f>G9/H9</f>
        <v>0.99011980449634418</v>
      </c>
      <c r="K9" s="3">
        <f>B9-B8</f>
        <v>0</v>
      </c>
      <c r="L9" s="15">
        <f>F9</f>
        <v>1408.1999999999998</v>
      </c>
      <c r="M9" s="16">
        <f>8*F9/($D$3*SQRT($G$2^2-$G$1^2))</f>
        <v>453241.2286611115</v>
      </c>
      <c r="N9" s="16">
        <f>M9*(EXP(-$G$1*$G$3))*SIN(SQRT($G$2^2-$G$1^2)*$G$3)</f>
        <v>345611.71336491464</v>
      </c>
      <c r="O9" s="16">
        <f t="shared" ref="O9:O72" si="0">1000*(D9*1000-228.75)*8/64.353</f>
        <v>299752.92527154915</v>
      </c>
      <c r="P9" s="43">
        <f t="shared" ref="P9:P72" si="1">IF(O9/N9&gt;0.5,O9/N9,"")</f>
        <v>0.86731124461356024</v>
      </c>
    </row>
    <row r="10" spans="1:16">
      <c r="A10" s="8">
        <v>1</v>
      </c>
      <c r="B10" s="8">
        <v>1850</v>
      </c>
      <c r="C10" s="11">
        <v>0.34399999999999997</v>
      </c>
      <c r="D10" s="9">
        <v>2.64</v>
      </c>
      <c r="E10" s="10">
        <v>37326</v>
      </c>
      <c r="F10" s="12">
        <f t="shared" ref="F10:F73" si="2">(0.2027*A10+1.2055)*1000</f>
        <v>1408.1999999999998</v>
      </c>
      <c r="G10" s="12">
        <f t="shared" ref="G10:G73" si="3">D10*157.4</f>
        <v>415.53600000000006</v>
      </c>
      <c r="H10" s="12">
        <f t="shared" ref="H10:H73" si="4">C10*7.751*157.4</f>
        <v>419.68254560000003</v>
      </c>
      <c r="I10" s="9">
        <f t="shared" ref="I10:I73" si="5">G10/H10</f>
        <v>0.99011980449634418</v>
      </c>
      <c r="K10" s="3">
        <f t="shared" ref="K10:K73" si="6">B10-B9</f>
        <v>750</v>
      </c>
      <c r="L10" s="15">
        <f t="shared" ref="L10:L73" si="7">F10</f>
        <v>1408.1999999999998</v>
      </c>
      <c r="M10" s="16">
        <f t="shared" ref="M10:M73" si="8">8*F10/($D$3*SQRT($G$2^2-$G$1^2))</f>
        <v>453241.2286611115</v>
      </c>
      <c r="N10" s="16">
        <f t="shared" ref="N10:N73" si="9">M10*(EXP(-$G$1*$G$3))*SIN(SQRT($G$2^2-$G$1^2)*$G$3)</f>
        <v>345611.71336491464</v>
      </c>
      <c r="O10" s="16">
        <f t="shared" si="0"/>
        <v>299752.92527154915</v>
      </c>
      <c r="P10" s="43">
        <f t="shared" si="1"/>
        <v>0.86731124461356024</v>
      </c>
    </row>
    <row r="11" spans="1:16">
      <c r="A11" s="8">
        <v>2</v>
      </c>
      <c r="B11" s="8">
        <v>1850</v>
      </c>
      <c r="C11" s="11">
        <v>0.4</v>
      </c>
      <c r="D11" s="9">
        <v>3.04</v>
      </c>
      <c r="E11" s="10">
        <v>37326</v>
      </c>
      <c r="F11" s="12">
        <f t="shared" si="2"/>
        <v>1610.9</v>
      </c>
      <c r="G11" s="12">
        <f t="shared" si="3"/>
        <v>478.49600000000004</v>
      </c>
      <c r="H11" s="12">
        <f t="shared" si="4"/>
        <v>488.00296000000009</v>
      </c>
      <c r="I11" s="9">
        <f t="shared" si="5"/>
        <v>0.98051864275577338</v>
      </c>
      <c r="K11" s="3">
        <f t="shared" si="6"/>
        <v>0</v>
      </c>
      <c r="L11" s="15">
        <f t="shared" si="7"/>
        <v>1610.9</v>
      </c>
      <c r="M11" s="16">
        <f t="shared" si="8"/>
        <v>518481.95941640722</v>
      </c>
      <c r="N11" s="16">
        <f t="shared" si="9"/>
        <v>395359.96950684639</v>
      </c>
      <c r="O11" s="16">
        <f t="shared" si="0"/>
        <v>349478.65678367758</v>
      </c>
      <c r="P11" s="43">
        <f t="shared" si="1"/>
        <v>0.88395053555776271</v>
      </c>
    </row>
    <row r="12" spans="1:16">
      <c r="A12" s="8">
        <v>2</v>
      </c>
      <c r="B12" s="8">
        <v>2100</v>
      </c>
      <c r="C12" s="11">
        <v>0.4</v>
      </c>
      <c r="D12" s="9">
        <v>3.04</v>
      </c>
      <c r="E12" s="10">
        <v>37326</v>
      </c>
      <c r="F12" s="12">
        <f t="shared" si="2"/>
        <v>1610.9</v>
      </c>
      <c r="G12" s="12">
        <f t="shared" si="3"/>
        <v>478.49600000000004</v>
      </c>
      <c r="H12" s="12">
        <f t="shared" si="4"/>
        <v>488.00296000000009</v>
      </c>
      <c r="I12" s="9">
        <f t="shared" si="5"/>
        <v>0.98051864275577338</v>
      </c>
      <c r="K12" s="3">
        <f t="shared" si="6"/>
        <v>250</v>
      </c>
      <c r="L12" s="15">
        <f t="shared" si="7"/>
        <v>1610.9</v>
      </c>
      <c r="M12" s="16">
        <f t="shared" si="8"/>
        <v>518481.95941640722</v>
      </c>
      <c r="N12" s="16">
        <f t="shared" si="9"/>
        <v>395359.96950684639</v>
      </c>
      <c r="O12" s="16">
        <f t="shared" si="0"/>
        <v>349478.65678367758</v>
      </c>
      <c r="P12" s="43">
        <f t="shared" si="1"/>
        <v>0.88395053555776271</v>
      </c>
    </row>
    <row r="13" spans="1:16">
      <c r="A13" s="8">
        <v>4</v>
      </c>
      <c r="B13" s="8">
        <v>2100</v>
      </c>
      <c r="C13" s="11">
        <v>0.504</v>
      </c>
      <c r="D13" s="9">
        <v>3.8</v>
      </c>
      <c r="E13" s="10">
        <v>37326</v>
      </c>
      <c r="F13" s="12">
        <f t="shared" si="2"/>
        <v>2016.3000000000002</v>
      </c>
      <c r="G13" s="12">
        <f t="shared" si="3"/>
        <v>598.12</v>
      </c>
      <c r="H13" s="12">
        <f t="shared" si="4"/>
        <v>614.88372960000004</v>
      </c>
      <c r="I13" s="9">
        <f t="shared" si="5"/>
        <v>0.9727367487656482</v>
      </c>
      <c r="K13" s="3">
        <f t="shared" si="6"/>
        <v>0</v>
      </c>
      <c r="L13" s="15">
        <f t="shared" si="7"/>
        <v>2016.3000000000002</v>
      </c>
      <c r="M13" s="16">
        <f t="shared" si="8"/>
        <v>648963.42092699849</v>
      </c>
      <c r="N13" s="16">
        <f t="shared" si="9"/>
        <v>494856.48179070977</v>
      </c>
      <c r="O13" s="16">
        <f t="shared" si="0"/>
        <v>443957.54665672156</v>
      </c>
      <c r="P13" s="43">
        <f t="shared" si="1"/>
        <v>0.89714404679554149</v>
      </c>
    </row>
    <row r="14" spans="1:16">
      <c r="A14" s="8">
        <v>4</v>
      </c>
      <c r="B14" s="8">
        <v>2100</v>
      </c>
      <c r="C14" s="11">
        <v>0.504</v>
      </c>
      <c r="D14" s="9">
        <v>3.8</v>
      </c>
      <c r="E14" s="10">
        <v>37326</v>
      </c>
      <c r="F14" s="12">
        <f t="shared" si="2"/>
        <v>2016.3000000000002</v>
      </c>
      <c r="G14" s="12">
        <f t="shared" si="3"/>
        <v>598.12</v>
      </c>
      <c r="H14" s="12">
        <f t="shared" si="4"/>
        <v>614.88372960000004</v>
      </c>
      <c r="I14" s="9">
        <f t="shared" si="5"/>
        <v>0.9727367487656482</v>
      </c>
      <c r="K14" s="3">
        <f t="shared" si="6"/>
        <v>0</v>
      </c>
      <c r="L14" s="15">
        <f t="shared" si="7"/>
        <v>2016.3000000000002</v>
      </c>
      <c r="M14" s="16">
        <f t="shared" si="8"/>
        <v>648963.42092699849</v>
      </c>
      <c r="N14" s="16">
        <f t="shared" si="9"/>
        <v>494856.48179070977</v>
      </c>
      <c r="O14" s="16">
        <f t="shared" si="0"/>
        <v>443957.54665672156</v>
      </c>
      <c r="P14" s="43">
        <f t="shared" si="1"/>
        <v>0.89714404679554149</v>
      </c>
    </row>
    <row r="15" spans="1:16">
      <c r="A15" s="8">
        <v>4</v>
      </c>
      <c r="B15" s="8">
        <v>2570</v>
      </c>
      <c r="C15" s="11">
        <v>0.504</v>
      </c>
      <c r="D15" s="9">
        <v>3.8</v>
      </c>
      <c r="E15" s="10">
        <v>37326</v>
      </c>
      <c r="F15" s="12">
        <f t="shared" si="2"/>
        <v>2016.3000000000002</v>
      </c>
      <c r="G15" s="12">
        <f t="shared" si="3"/>
        <v>598.12</v>
      </c>
      <c r="H15" s="12">
        <f t="shared" si="4"/>
        <v>614.88372960000004</v>
      </c>
      <c r="I15" s="9">
        <f t="shared" si="5"/>
        <v>0.9727367487656482</v>
      </c>
      <c r="K15" s="3">
        <f t="shared" si="6"/>
        <v>470</v>
      </c>
      <c r="L15" s="15">
        <f t="shared" si="7"/>
        <v>2016.3000000000002</v>
      </c>
      <c r="M15" s="16">
        <f t="shared" si="8"/>
        <v>648963.42092699849</v>
      </c>
      <c r="N15" s="16">
        <f t="shared" si="9"/>
        <v>494856.48179070977</v>
      </c>
      <c r="O15" s="16">
        <f t="shared" si="0"/>
        <v>443957.54665672156</v>
      </c>
      <c r="P15" s="43">
        <f t="shared" si="1"/>
        <v>0.89714404679554149</v>
      </c>
    </row>
    <row r="16" spans="1:16">
      <c r="A16" s="8">
        <v>4.5</v>
      </c>
      <c r="B16" s="8">
        <v>2570</v>
      </c>
      <c r="C16" s="11">
        <v>0.52</v>
      </c>
      <c r="D16" s="9">
        <v>4.04</v>
      </c>
      <c r="E16" s="10">
        <v>37326</v>
      </c>
      <c r="F16" s="12">
        <f t="shared" si="2"/>
        <v>2117.65</v>
      </c>
      <c r="G16" s="12">
        <f t="shared" si="3"/>
        <v>635.89600000000007</v>
      </c>
      <c r="H16" s="12">
        <f t="shared" si="4"/>
        <v>634.40384800000004</v>
      </c>
      <c r="I16" s="9">
        <f t="shared" si="5"/>
        <v>1.0023520538292827</v>
      </c>
      <c r="K16" s="3">
        <f t="shared" si="6"/>
        <v>0</v>
      </c>
      <c r="L16" s="15">
        <f t="shared" si="7"/>
        <v>2117.65</v>
      </c>
      <c r="M16" s="16">
        <f t="shared" si="8"/>
        <v>681583.78630464629</v>
      </c>
      <c r="N16" s="16">
        <f t="shared" si="9"/>
        <v>519730.60986167559</v>
      </c>
      <c r="O16" s="16">
        <f t="shared" si="0"/>
        <v>473792.98556399863</v>
      </c>
      <c r="P16" s="43">
        <f t="shared" si="1"/>
        <v>0.91161262502914142</v>
      </c>
    </row>
    <row r="17" spans="1:16">
      <c r="A17" s="8">
        <v>4.5</v>
      </c>
      <c r="B17" s="8">
        <v>3195</v>
      </c>
      <c r="C17" s="11">
        <v>0.58399999999999996</v>
      </c>
      <c r="D17" s="9">
        <v>4.04</v>
      </c>
      <c r="E17" s="10">
        <v>37326</v>
      </c>
      <c r="F17" s="12">
        <f t="shared" si="2"/>
        <v>2117.65</v>
      </c>
      <c r="G17" s="12">
        <f t="shared" si="3"/>
        <v>635.89600000000007</v>
      </c>
      <c r="H17" s="12">
        <f t="shared" si="4"/>
        <v>712.48432159999993</v>
      </c>
      <c r="I17" s="9">
        <f t="shared" si="5"/>
        <v>0.89250525340963538</v>
      </c>
      <c r="K17" s="3">
        <f t="shared" si="6"/>
        <v>625</v>
      </c>
      <c r="L17" s="15">
        <f t="shared" si="7"/>
        <v>2117.65</v>
      </c>
      <c r="M17" s="16">
        <f t="shared" si="8"/>
        <v>681583.78630464629</v>
      </c>
      <c r="N17" s="16">
        <f t="shared" si="9"/>
        <v>519730.60986167559</v>
      </c>
      <c r="O17" s="16">
        <f t="shared" si="0"/>
        <v>473792.98556399863</v>
      </c>
      <c r="P17" s="43">
        <f t="shared" si="1"/>
        <v>0.91161262502914142</v>
      </c>
    </row>
    <row r="18" spans="1:16">
      <c r="A18" s="8">
        <v>5.8</v>
      </c>
      <c r="B18" s="8">
        <v>3195</v>
      </c>
      <c r="C18" s="11">
        <v>0.58399999999999996</v>
      </c>
      <c r="D18" s="9">
        <v>4.5199999999999996</v>
      </c>
      <c r="E18" s="10">
        <v>37326</v>
      </c>
      <c r="F18" s="12">
        <f t="shared" si="2"/>
        <v>2381.16</v>
      </c>
      <c r="G18" s="12">
        <f t="shared" si="3"/>
        <v>711.44799999999998</v>
      </c>
      <c r="H18" s="12">
        <f t="shared" si="4"/>
        <v>712.48432159999993</v>
      </c>
      <c r="I18" s="9">
        <f t="shared" si="5"/>
        <v>0.99854548153751266</v>
      </c>
      <c r="K18" s="3">
        <f t="shared" si="6"/>
        <v>0</v>
      </c>
      <c r="L18" s="15">
        <f t="shared" si="7"/>
        <v>2381.16</v>
      </c>
      <c r="M18" s="16">
        <f t="shared" si="8"/>
        <v>766396.7362865305</v>
      </c>
      <c r="N18" s="16">
        <f t="shared" si="9"/>
        <v>584403.34284618672</v>
      </c>
      <c r="O18" s="16">
        <f t="shared" si="0"/>
        <v>533463.86337855272</v>
      </c>
      <c r="P18" s="43">
        <f t="shared" si="1"/>
        <v>0.91283506487223998</v>
      </c>
    </row>
    <row r="19" spans="1:16">
      <c r="A19" s="8">
        <v>5.8</v>
      </c>
      <c r="B19" s="8">
        <v>3240</v>
      </c>
      <c r="C19" s="11">
        <v>0.58399999999999996</v>
      </c>
      <c r="D19" s="9">
        <v>4.5199999999999996</v>
      </c>
      <c r="E19" s="10">
        <v>37326</v>
      </c>
      <c r="F19" s="12">
        <f t="shared" si="2"/>
        <v>2381.16</v>
      </c>
      <c r="G19" s="12">
        <f t="shared" si="3"/>
        <v>711.44799999999998</v>
      </c>
      <c r="H19" s="12">
        <f t="shared" si="4"/>
        <v>712.48432159999993</v>
      </c>
      <c r="I19" s="9">
        <f t="shared" si="5"/>
        <v>0.99854548153751266</v>
      </c>
      <c r="K19" s="3">
        <f t="shared" si="6"/>
        <v>45</v>
      </c>
      <c r="L19" s="15">
        <f t="shared" si="7"/>
        <v>2381.16</v>
      </c>
      <c r="M19" s="16">
        <f t="shared" si="8"/>
        <v>766396.7362865305</v>
      </c>
      <c r="N19" s="16">
        <f t="shared" si="9"/>
        <v>584403.34284618672</v>
      </c>
      <c r="O19" s="16">
        <f t="shared" si="0"/>
        <v>533463.86337855272</v>
      </c>
      <c r="P19" s="43">
        <f t="shared" si="1"/>
        <v>0.91283506487223998</v>
      </c>
    </row>
    <row r="20" spans="1:16">
      <c r="A20" s="8">
        <v>0</v>
      </c>
      <c r="B20" s="8">
        <v>3240</v>
      </c>
      <c r="C20" s="11">
        <v>0.29599999999999999</v>
      </c>
      <c r="D20" s="9">
        <v>2.2000000000000002</v>
      </c>
      <c r="E20" s="10">
        <v>37327</v>
      </c>
      <c r="F20" s="12">
        <f t="shared" si="2"/>
        <v>1205.5</v>
      </c>
      <c r="G20" s="12">
        <f t="shared" si="3"/>
        <v>346.28000000000003</v>
      </c>
      <c r="H20" s="12">
        <f t="shared" si="4"/>
        <v>361.12219040000002</v>
      </c>
      <c r="I20" s="9">
        <f t="shared" si="5"/>
        <v>0.95889981066087382</v>
      </c>
      <c r="K20" s="3">
        <f t="shared" si="6"/>
        <v>0</v>
      </c>
      <c r="L20" s="15">
        <f t="shared" si="7"/>
        <v>1205.5</v>
      </c>
      <c r="M20" s="16">
        <f t="shared" si="8"/>
        <v>388000.49790581595</v>
      </c>
      <c r="N20" s="16">
        <f t="shared" si="9"/>
        <v>295863.45722298301</v>
      </c>
      <c r="O20" s="16">
        <f t="shared" si="0"/>
        <v>245054.62060820789</v>
      </c>
      <c r="P20" s="43">
        <f t="shared" si="1"/>
        <v>0.82826930675496668</v>
      </c>
    </row>
    <row r="21" spans="1:16">
      <c r="A21" s="8">
        <v>0</v>
      </c>
      <c r="B21" s="8">
        <v>3885</v>
      </c>
      <c r="C21" s="11">
        <v>0.29599999999999999</v>
      </c>
      <c r="D21" s="9">
        <v>2.2000000000000002</v>
      </c>
      <c r="E21" s="10">
        <v>37327</v>
      </c>
      <c r="F21" s="12">
        <f t="shared" si="2"/>
        <v>1205.5</v>
      </c>
      <c r="G21" s="12">
        <f t="shared" si="3"/>
        <v>346.28000000000003</v>
      </c>
      <c r="H21" s="12">
        <f t="shared" si="4"/>
        <v>361.12219040000002</v>
      </c>
      <c r="I21" s="9">
        <f t="shared" si="5"/>
        <v>0.95889981066087382</v>
      </c>
      <c r="K21" s="3">
        <f t="shared" si="6"/>
        <v>645</v>
      </c>
      <c r="L21" s="15">
        <f t="shared" si="7"/>
        <v>1205.5</v>
      </c>
      <c r="M21" s="16">
        <f t="shared" si="8"/>
        <v>388000.49790581595</v>
      </c>
      <c r="N21" s="16">
        <f t="shared" si="9"/>
        <v>295863.45722298301</v>
      </c>
      <c r="O21" s="16">
        <f t="shared" si="0"/>
        <v>245054.62060820789</v>
      </c>
      <c r="P21" s="43">
        <f t="shared" si="1"/>
        <v>0.82826930675496668</v>
      </c>
    </row>
    <row r="22" spans="1:16">
      <c r="A22" s="8">
        <v>1</v>
      </c>
      <c r="B22" s="8">
        <v>3885</v>
      </c>
      <c r="C22" s="11">
        <v>0.33600000000000002</v>
      </c>
      <c r="D22" s="9">
        <v>2.68</v>
      </c>
      <c r="E22" s="10">
        <v>37327</v>
      </c>
      <c r="F22" s="12">
        <f t="shared" si="2"/>
        <v>1408.1999999999998</v>
      </c>
      <c r="G22" s="12">
        <f t="shared" si="3"/>
        <v>421.83200000000005</v>
      </c>
      <c r="H22" s="12">
        <f t="shared" si="4"/>
        <v>409.92248640000008</v>
      </c>
      <c r="I22" s="9">
        <f t="shared" si="5"/>
        <v>1.0290530868520804</v>
      </c>
      <c r="K22" s="3">
        <f t="shared" si="6"/>
        <v>0</v>
      </c>
      <c r="L22" s="15">
        <f t="shared" si="7"/>
        <v>1408.1999999999998</v>
      </c>
      <c r="M22" s="16">
        <f t="shared" si="8"/>
        <v>453241.2286611115</v>
      </c>
      <c r="N22" s="16">
        <f t="shared" si="9"/>
        <v>345611.71336491464</v>
      </c>
      <c r="O22" s="16">
        <f t="shared" si="0"/>
        <v>304725.49842276197</v>
      </c>
      <c r="P22" s="43">
        <f t="shared" si="1"/>
        <v>0.88169898946977265</v>
      </c>
    </row>
    <row r="23" spans="1:16">
      <c r="A23" s="8">
        <v>1</v>
      </c>
      <c r="B23" s="8">
        <v>4250</v>
      </c>
      <c r="C23" s="11">
        <v>0.33600000000000002</v>
      </c>
      <c r="D23" s="9">
        <v>2.68</v>
      </c>
      <c r="E23" s="10">
        <v>37327</v>
      </c>
      <c r="F23" s="12">
        <f t="shared" si="2"/>
        <v>1408.1999999999998</v>
      </c>
      <c r="G23" s="12">
        <f t="shared" si="3"/>
        <v>421.83200000000005</v>
      </c>
      <c r="H23" s="12">
        <f t="shared" si="4"/>
        <v>409.92248640000008</v>
      </c>
      <c r="I23" s="9">
        <f t="shared" si="5"/>
        <v>1.0290530868520804</v>
      </c>
      <c r="K23" s="3">
        <f t="shared" si="6"/>
        <v>365</v>
      </c>
      <c r="L23" s="15">
        <f t="shared" si="7"/>
        <v>1408.1999999999998</v>
      </c>
      <c r="M23" s="16">
        <f t="shared" si="8"/>
        <v>453241.2286611115</v>
      </c>
      <c r="N23" s="16">
        <f t="shared" si="9"/>
        <v>345611.71336491464</v>
      </c>
      <c r="O23" s="16">
        <f t="shared" si="0"/>
        <v>304725.49842276197</v>
      </c>
      <c r="P23" s="43">
        <f t="shared" si="1"/>
        <v>0.88169898946977265</v>
      </c>
    </row>
    <row r="24" spans="1:16">
      <c r="A24" s="8">
        <v>2</v>
      </c>
      <c r="B24" s="8">
        <v>4250</v>
      </c>
      <c r="C24" s="11">
        <v>0.40799999999999997</v>
      </c>
      <c r="D24" s="8">
        <v>3.08</v>
      </c>
      <c r="E24" s="10">
        <v>37327</v>
      </c>
      <c r="F24" s="12">
        <f t="shared" si="2"/>
        <v>1610.9</v>
      </c>
      <c r="G24" s="12">
        <f t="shared" si="3"/>
        <v>484.79200000000003</v>
      </c>
      <c r="H24" s="12">
        <f t="shared" si="4"/>
        <v>497.76301920000003</v>
      </c>
      <c r="I24" s="9">
        <f t="shared" si="5"/>
        <v>0.97394137631829925</v>
      </c>
      <c r="K24" s="3">
        <f t="shared" si="6"/>
        <v>0</v>
      </c>
      <c r="L24" s="15">
        <f t="shared" si="7"/>
        <v>1610.9</v>
      </c>
      <c r="M24" s="16">
        <f t="shared" si="8"/>
        <v>518481.95941640722</v>
      </c>
      <c r="N24" s="16">
        <f t="shared" si="9"/>
        <v>395359.96950684639</v>
      </c>
      <c r="O24" s="16">
        <f t="shared" si="0"/>
        <v>354451.22993489041</v>
      </c>
      <c r="P24" s="43">
        <f t="shared" si="1"/>
        <v>0.89652786643275073</v>
      </c>
    </row>
    <row r="25" spans="1:16">
      <c r="A25" s="8">
        <v>3</v>
      </c>
      <c r="B25" s="8">
        <v>4550</v>
      </c>
      <c r="C25" s="8">
        <v>0.45600000000000002</v>
      </c>
      <c r="D25" s="8">
        <v>3.44</v>
      </c>
      <c r="E25" s="10">
        <v>37327</v>
      </c>
      <c r="F25" s="12">
        <f t="shared" si="2"/>
        <v>1813.6000000000001</v>
      </c>
      <c r="G25" s="12">
        <f t="shared" si="3"/>
        <v>541.45600000000002</v>
      </c>
      <c r="H25" s="12">
        <f t="shared" si="4"/>
        <v>556.32337440000015</v>
      </c>
      <c r="I25" s="9">
        <f t="shared" si="5"/>
        <v>0.97327566109183394</v>
      </c>
      <c r="K25" s="3">
        <f t="shared" si="6"/>
        <v>300</v>
      </c>
      <c r="L25" s="15">
        <f t="shared" si="7"/>
        <v>1813.6000000000001</v>
      </c>
      <c r="M25" s="16">
        <f t="shared" si="8"/>
        <v>583722.69017170288</v>
      </c>
      <c r="N25" s="16">
        <f t="shared" si="9"/>
        <v>445108.22564877814</v>
      </c>
      <c r="O25" s="16">
        <f t="shared" si="0"/>
        <v>399204.38829580595</v>
      </c>
      <c r="P25" s="43">
        <f t="shared" si="1"/>
        <v>0.8968703908222232</v>
      </c>
    </row>
    <row r="26" spans="1:16">
      <c r="A26" s="8">
        <v>3</v>
      </c>
      <c r="B26" s="8">
        <v>4790</v>
      </c>
      <c r="C26" s="8">
        <v>0.45600000000000002</v>
      </c>
      <c r="D26" s="8">
        <v>3.44</v>
      </c>
      <c r="E26" s="10">
        <v>37327</v>
      </c>
      <c r="F26" s="12">
        <f t="shared" si="2"/>
        <v>1813.6000000000001</v>
      </c>
      <c r="G26" s="12">
        <f t="shared" si="3"/>
        <v>541.45600000000002</v>
      </c>
      <c r="H26" s="12">
        <f t="shared" si="4"/>
        <v>556.32337440000015</v>
      </c>
      <c r="I26" s="9">
        <f t="shared" si="5"/>
        <v>0.97327566109183394</v>
      </c>
      <c r="K26" s="3">
        <f t="shared" si="6"/>
        <v>240</v>
      </c>
      <c r="L26" s="15">
        <f t="shared" si="7"/>
        <v>1813.6000000000001</v>
      </c>
      <c r="M26" s="16">
        <f t="shared" si="8"/>
        <v>583722.69017170288</v>
      </c>
      <c r="N26" s="16">
        <f t="shared" si="9"/>
        <v>445108.22564877814</v>
      </c>
      <c r="O26" s="16">
        <f t="shared" si="0"/>
        <v>399204.38829580595</v>
      </c>
      <c r="P26" s="43">
        <f t="shared" si="1"/>
        <v>0.8968703908222232</v>
      </c>
    </row>
    <row r="27" spans="1:16">
      <c r="A27" s="8">
        <v>4</v>
      </c>
      <c r="B27" s="8">
        <v>4790</v>
      </c>
      <c r="C27" s="8">
        <v>0.504</v>
      </c>
      <c r="D27" s="8">
        <v>3.88</v>
      </c>
      <c r="E27" s="10">
        <v>37327</v>
      </c>
      <c r="F27" s="12">
        <f t="shared" si="2"/>
        <v>2016.3000000000002</v>
      </c>
      <c r="G27" s="12">
        <f t="shared" si="3"/>
        <v>610.71199999999999</v>
      </c>
      <c r="H27" s="12">
        <f t="shared" si="4"/>
        <v>614.88372960000004</v>
      </c>
      <c r="I27" s="9">
        <f t="shared" si="5"/>
        <v>0.99321541716071449</v>
      </c>
      <c r="K27" s="3">
        <f t="shared" si="6"/>
        <v>0</v>
      </c>
      <c r="L27" s="15">
        <f t="shared" si="7"/>
        <v>2016.3000000000002</v>
      </c>
      <c r="M27" s="16">
        <f t="shared" si="8"/>
        <v>648963.42092699849</v>
      </c>
      <c r="N27" s="16">
        <f t="shared" si="9"/>
        <v>494856.48179070977</v>
      </c>
      <c r="O27" s="16">
        <f t="shared" si="0"/>
        <v>453902.69295914721</v>
      </c>
      <c r="P27" s="43">
        <f t="shared" si="1"/>
        <v>0.91724107829533652</v>
      </c>
    </row>
    <row r="28" spans="1:16">
      <c r="A28" s="8">
        <v>4</v>
      </c>
      <c r="B28" s="8">
        <v>5200</v>
      </c>
      <c r="C28" s="8">
        <v>0.504</v>
      </c>
      <c r="D28" s="8">
        <v>3.88</v>
      </c>
      <c r="E28" s="10">
        <v>37327</v>
      </c>
      <c r="F28" s="12">
        <f t="shared" si="2"/>
        <v>2016.3000000000002</v>
      </c>
      <c r="G28" s="12">
        <f t="shared" si="3"/>
        <v>610.71199999999999</v>
      </c>
      <c r="H28" s="12">
        <f t="shared" si="4"/>
        <v>614.88372960000004</v>
      </c>
      <c r="I28" s="9">
        <f t="shared" si="5"/>
        <v>0.99321541716071449</v>
      </c>
      <c r="K28" s="3">
        <f t="shared" si="6"/>
        <v>410</v>
      </c>
      <c r="L28" s="15">
        <f t="shared" si="7"/>
        <v>2016.3000000000002</v>
      </c>
      <c r="M28" s="16">
        <f t="shared" si="8"/>
        <v>648963.42092699849</v>
      </c>
      <c r="N28" s="16">
        <f t="shared" si="9"/>
        <v>494856.48179070977</v>
      </c>
      <c r="O28" s="16">
        <f t="shared" si="0"/>
        <v>453902.69295914721</v>
      </c>
      <c r="P28" s="43">
        <f t="shared" si="1"/>
        <v>0.91724107829533652</v>
      </c>
    </row>
    <row r="29" spans="1:16">
      <c r="A29" s="8">
        <v>5</v>
      </c>
      <c r="B29" s="8">
        <v>5200</v>
      </c>
      <c r="C29" s="8">
        <v>0.56000000000000005</v>
      </c>
      <c r="D29" s="8">
        <v>4.24</v>
      </c>
      <c r="E29" s="10">
        <v>37327</v>
      </c>
      <c r="F29" s="12">
        <f t="shared" si="2"/>
        <v>2219.0000000000005</v>
      </c>
      <c r="G29" s="12">
        <f t="shared" si="3"/>
        <v>667.37600000000009</v>
      </c>
      <c r="H29" s="12">
        <f t="shared" si="4"/>
        <v>683.20414400000016</v>
      </c>
      <c r="I29" s="9">
        <f t="shared" si="5"/>
        <v>0.97683248244466148</v>
      </c>
      <c r="K29" s="3">
        <f t="shared" si="6"/>
        <v>0</v>
      </c>
      <c r="L29" s="15">
        <f t="shared" si="7"/>
        <v>2219.0000000000005</v>
      </c>
      <c r="M29" s="16">
        <f t="shared" si="8"/>
        <v>714204.15168229421</v>
      </c>
      <c r="N29" s="16">
        <f t="shared" si="9"/>
        <v>544604.73793264152</v>
      </c>
      <c r="O29" s="16">
        <f t="shared" si="0"/>
        <v>498655.85132006282</v>
      </c>
      <c r="P29" s="43">
        <f t="shared" si="1"/>
        <v>0.91562892605928481</v>
      </c>
    </row>
    <row r="30" spans="1:16">
      <c r="A30" s="8">
        <v>5</v>
      </c>
      <c r="B30" s="8">
        <v>5600</v>
      </c>
      <c r="C30" s="8">
        <v>0.56000000000000005</v>
      </c>
      <c r="D30" s="8">
        <v>4.24</v>
      </c>
      <c r="E30" s="10">
        <v>37327</v>
      </c>
      <c r="F30" s="12">
        <f t="shared" si="2"/>
        <v>2219.0000000000005</v>
      </c>
      <c r="G30" s="12">
        <f t="shared" si="3"/>
        <v>667.37600000000009</v>
      </c>
      <c r="H30" s="12">
        <f t="shared" si="4"/>
        <v>683.20414400000016</v>
      </c>
      <c r="I30" s="9">
        <f t="shared" si="5"/>
        <v>0.97683248244466148</v>
      </c>
      <c r="K30" s="3">
        <f t="shared" si="6"/>
        <v>400</v>
      </c>
      <c r="L30" s="15">
        <f t="shared" si="7"/>
        <v>2219.0000000000005</v>
      </c>
      <c r="M30" s="16">
        <f t="shared" si="8"/>
        <v>714204.15168229421</v>
      </c>
      <c r="N30" s="16">
        <f t="shared" si="9"/>
        <v>544604.73793264152</v>
      </c>
      <c r="O30" s="16">
        <f t="shared" si="0"/>
        <v>498655.85132006282</v>
      </c>
      <c r="P30" s="43">
        <f t="shared" si="1"/>
        <v>0.91562892605928481</v>
      </c>
    </row>
    <row r="31" spans="1:16">
      <c r="A31" s="8">
        <v>5.7</v>
      </c>
      <c r="B31" s="8">
        <v>5600</v>
      </c>
      <c r="C31" s="8">
        <v>0.59199999999999997</v>
      </c>
      <c r="D31" s="8">
        <v>4.4800000000000004</v>
      </c>
      <c r="E31" s="10">
        <v>37327</v>
      </c>
      <c r="F31" s="12">
        <f t="shared" si="2"/>
        <v>2360.89</v>
      </c>
      <c r="G31" s="12">
        <f t="shared" si="3"/>
        <v>705.15200000000004</v>
      </c>
      <c r="H31" s="12">
        <f t="shared" si="4"/>
        <v>722.24438080000004</v>
      </c>
      <c r="I31" s="9">
        <f t="shared" si="5"/>
        <v>0.97633435267288959</v>
      </c>
      <c r="K31" s="3">
        <f t="shared" si="6"/>
        <v>0</v>
      </c>
      <c r="L31" s="15">
        <f t="shared" si="7"/>
        <v>2360.89</v>
      </c>
      <c r="M31" s="16">
        <f t="shared" si="8"/>
        <v>759872.66321100097</v>
      </c>
      <c r="N31" s="16">
        <f t="shared" si="9"/>
        <v>579428.51723199361</v>
      </c>
      <c r="O31" s="16">
        <f t="shared" si="0"/>
        <v>528491.29022733984</v>
      </c>
      <c r="P31" s="43">
        <f t="shared" si="1"/>
        <v>0.91209057633547685</v>
      </c>
    </row>
    <row r="32" spans="1:16">
      <c r="A32" s="8">
        <v>5.7</v>
      </c>
      <c r="B32" s="8">
        <v>5950</v>
      </c>
      <c r="C32" s="8">
        <v>0.59199999999999997</v>
      </c>
      <c r="D32" s="8">
        <v>4.4800000000000004</v>
      </c>
      <c r="E32" s="10">
        <v>37327</v>
      </c>
      <c r="F32" s="12">
        <f t="shared" si="2"/>
        <v>2360.89</v>
      </c>
      <c r="G32" s="12">
        <f t="shared" si="3"/>
        <v>705.15200000000004</v>
      </c>
      <c r="H32" s="12">
        <f t="shared" si="4"/>
        <v>722.24438080000004</v>
      </c>
      <c r="I32" s="9">
        <f t="shared" si="5"/>
        <v>0.97633435267288959</v>
      </c>
      <c r="K32" s="3">
        <f t="shared" si="6"/>
        <v>350</v>
      </c>
      <c r="L32" s="15">
        <f t="shared" si="7"/>
        <v>2360.89</v>
      </c>
      <c r="M32" s="16">
        <f t="shared" si="8"/>
        <v>759872.66321100097</v>
      </c>
      <c r="N32" s="16">
        <f t="shared" si="9"/>
        <v>579428.51723199361</v>
      </c>
      <c r="O32" s="16">
        <f t="shared" si="0"/>
        <v>528491.29022733984</v>
      </c>
      <c r="P32" s="43">
        <f t="shared" si="1"/>
        <v>0.91209057633547685</v>
      </c>
    </row>
    <row r="33" spans="1:16">
      <c r="A33" s="8">
        <v>5.5</v>
      </c>
      <c r="B33" s="8">
        <v>5950</v>
      </c>
      <c r="C33" s="8">
        <v>0.58399999999999996</v>
      </c>
      <c r="D33" s="8">
        <v>4.4000000000000004</v>
      </c>
      <c r="E33" s="10">
        <v>37327</v>
      </c>
      <c r="F33" s="12">
        <f t="shared" si="2"/>
        <v>2320.35</v>
      </c>
      <c r="G33" s="12">
        <f t="shared" si="3"/>
        <v>692.56000000000006</v>
      </c>
      <c r="H33" s="12">
        <f t="shared" si="4"/>
        <v>712.48432159999993</v>
      </c>
      <c r="I33" s="9">
        <f t="shared" si="5"/>
        <v>0.97203542450554348</v>
      </c>
      <c r="K33" s="3">
        <f t="shared" si="6"/>
        <v>0</v>
      </c>
      <c r="L33" s="15">
        <f t="shared" si="7"/>
        <v>2320.35</v>
      </c>
      <c r="M33" s="16">
        <f t="shared" si="8"/>
        <v>746824.51705994189</v>
      </c>
      <c r="N33" s="16">
        <f t="shared" si="9"/>
        <v>569478.86600360728</v>
      </c>
      <c r="O33" s="16">
        <f t="shared" si="0"/>
        <v>518546.14392491418</v>
      </c>
      <c r="P33" s="43">
        <f t="shared" si="1"/>
        <v>0.91056257726275225</v>
      </c>
    </row>
    <row r="34" spans="1:16">
      <c r="A34" s="8">
        <v>5.5</v>
      </c>
      <c r="B34" s="8">
        <v>16046</v>
      </c>
      <c r="C34" s="8">
        <v>0.57599999999999996</v>
      </c>
      <c r="D34" s="8">
        <v>4.4000000000000004</v>
      </c>
      <c r="E34" s="10">
        <v>37327</v>
      </c>
      <c r="F34" s="12">
        <f t="shared" si="2"/>
        <v>2320.35</v>
      </c>
      <c r="G34" s="12">
        <f t="shared" si="3"/>
        <v>692.56000000000006</v>
      </c>
      <c r="H34" s="12">
        <f t="shared" si="4"/>
        <v>702.72426240000004</v>
      </c>
      <c r="I34" s="9">
        <f t="shared" si="5"/>
        <v>0.98553591651256467</v>
      </c>
      <c r="K34" s="3">
        <f t="shared" si="6"/>
        <v>10096</v>
      </c>
      <c r="L34" s="15">
        <f t="shared" si="7"/>
        <v>2320.35</v>
      </c>
      <c r="M34" s="16">
        <f t="shared" si="8"/>
        <v>746824.51705994189</v>
      </c>
      <c r="N34" s="16">
        <f t="shared" si="9"/>
        <v>569478.86600360728</v>
      </c>
      <c r="O34" s="16">
        <f t="shared" si="0"/>
        <v>518546.14392491418</v>
      </c>
      <c r="P34" s="43">
        <f t="shared" si="1"/>
        <v>0.91056257726275225</v>
      </c>
    </row>
    <row r="35" spans="1:16">
      <c r="A35" s="8">
        <v>0</v>
      </c>
      <c r="B35" s="8">
        <v>16046</v>
      </c>
      <c r="C35" s="8"/>
      <c r="D35" s="8"/>
      <c r="E35" s="10">
        <v>37328</v>
      </c>
      <c r="F35" s="12">
        <f t="shared" si="2"/>
        <v>1205.5</v>
      </c>
      <c r="G35" s="12">
        <f t="shared" si="3"/>
        <v>0</v>
      </c>
      <c r="H35" s="12">
        <f t="shared" si="4"/>
        <v>0</v>
      </c>
      <c r="I35" s="9" t="e">
        <f t="shared" si="5"/>
        <v>#DIV/0!</v>
      </c>
      <c r="K35" s="3">
        <f t="shared" si="6"/>
        <v>0</v>
      </c>
      <c r="L35" s="15">
        <f t="shared" si="7"/>
        <v>1205.5</v>
      </c>
      <c r="M35" s="16">
        <f t="shared" si="8"/>
        <v>388000.49790581595</v>
      </c>
      <c r="N35" s="16">
        <f t="shared" si="9"/>
        <v>295863.45722298301</v>
      </c>
      <c r="O35" s="16">
        <f t="shared" si="0"/>
        <v>-28436.902708498441</v>
      </c>
      <c r="P35" s="43" t="str">
        <f t="shared" si="1"/>
        <v/>
      </c>
    </row>
    <row r="36" spans="1:16">
      <c r="A36" s="8">
        <v>0</v>
      </c>
      <c r="B36" s="8">
        <v>16276</v>
      </c>
      <c r="C36" s="8"/>
      <c r="D36" s="8"/>
      <c r="E36" s="10">
        <v>37328</v>
      </c>
      <c r="F36" s="12">
        <f t="shared" si="2"/>
        <v>1205.5</v>
      </c>
      <c r="G36" s="12">
        <f t="shared" si="3"/>
        <v>0</v>
      </c>
      <c r="H36" s="12">
        <f t="shared" si="4"/>
        <v>0</v>
      </c>
      <c r="I36" s="9" t="e">
        <f t="shared" si="5"/>
        <v>#DIV/0!</v>
      </c>
      <c r="K36" s="3">
        <f t="shared" si="6"/>
        <v>230</v>
      </c>
      <c r="L36" s="15">
        <f t="shared" si="7"/>
        <v>1205.5</v>
      </c>
      <c r="M36" s="16">
        <f t="shared" si="8"/>
        <v>388000.49790581595</v>
      </c>
      <c r="N36" s="16">
        <f t="shared" si="9"/>
        <v>295863.45722298301</v>
      </c>
      <c r="O36" s="16">
        <f t="shared" si="0"/>
        <v>-28436.902708498441</v>
      </c>
      <c r="P36" s="43" t="str">
        <f t="shared" si="1"/>
        <v/>
      </c>
    </row>
    <row r="37" spans="1:16">
      <c r="A37" s="8">
        <v>1</v>
      </c>
      <c r="B37" s="8">
        <v>16276</v>
      </c>
      <c r="C37" s="8"/>
      <c r="D37" s="8"/>
      <c r="E37" s="10">
        <v>37328</v>
      </c>
      <c r="F37" s="12">
        <f t="shared" si="2"/>
        <v>1408.1999999999998</v>
      </c>
      <c r="G37" s="12">
        <f t="shared" si="3"/>
        <v>0</v>
      </c>
      <c r="H37" s="12">
        <f t="shared" si="4"/>
        <v>0</v>
      </c>
      <c r="I37" s="9" t="e">
        <f t="shared" si="5"/>
        <v>#DIV/0!</v>
      </c>
      <c r="K37" s="3">
        <f t="shared" si="6"/>
        <v>0</v>
      </c>
      <c r="L37" s="15">
        <f t="shared" si="7"/>
        <v>1408.1999999999998</v>
      </c>
      <c r="M37" s="16">
        <f t="shared" si="8"/>
        <v>453241.2286611115</v>
      </c>
      <c r="N37" s="16">
        <f t="shared" si="9"/>
        <v>345611.71336491464</v>
      </c>
      <c r="O37" s="16">
        <f t="shared" si="0"/>
        <v>-28436.902708498441</v>
      </c>
      <c r="P37" s="43" t="str">
        <f t="shared" si="1"/>
        <v/>
      </c>
    </row>
    <row r="38" spans="1:16">
      <c r="A38" s="8">
        <v>1</v>
      </c>
      <c r="B38" s="8">
        <v>16490</v>
      </c>
      <c r="C38" s="8"/>
      <c r="D38" s="8"/>
      <c r="E38" s="10">
        <v>37328</v>
      </c>
      <c r="F38" s="12">
        <f t="shared" si="2"/>
        <v>1408.1999999999998</v>
      </c>
      <c r="G38" s="12">
        <f t="shared" si="3"/>
        <v>0</v>
      </c>
      <c r="H38" s="12">
        <f t="shared" si="4"/>
        <v>0</v>
      </c>
      <c r="I38" s="9" t="e">
        <f t="shared" si="5"/>
        <v>#DIV/0!</v>
      </c>
      <c r="K38" s="3">
        <f t="shared" si="6"/>
        <v>214</v>
      </c>
      <c r="L38" s="15">
        <f t="shared" si="7"/>
        <v>1408.1999999999998</v>
      </c>
      <c r="M38" s="16">
        <f t="shared" si="8"/>
        <v>453241.2286611115</v>
      </c>
      <c r="N38" s="16">
        <f t="shared" si="9"/>
        <v>345611.71336491464</v>
      </c>
      <c r="O38" s="16">
        <f t="shared" si="0"/>
        <v>-28436.902708498441</v>
      </c>
      <c r="P38" s="43" t="str">
        <f t="shared" si="1"/>
        <v/>
      </c>
    </row>
    <row r="39" spans="1:16">
      <c r="A39" s="8">
        <v>2</v>
      </c>
      <c r="B39" s="8">
        <v>16490</v>
      </c>
      <c r="C39" s="8"/>
      <c r="D39" s="8"/>
      <c r="E39" s="10">
        <v>37328</v>
      </c>
      <c r="F39" s="12">
        <f t="shared" si="2"/>
        <v>1610.9</v>
      </c>
      <c r="G39" s="12">
        <f t="shared" si="3"/>
        <v>0</v>
      </c>
      <c r="H39" s="12">
        <f t="shared" si="4"/>
        <v>0</v>
      </c>
      <c r="I39" s="9" t="e">
        <f t="shared" si="5"/>
        <v>#DIV/0!</v>
      </c>
      <c r="K39" s="3">
        <f t="shared" si="6"/>
        <v>0</v>
      </c>
      <c r="L39" s="15">
        <f t="shared" si="7"/>
        <v>1610.9</v>
      </c>
      <c r="M39" s="16">
        <f t="shared" si="8"/>
        <v>518481.95941640722</v>
      </c>
      <c r="N39" s="16">
        <f t="shared" si="9"/>
        <v>395359.96950684639</v>
      </c>
      <c r="O39" s="16">
        <f t="shared" si="0"/>
        <v>-28436.902708498441</v>
      </c>
      <c r="P39" s="43" t="str">
        <f t="shared" si="1"/>
        <v/>
      </c>
    </row>
    <row r="40" spans="1:16">
      <c r="A40" s="8">
        <v>2</v>
      </c>
      <c r="B40" s="8">
        <v>16688</v>
      </c>
      <c r="C40" s="8"/>
      <c r="D40" s="8"/>
      <c r="E40" s="10">
        <v>37328</v>
      </c>
      <c r="F40" s="12">
        <f t="shared" si="2"/>
        <v>1610.9</v>
      </c>
      <c r="G40" s="12">
        <f t="shared" si="3"/>
        <v>0</v>
      </c>
      <c r="H40" s="12">
        <f t="shared" si="4"/>
        <v>0</v>
      </c>
      <c r="I40" s="9" t="e">
        <f t="shared" si="5"/>
        <v>#DIV/0!</v>
      </c>
      <c r="K40" s="3">
        <f t="shared" si="6"/>
        <v>198</v>
      </c>
      <c r="L40" s="15">
        <f t="shared" si="7"/>
        <v>1610.9</v>
      </c>
      <c r="M40" s="16">
        <f t="shared" si="8"/>
        <v>518481.95941640722</v>
      </c>
      <c r="N40" s="16">
        <f t="shared" si="9"/>
        <v>395359.96950684639</v>
      </c>
      <c r="O40" s="16">
        <f t="shared" si="0"/>
        <v>-28436.902708498441</v>
      </c>
      <c r="P40" s="43" t="str">
        <f t="shared" si="1"/>
        <v/>
      </c>
    </row>
    <row r="41" spans="1:16">
      <c r="A41" s="8">
        <v>3</v>
      </c>
      <c r="B41" s="8">
        <v>16688</v>
      </c>
      <c r="C41" s="8"/>
      <c r="D41" s="8"/>
      <c r="E41" s="10">
        <v>37328</v>
      </c>
      <c r="F41" s="12">
        <f t="shared" si="2"/>
        <v>1813.6000000000001</v>
      </c>
      <c r="G41" s="12">
        <f t="shared" si="3"/>
        <v>0</v>
      </c>
      <c r="H41" s="12">
        <f t="shared" si="4"/>
        <v>0</v>
      </c>
      <c r="I41" s="9" t="e">
        <f t="shared" si="5"/>
        <v>#DIV/0!</v>
      </c>
      <c r="K41" s="3">
        <f t="shared" si="6"/>
        <v>0</v>
      </c>
      <c r="L41" s="15">
        <f t="shared" si="7"/>
        <v>1813.6000000000001</v>
      </c>
      <c r="M41" s="16">
        <f t="shared" si="8"/>
        <v>583722.69017170288</v>
      </c>
      <c r="N41" s="16">
        <f t="shared" si="9"/>
        <v>445108.22564877814</v>
      </c>
      <c r="O41" s="16">
        <f t="shared" si="0"/>
        <v>-28436.902708498441</v>
      </c>
      <c r="P41" s="43" t="str">
        <f t="shared" si="1"/>
        <v/>
      </c>
    </row>
    <row r="42" spans="1:16">
      <c r="A42" s="8">
        <v>4</v>
      </c>
      <c r="B42" s="8">
        <v>16688</v>
      </c>
      <c r="C42" s="8">
        <v>0.50800000000000001</v>
      </c>
      <c r="D42" s="8">
        <v>3.84</v>
      </c>
      <c r="E42" s="10">
        <v>37328</v>
      </c>
      <c r="F42" s="12">
        <f t="shared" si="2"/>
        <v>2016.3000000000002</v>
      </c>
      <c r="G42" s="12">
        <f t="shared" si="3"/>
        <v>604.41600000000005</v>
      </c>
      <c r="H42" s="12">
        <f t="shared" si="4"/>
        <v>619.7637592000001</v>
      </c>
      <c r="I42" s="9">
        <f t="shared" si="5"/>
        <v>0.97523611380599096</v>
      </c>
      <c r="K42" s="3">
        <f t="shared" si="6"/>
        <v>0</v>
      </c>
      <c r="L42" s="15">
        <f t="shared" si="7"/>
        <v>2016.3000000000002</v>
      </c>
      <c r="M42" s="16">
        <f t="shared" si="8"/>
        <v>648963.42092699849</v>
      </c>
      <c r="N42" s="16">
        <f t="shared" si="9"/>
        <v>494856.48179070977</v>
      </c>
      <c r="O42" s="16">
        <f t="shared" si="0"/>
        <v>448930.11980793439</v>
      </c>
      <c r="P42" s="43">
        <f t="shared" si="1"/>
        <v>0.90719256254543901</v>
      </c>
    </row>
    <row r="43" spans="1:16">
      <c r="A43" s="8">
        <v>4</v>
      </c>
      <c r="B43" s="8">
        <v>16907</v>
      </c>
      <c r="C43" s="8">
        <v>0.50800000000000001</v>
      </c>
      <c r="D43" s="8">
        <v>3.84</v>
      </c>
      <c r="E43" s="10">
        <v>37328</v>
      </c>
      <c r="F43" s="12">
        <f t="shared" si="2"/>
        <v>2016.3000000000002</v>
      </c>
      <c r="G43" s="12">
        <f t="shared" si="3"/>
        <v>604.41600000000005</v>
      </c>
      <c r="H43" s="12">
        <f t="shared" si="4"/>
        <v>619.7637592000001</v>
      </c>
      <c r="I43" s="9">
        <f t="shared" si="5"/>
        <v>0.97523611380599096</v>
      </c>
      <c r="K43" s="3">
        <f t="shared" si="6"/>
        <v>219</v>
      </c>
      <c r="L43" s="15">
        <f t="shared" si="7"/>
        <v>2016.3000000000002</v>
      </c>
      <c r="M43" s="16">
        <f t="shared" si="8"/>
        <v>648963.42092699849</v>
      </c>
      <c r="N43" s="16">
        <f t="shared" si="9"/>
        <v>494856.48179070977</v>
      </c>
      <c r="O43" s="16">
        <f t="shared" si="0"/>
        <v>448930.11980793439</v>
      </c>
      <c r="P43" s="43">
        <f t="shared" si="1"/>
        <v>0.90719256254543901</v>
      </c>
    </row>
    <row r="44" spans="1:16">
      <c r="A44" s="8">
        <v>5</v>
      </c>
      <c r="B44" s="8">
        <v>17177</v>
      </c>
      <c r="C44" s="8">
        <v>0.55200000000000005</v>
      </c>
      <c r="D44" s="8">
        <v>4.16</v>
      </c>
      <c r="E44" s="10">
        <v>37328</v>
      </c>
      <c r="F44" s="12">
        <f t="shared" si="2"/>
        <v>2219.0000000000005</v>
      </c>
      <c r="G44" s="12">
        <f t="shared" si="3"/>
        <v>654.78399999999999</v>
      </c>
      <c r="H44" s="12">
        <f t="shared" si="4"/>
        <v>673.44408480000004</v>
      </c>
      <c r="I44" s="9">
        <f t="shared" si="5"/>
        <v>0.97229156032227715</v>
      </c>
      <c r="K44" s="3">
        <f t="shared" si="6"/>
        <v>270</v>
      </c>
      <c r="L44" s="15">
        <f t="shared" si="7"/>
        <v>2219.0000000000005</v>
      </c>
      <c r="M44" s="16">
        <f t="shared" si="8"/>
        <v>714204.15168229421</v>
      </c>
      <c r="N44" s="16">
        <f t="shared" si="9"/>
        <v>544604.73793264152</v>
      </c>
      <c r="O44" s="16">
        <f t="shared" si="0"/>
        <v>488710.70501763711</v>
      </c>
      <c r="P44" s="43">
        <f t="shared" si="1"/>
        <v>0.8973677072160956</v>
      </c>
    </row>
    <row r="45" spans="1:16">
      <c r="A45" s="8">
        <v>5</v>
      </c>
      <c r="B45" s="8">
        <v>17177</v>
      </c>
      <c r="C45" s="8">
        <v>0.55200000000000005</v>
      </c>
      <c r="D45" s="8">
        <v>4.16</v>
      </c>
      <c r="E45" s="10">
        <v>37328</v>
      </c>
      <c r="F45" s="12">
        <f t="shared" si="2"/>
        <v>2219.0000000000005</v>
      </c>
      <c r="G45" s="12">
        <f t="shared" si="3"/>
        <v>654.78399999999999</v>
      </c>
      <c r="H45" s="12">
        <f t="shared" si="4"/>
        <v>673.44408480000004</v>
      </c>
      <c r="I45" s="9">
        <f t="shared" si="5"/>
        <v>0.97229156032227715</v>
      </c>
      <c r="K45" s="3">
        <f t="shared" si="6"/>
        <v>0</v>
      </c>
      <c r="L45" s="15">
        <f t="shared" si="7"/>
        <v>2219.0000000000005</v>
      </c>
      <c r="M45" s="16">
        <f t="shared" si="8"/>
        <v>714204.15168229421</v>
      </c>
      <c r="N45" s="16">
        <f t="shared" si="9"/>
        <v>544604.73793264152</v>
      </c>
      <c r="O45" s="16">
        <f t="shared" si="0"/>
        <v>488710.70501763711</v>
      </c>
      <c r="P45" s="43">
        <f t="shared" si="1"/>
        <v>0.8973677072160956</v>
      </c>
    </row>
    <row r="46" spans="1:16">
      <c r="A46" s="8">
        <v>5.5</v>
      </c>
      <c r="B46" s="8">
        <v>17177</v>
      </c>
      <c r="C46" s="8">
        <v>0.57599999999999996</v>
      </c>
      <c r="D46" s="8">
        <v>4.28</v>
      </c>
      <c r="E46" s="10">
        <v>37328</v>
      </c>
      <c r="F46" s="12">
        <f t="shared" si="2"/>
        <v>2320.35</v>
      </c>
      <c r="G46" s="12">
        <f t="shared" si="3"/>
        <v>673.67200000000003</v>
      </c>
      <c r="H46" s="12">
        <f t="shared" si="4"/>
        <v>702.72426240000004</v>
      </c>
      <c r="I46" s="9">
        <f t="shared" si="5"/>
        <v>0.9586576642440402</v>
      </c>
      <c r="K46" s="3">
        <f t="shared" si="6"/>
        <v>0</v>
      </c>
      <c r="L46" s="15">
        <f t="shared" si="7"/>
        <v>2320.35</v>
      </c>
      <c r="M46" s="16">
        <f t="shared" si="8"/>
        <v>746824.51705994189</v>
      </c>
      <c r="N46" s="16">
        <f t="shared" si="9"/>
        <v>569478.86600360728</v>
      </c>
      <c r="O46" s="16">
        <f t="shared" si="0"/>
        <v>503628.42447127565</v>
      </c>
      <c r="P46" s="43">
        <f t="shared" si="1"/>
        <v>0.88436718996361396</v>
      </c>
    </row>
    <row r="47" spans="1:16">
      <c r="A47" s="8">
        <v>5.5</v>
      </c>
      <c r="B47" s="8">
        <v>28747</v>
      </c>
      <c r="C47" s="8">
        <v>0.57199999999999995</v>
      </c>
      <c r="D47" s="8">
        <v>4.28</v>
      </c>
      <c r="E47" s="10">
        <v>37328</v>
      </c>
      <c r="F47" s="12">
        <f t="shared" si="2"/>
        <v>2320.35</v>
      </c>
      <c r="G47" s="12">
        <f t="shared" si="3"/>
        <v>673.67200000000003</v>
      </c>
      <c r="H47" s="12">
        <f t="shared" si="4"/>
        <v>697.84423279999999</v>
      </c>
      <c r="I47" s="9">
        <f t="shared" si="5"/>
        <v>0.96536156399399853</v>
      </c>
      <c r="K47" s="3">
        <f t="shared" si="6"/>
        <v>11570</v>
      </c>
      <c r="L47" s="15">
        <f t="shared" si="7"/>
        <v>2320.35</v>
      </c>
      <c r="M47" s="16">
        <f t="shared" si="8"/>
        <v>746824.51705994189</v>
      </c>
      <c r="N47" s="16">
        <f t="shared" si="9"/>
        <v>569478.86600360728</v>
      </c>
      <c r="O47" s="16">
        <f t="shared" si="0"/>
        <v>503628.42447127565</v>
      </c>
      <c r="P47" s="43">
        <f t="shared" si="1"/>
        <v>0.88436718996361396</v>
      </c>
    </row>
    <row r="48" spans="1:16">
      <c r="A48" s="8">
        <v>0</v>
      </c>
      <c r="B48" s="8">
        <v>28747</v>
      </c>
      <c r="C48" s="8">
        <v>0.29199999999999998</v>
      </c>
      <c r="D48" s="8">
        <v>2.2799999999999998</v>
      </c>
      <c r="E48" s="10">
        <v>37329</v>
      </c>
      <c r="F48" s="12">
        <f t="shared" si="2"/>
        <v>1205.5</v>
      </c>
      <c r="G48" s="12">
        <f t="shared" si="3"/>
        <v>358.87199999999996</v>
      </c>
      <c r="H48" s="12">
        <f t="shared" si="4"/>
        <v>356.24216079999997</v>
      </c>
      <c r="I48" s="9">
        <f t="shared" si="5"/>
        <v>1.0073821672148358</v>
      </c>
      <c r="K48" s="3">
        <f t="shared" si="6"/>
        <v>0</v>
      </c>
      <c r="L48" s="15">
        <f t="shared" si="7"/>
        <v>1205.5</v>
      </c>
      <c r="M48" s="16">
        <f t="shared" si="8"/>
        <v>388000.49790581595</v>
      </c>
      <c r="N48" s="16">
        <f t="shared" si="9"/>
        <v>295863.45722298301</v>
      </c>
      <c r="O48" s="16">
        <f t="shared" si="0"/>
        <v>254999.76691063357</v>
      </c>
      <c r="P48" s="43">
        <f t="shared" si="1"/>
        <v>0.86188327988896662</v>
      </c>
    </row>
    <row r="49" spans="1:16">
      <c r="A49" s="8">
        <v>0</v>
      </c>
      <c r="B49" s="8">
        <v>28970</v>
      </c>
      <c r="C49" s="8">
        <v>0.29199999999999998</v>
      </c>
      <c r="D49" s="8">
        <v>2.2799999999999998</v>
      </c>
      <c r="E49" s="10">
        <v>37329</v>
      </c>
      <c r="F49" s="12">
        <f t="shared" si="2"/>
        <v>1205.5</v>
      </c>
      <c r="G49" s="12">
        <f t="shared" si="3"/>
        <v>358.87199999999996</v>
      </c>
      <c r="H49" s="12">
        <f t="shared" si="4"/>
        <v>356.24216079999997</v>
      </c>
      <c r="I49" s="9">
        <f t="shared" si="5"/>
        <v>1.0073821672148358</v>
      </c>
      <c r="K49" s="3">
        <f t="shared" si="6"/>
        <v>223</v>
      </c>
      <c r="L49" s="15">
        <f t="shared" si="7"/>
        <v>1205.5</v>
      </c>
      <c r="M49" s="16">
        <f t="shared" si="8"/>
        <v>388000.49790581595</v>
      </c>
      <c r="N49" s="16">
        <f t="shared" si="9"/>
        <v>295863.45722298301</v>
      </c>
      <c r="O49" s="16">
        <f t="shared" si="0"/>
        <v>254999.76691063357</v>
      </c>
      <c r="P49" s="43">
        <f t="shared" si="1"/>
        <v>0.86188327988896662</v>
      </c>
    </row>
    <row r="50" spans="1:16">
      <c r="A50" s="8">
        <v>5.5</v>
      </c>
      <c r="B50" s="8">
        <v>28970</v>
      </c>
      <c r="C50" s="8">
        <v>0.57999999999999996</v>
      </c>
      <c r="D50" s="8">
        <v>4.32</v>
      </c>
      <c r="E50" s="10">
        <v>37329</v>
      </c>
      <c r="F50" s="12">
        <f t="shared" si="2"/>
        <v>2320.35</v>
      </c>
      <c r="G50" s="12">
        <f t="shared" si="3"/>
        <v>679.96800000000007</v>
      </c>
      <c r="H50" s="12">
        <f t="shared" si="4"/>
        <v>707.60429199999999</v>
      </c>
      <c r="I50" s="9">
        <f t="shared" si="5"/>
        <v>0.96094386041400681</v>
      </c>
      <c r="K50" s="3">
        <f t="shared" si="6"/>
        <v>0</v>
      </c>
      <c r="L50" s="15">
        <f t="shared" si="7"/>
        <v>2320.35</v>
      </c>
      <c r="M50" s="16">
        <f t="shared" si="8"/>
        <v>746824.51705994189</v>
      </c>
      <c r="N50" s="16">
        <f t="shared" si="9"/>
        <v>569478.86600360728</v>
      </c>
      <c r="O50" s="16">
        <f t="shared" si="0"/>
        <v>508600.99762248853</v>
      </c>
      <c r="P50" s="43">
        <f t="shared" si="1"/>
        <v>0.89309898572999347</v>
      </c>
    </row>
    <row r="51" spans="1:16">
      <c r="A51" s="8">
        <v>5.5</v>
      </c>
      <c r="B51" s="8">
        <v>42000</v>
      </c>
      <c r="C51" s="8">
        <v>0.57199999999999995</v>
      </c>
      <c r="D51" s="8">
        <v>4.28</v>
      </c>
      <c r="E51" s="10">
        <v>37329</v>
      </c>
      <c r="F51" s="12">
        <f t="shared" si="2"/>
        <v>2320.35</v>
      </c>
      <c r="G51" s="12">
        <f t="shared" si="3"/>
        <v>673.67200000000003</v>
      </c>
      <c r="H51" s="12">
        <f t="shared" si="4"/>
        <v>697.84423279999999</v>
      </c>
      <c r="I51" s="9">
        <f t="shared" si="5"/>
        <v>0.96536156399399853</v>
      </c>
      <c r="K51" s="3">
        <f t="shared" si="6"/>
        <v>13030</v>
      </c>
      <c r="L51" s="15">
        <f t="shared" si="7"/>
        <v>2320.35</v>
      </c>
      <c r="M51" s="16">
        <f t="shared" si="8"/>
        <v>746824.51705994189</v>
      </c>
      <c r="N51" s="16">
        <f t="shared" si="9"/>
        <v>569478.86600360728</v>
      </c>
      <c r="O51" s="16">
        <f t="shared" si="0"/>
        <v>503628.42447127565</v>
      </c>
      <c r="P51" s="43">
        <f t="shared" si="1"/>
        <v>0.88436718996361396</v>
      </c>
    </row>
    <row r="52" spans="1:16">
      <c r="A52" s="8">
        <v>5.65</v>
      </c>
      <c r="B52" s="8">
        <v>42000</v>
      </c>
      <c r="C52" s="8">
        <v>0.57999999999999996</v>
      </c>
      <c r="D52" s="8">
        <v>4.4000000000000004</v>
      </c>
      <c r="E52" s="10">
        <v>37330</v>
      </c>
      <c r="F52" s="12">
        <f t="shared" si="2"/>
        <v>2350.7550000000001</v>
      </c>
      <c r="G52" s="12">
        <f t="shared" si="3"/>
        <v>692.56000000000006</v>
      </c>
      <c r="H52" s="12">
        <f t="shared" si="4"/>
        <v>707.60429199999999</v>
      </c>
      <c r="I52" s="9">
        <f t="shared" si="5"/>
        <v>0.97873911708834016</v>
      </c>
      <c r="K52" s="3">
        <f t="shared" si="6"/>
        <v>0</v>
      </c>
      <c r="L52" s="15">
        <f t="shared" si="7"/>
        <v>2350.7550000000001</v>
      </c>
      <c r="M52" s="16">
        <f t="shared" si="8"/>
        <v>756610.62667323626</v>
      </c>
      <c r="N52" s="16">
        <f t="shared" si="9"/>
        <v>576941.104424897</v>
      </c>
      <c r="O52" s="16">
        <f t="shared" si="0"/>
        <v>518546.14392491418</v>
      </c>
      <c r="P52" s="43">
        <f t="shared" si="1"/>
        <v>0.89878523119237319</v>
      </c>
    </row>
    <row r="53" spans="1:16">
      <c r="A53" s="8">
        <v>5.65</v>
      </c>
      <c r="B53" s="8">
        <v>51700</v>
      </c>
      <c r="C53" s="8">
        <v>0.57999999999999996</v>
      </c>
      <c r="D53" s="8">
        <v>4.4000000000000004</v>
      </c>
      <c r="E53" s="10">
        <v>37330</v>
      </c>
      <c r="F53" s="12">
        <f t="shared" si="2"/>
        <v>2350.7550000000001</v>
      </c>
      <c r="G53" s="12">
        <f t="shared" si="3"/>
        <v>692.56000000000006</v>
      </c>
      <c r="H53" s="12">
        <f t="shared" si="4"/>
        <v>707.60429199999999</v>
      </c>
      <c r="I53" s="9">
        <f t="shared" si="5"/>
        <v>0.97873911708834016</v>
      </c>
      <c r="K53" s="3">
        <f t="shared" si="6"/>
        <v>9700</v>
      </c>
      <c r="L53" s="15">
        <f t="shared" si="7"/>
        <v>2350.7550000000001</v>
      </c>
      <c r="M53" s="16">
        <f t="shared" si="8"/>
        <v>756610.62667323626</v>
      </c>
      <c r="N53" s="16">
        <f t="shared" si="9"/>
        <v>576941.104424897</v>
      </c>
      <c r="O53" s="16">
        <f t="shared" si="0"/>
        <v>518546.14392491418</v>
      </c>
      <c r="P53" s="43">
        <f t="shared" si="1"/>
        <v>0.89878523119237319</v>
      </c>
    </row>
    <row r="54" spans="1:16">
      <c r="A54" s="8">
        <v>5.69</v>
      </c>
      <c r="B54" s="8">
        <v>51700</v>
      </c>
      <c r="C54" s="8">
        <v>0.57999999999999996</v>
      </c>
      <c r="D54" s="8">
        <v>4.4000000000000004</v>
      </c>
      <c r="E54" s="10">
        <v>37330</v>
      </c>
      <c r="F54" s="12">
        <f t="shared" si="2"/>
        <v>2358.8630000000003</v>
      </c>
      <c r="G54" s="12">
        <f t="shared" si="3"/>
        <v>692.56000000000006</v>
      </c>
      <c r="H54" s="12">
        <f t="shared" si="4"/>
        <v>707.60429199999999</v>
      </c>
      <c r="I54" s="9">
        <f t="shared" si="5"/>
        <v>0.97873911708834016</v>
      </c>
      <c r="K54" s="3">
        <f t="shared" si="6"/>
        <v>0</v>
      </c>
      <c r="L54" s="15">
        <f t="shared" si="7"/>
        <v>2358.8630000000003</v>
      </c>
      <c r="M54" s="16">
        <f t="shared" si="8"/>
        <v>759220.25590344821</v>
      </c>
      <c r="N54" s="16">
        <f t="shared" si="9"/>
        <v>578931.03467057436</v>
      </c>
      <c r="O54" s="16">
        <f t="shared" si="0"/>
        <v>518546.14392491418</v>
      </c>
      <c r="P54" s="43">
        <f t="shared" si="1"/>
        <v>0.89569588236011455</v>
      </c>
    </row>
    <row r="55" spans="1:16">
      <c r="A55" s="8">
        <v>5.69</v>
      </c>
      <c r="B55" s="8">
        <v>53387</v>
      </c>
      <c r="C55" s="8">
        <v>0.57999999999999996</v>
      </c>
      <c r="D55" s="8">
        <v>4.4000000000000004</v>
      </c>
      <c r="E55" s="10">
        <v>37330</v>
      </c>
      <c r="F55" s="12">
        <f t="shared" si="2"/>
        <v>2358.8630000000003</v>
      </c>
      <c r="G55" s="12">
        <f t="shared" si="3"/>
        <v>692.56000000000006</v>
      </c>
      <c r="H55" s="12">
        <f t="shared" si="4"/>
        <v>707.60429199999999</v>
      </c>
      <c r="I55" s="9">
        <f t="shared" si="5"/>
        <v>0.97873911708834016</v>
      </c>
      <c r="K55" s="3">
        <f t="shared" si="6"/>
        <v>1687</v>
      </c>
      <c r="L55" s="15">
        <f t="shared" si="7"/>
        <v>2358.8630000000003</v>
      </c>
      <c r="M55" s="16">
        <f t="shared" si="8"/>
        <v>759220.25590344821</v>
      </c>
      <c r="N55" s="16">
        <f t="shared" si="9"/>
        <v>578931.03467057436</v>
      </c>
      <c r="O55" s="16">
        <f t="shared" si="0"/>
        <v>518546.14392491418</v>
      </c>
      <c r="P55" s="43">
        <f t="shared" si="1"/>
        <v>0.89569588236011455</v>
      </c>
    </row>
    <row r="56" spans="1:16">
      <c r="A56" s="8">
        <v>5.65</v>
      </c>
      <c r="B56" s="8">
        <v>53387</v>
      </c>
      <c r="C56" s="8">
        <v>0.57999999999999996</v>
      </c>
      <c r="D56" s="8">
        <v>4.4000000000000004</v>
      </c>
      <c r="E56" s="10">
        <v>37330</v>
      </c>
      <c r="F56" s="12">
        <f t="shared" si="2"/>
        <v>2350.7550000000001</v>
      </c>
      <c r="G56" s="12">
        <f t="shared" si="3"/>
        <v>692.56000000000006</v>
      </c>
      <c r="H56" s="12">
        <f t="shared" si="4"/>
        <v>707.60429199999999</v>
      </c>
      <c r="I56" s="9">
        <f t="shared" si="5"/>
        <v>0.97873911708834016</v>
      </c>
      <c r="K56" s="3">
        <f t="shared" si="6"/>
        <v>0</v>
      </c>
      <c r="L56" s="15">
        <f t="shared" si="7"/>
        <v>2350.7550000000001</v>
      </c>
      <c r="M56" s="16">
        <f t="shared" si="8"/>
        <v>756610.62667323626</v>
      </c>
      <c r="N56" s="16">
        <f t="shared" si="9"/>
        <v>576941.104424897</v>
      </c>
      <c r="O56" s="16">
        <f t="shared" si="0"/>
        <v>518546.14392491418</v>
      </c>
      <c r="P56" s="43">
        <f t="shared" si="1"/>
        <v>0.89878523119237319</v>
      </c>
    </row>
    <row r="57" spans="1:16">
      <c r="A57" s="8">
        <v>5.65</v>
      </c>
      <c r="B57" s="8">
        <v>53552</v>
      </c>
      <c r="C57" s="8">
        <v>0.57999999999999996</v>
      </c>
      <c r="D57" s="8">
        <v>4.4000000000000004</v>
      </c>
      <c r="E57" s="10">
        <v>37330</v>
      </c>
      <c r="F57" s="12">
        <f t="shared" si="2"/>
        <v>2350.7550000000001</v>
      </c>
      <c r="G57" s="12">
        <f t="shared" si="3"/>
        <v>692.56000000000006</v>
      </c>
      <c r="H57" s="12">
        <f t="shared" si="4"/>
        <v>707.60429199999999</v>
      </c>
      <c r="I57" s="9">
        <f t="shared" si="5"/>
        <v>0.97873911708834016</v>
      </c>
      <c r="K57" s="3">
        <f t="shared" si="6"/>
        <v>165</v>
      </c>
      <c r="L57" s="15">
        <f t="shared" si="7"/>
        <v>2350.7550000000001</v>
      </c>
      <c r="M57" s="16">
        <f t="shared" si="8"/>
        <v>756610.62667323626</v>
      </c>
      <c r="N57" s="16">
        <f t="shared" si="9"/>
        <v>576941.104424897</v>
      </c>
      <c r="O57" s="16">
        <f t="shared" si="0"/>
        <v>518546.14392491418</v>
      </c>
      <c r="P57" s="43">
        <f t="shared" si="1"/>
        <v>0.89878523119237319</v>
      </c>
    </row>
    <row r="58" spans="1:16">
      <c r="A58" s="8">
        <v>0</v>
      </c>
      <c r="B58" s="8">
        <v>53552</v>
      </c>
      <c r="C58" s="8">
        <v>0.29599999999999999</v>
      </c>
      <c r="D58" s="8">
        <v>2.2400000000000002</v>
      </c>
      <c r="E58" s="10">
        <v>37335</v>
      </c>
      <c r="F58" s="12">
        <f t="shared" si="2"/>
        <v>1205.5</v>
      </c>
      <c r="G58" s="12">
        <f t="shared" si="3"/>
        <v>352.57600000000002</v>
      </c>
      <c r="H58" s="12">
        <f t="shared" si="4"/>
        <v>361.12219040000002</v>
      </c>
      <c r="I58" s="9">
        <f t="shared" si="5"/>
        <v>0.97633435267288959</v>
      </c>
      <c r="K58" s="3">
        <f t="shared" si="6"/>
        <v>0</v>
      </c>
      <c r="L58" s="15">
        <f t="shared" si="7"/>
        <v>1205.5</v>
      </c>
      <c r="M58" s="16">
        <f t="shared" si="8"/>
        <v>388000.49790581595</v>
      </c>
      <c r="N58" s="16">
        <f t="shared" si="9"/>
        <v>295863.45722298301</v>
      </c>
      <c r="O58" s="16">
        <f t="shared" si="0"/>
        <v>250027.19375942071</v>
      </c>
      <c r="P58" s="43">
        <f t="shared" si="1"/>
        <v>0.84507629332196665</v>
      </c>
    </row>
    <row r="59" spans="1:16">
      <c r="A59" s="8">
        <v>0</v>
      </c>
      <c r="B59" s="8">
        <v>53824</v>
      </c>
      <c r="C59" s="8">
        <v>0.29599999999999999</v>
      </c>
      <c r="D59" s="8">
        <v>2.2400000000000002</v>
      </c>
      <c r="E59" s="10">
        <v>37335</v>
      </c>
      <c r="F59" s="12">
        <f t="shared" si="2"/>
        <v>1205.5</v>
      </c>
      <c r="G59" s="12">
        <f t="shared" si="3"/>
        <v>352.57600000000002</v>
      </c>
      <c r="H59" s="12">
        <f t="shared" si="4"/>
        <v>361.12219040000002</v>
      </c>
      <c r="I59" s="9">
        <f t="shared" si="5"/>
        <v>0.97633435267288959</v>
      </c>
      <c r="K59" s="3">
        <f t="shared" si="6"/>
        <v>272</v>
      </c>
      <c r="L59" s="15">
        <f t="shared" si="7"/>
        <v>1205.5</v>
      </c>
      <c r="M59" s="16">
        <f t="shared" si="8"/>
        <v>388000.49790581595</v>
      </c>
      <c r="N59" s="16">
        <f t="shared" si="9"/>
        <v>295863.45722298301</v>
      </c>
      <c r="O59" s="16">
        <f t="shared" si="0"/>
        <v>250027.19375942071</v>
      </c>
      <c r="P59" s="43">
        <f t="shared" si="1"/>
        <v>0.84507629332196665</v>
      </c>
    </row>
    <row r="60" spans="1:16">
      <c r="A60" s="8">
        <v>1</v>
      </c>
      <c r="B60" s="8">
        <v>53960</v>
      </c>
      <c r="C60" s="8">
        <v>0.35199999999999998</v>
      </c>
      <c r="D60" s="8">
        <v>2.64</v>
      </c>
      <c r="E60" s="10">
        <v>37335</v>
      </c>
      <c r="F60" s="12">
        <f t="shared" si="2"/>
        <v>1408.1999999999998</v>
      </c>
      <c r="G60" s="12">
        <f t="shared" si="3"/>
        <v>415.53600000000006</v>
      </c>
      <c r="H60" s="12">
        <f t="shared" si="4"/>
        <v>429.44260480000003</v>
      </c>
      <c r="I60" s="9">
        <f t="shared" si="5"/>
        <v>0.96761708166688176</v>
      </c>
      <c r="K60" s="3">
        <f t="shared" si="6"/>
        <v>136</v>
      </c>
      <c r="L60" s="15">
        <f t="shared" si="7"/>
        <v>1408.1999999999998</v>
      </c>
      <c r="M60" s="16">
        <f t="shared" si="8"/>
        <v>453241.2286611115</v>
      </c>
      <c r="N60" s="16">
        <f t="shared" si="9"/>
        <v>345611.71336491464</v>
      </c>
      <c r="O60" s="16">
        <f t="shared" si="0"/>
        <v>299752.92527154915</v>
      </c>
      <c r="P60" s="43">
        <f t="shared" si="1"/>
        <v>0.86731124461356024</v>
      </c>
    </row>
    <row r="61" spans="1:16">
      <c r="A61" s="8">
        <v>1</v>
      </c>
      <c r="B61" s="8">
        <v>54121</v>
      </c>
      <c r="C61" s="8">
        <v>0.35199999999999998</v>
      </c>
      <c r="D61" s="8">
        <v>2.64</v>
      </c>
      <c r="E61" s="10">
        <v>37335</v>
      </c>
      <c r="F61" s="12">
        <f t="shared" si="2"/>
        <v>1408.1999999999998</v>
      </c>
      <c r="G61" s="12">
        <f t="shared" si="3"/>
        <v>415.53600000000006</v>
      </c>
      <c r="H61" s="12">
        <f t="shared" si="4"/>
        <v>429.44260480000003</v>
      </c>
      <c r="I61" s="9">
        <f t="shared" si="5"/>
        <v>0.96761708166688176</v>
      </c>
      <c r="K61" s="3">
        <f t="shared" si="6"/>
        <v>161</v>
      </c>
      <c r="L61" s="15">
        <f t="shared" si="7"/>
        <v>1408.1999999999998</v>
      </c>
      <c r="M61" s="16">
        <f t="shared" si="8"/>
        <v>453241.2286611115</v>
      </c>
      <c r="N61" s="16">
        <f t="shared" si="9"/>
        <v>345611.71336491464</v>
      </c>
      <c r="O61" s="16">
        <f t="shared" si="0"/>
        <v>299752.92527154915</v>
      </c>
      <c r="P61" s="43">
        <f t="shared" si="1"/>
        <v>0.86731124461356024</v>
      </c>
    </row>
    <row r="62" spans="1:16">
      <c r="A62" s="8">
        <v>2</v>
      </c>
      <c r="B62" s="8">
        <v>54121</v>
      </c>
      <c r="C62" s="8">
        <v>0.40400000000000003</v>
      </c>
      <c r="D62" s="8">
        <v>3.08</v>
      </c>
      <c r="E62" s="10">
        <v>37335</v>
      </c>
      <c r="F62" s="12">
        <f t="shared" si="2"/>
        <v>1610.9</v>
      </c>
      <c r="G62" s="12">
        <f t="shared" si="3"/>
        <v>484.79200000000003</v>
      </c>
      <c r="H62" s="12">
        <f t="shared" si="4"/>
        <v>492.88298960000009</v>
      </c>
      <c r="I62" s="9">
        <f t="shared" si="5"/>
        <v>0.98358436024224272</v>
      </c>
      <c r="K62" s="3">
        <f t="shared" si="6"/>
        <v>0</v>
      </c>
      <c r="L62" s="15">
        <f t="shared" si="7"/>
        <v>1610.9</v>
      </c>
      <c r="M62" s="16">
        <f t="shared" si="8"/>
        <v>518481.95941640722</v>
      </c>
      <c r="N62" s="16">
        <f t="shared" si="9"/>
        <v>395359.96950684639</v>
      </c>
      <c r="O62" s="16">
        <f t="shared" si="0"/>
        <v>354451.22993489041</v>
      </c>
      <c r="P62" s="43">
        <f t="shared" si="1"/>
        <v>0.89652786643275073</v>
      </c>
    </row>
    <row r="63" spans="1:16">
      <c r="A63" s="8">
        <v>2</v>
      </c>
      <c r="B63" s="8">
        <v>54242</v>
      </c>
      <c r="C63" s="8">
        <v>0.40400000000000003</v>
      </c>
      <c r="D63" s="8">
        <v>3.08</v>
      </c>
      <c r="E63" s="10">
        <v>37335</v>
      </c>
      <c r="F63" s="12">
        <f t="shared" si="2"/>
        <v>1610.9</v>
      </c>
      <c r="G63" s="12">
        <f t="shared" si="3"/>
        <v>484.79200000000003</v>
      </c>
      <c r="H63" s="12">
        <f t="shared" si="4"/>
        <v>492.88298960000009</v>
      </c>
      <c r="I63" s="9">
        <f t="shared" si="5"/>
        <v>0.98358436024224272</v>
      </c>
      <c r="K63" s="3">
        <f t="shared" si="6"/>
        <v>121</v>
      </c>
      <c r="L63" s="15">
        <f t="shared" si="7"/>
        <v>1610.9</v>
      </c>
      <c r="M63" s="16">
        <f t="shared" si="8"/>
        <v>518481.95941640722</v>
      </c>
      <c r="N63" s="16">
        <f t="shared" si="9"/>
        <v>395359.96950684639</v>
      </c>
      <c r="O63" s="16">
        <f t="shared" si="0"/>
        <v>354451.22993489041</v>
      </c>
      <c r="P63" s="43">
        <f t="shared" si="1"/>
        <v>0.89652786643275073</v>
      </c>
    </row>
    <row r="64" spans="1:16">
      <c r="A64" s="8">
        <v>3</v>
      </c>
      <c r="B64" s="8">
        <v>54242</v>
      </c>
      <c r="C64" s="8">
        <v>0.45600000000000002</v>
      </c>
      <c r="D64" s="8">
        <v>3.52</v>
      </c>
      <c r="E64" s="10">
        <v>37335</v>
      </c>
      <c r="F64" s="12">
        <f t="shared" si="2"/>
        <v>1813.6000000000001</v>
      </c>
      <c r="G64" s="12">
        <f t="shared" si="3"/>
        <v>554.048</v>
      </c>
      <c r="H64" s="12">
        <f t="shared" si="4"/>
        <v>556.32337440000015</v>
      </c>
      <c r="I64" s="9">
        <f t="shared" si="5"/>
        <v>0.995909978791644</v>
      </c>
      <c r="K64" s="3">
        <f t="shared" si="6"/>
        <v>0</v>
      </c>
      <c r="L64" s="15">
        <f t="shared" si="7"/>
        <v>1813.6000000000001</v>
      </c>
      <c r="M64" s="16">
        <f t="shared" si="8"/>
        <v>583722.69017170288</v>
      </c>
      <c r="N64" s="16">
        <f t="shared" si="9"/>
        <v>445108.22564877814</v>
      </c>
      <c r="O64" s="16">
        <f t="shared" si="0"/>
        <v>409149.53459823166</v>
      </c>
      <c r="P64" s="43">
        <f t="shared" si="1"/>
        <v>0.91921360024714438</v>
      </c>
    </row>
    <row r="65" spans="1:16">
      <c r="A65" s="8">
        <v>3</v>
      </c>
      <c r="B65" s="8">
        <v>54342</v>
      </c>
      <c r="C65" s="8">
        <v>0.45600000000000002</v>
      </c>
      <c r="D65" s="8">
        <v>3.52</v>
      </c>
      <c r="E65" s="10">
        <v>37335</v>
      </c>
      <c r="F65" s="12">
        <f t="shared" si="2"/>
        <v>1813.6000000000001</v>
      </c>
      <c r="G65" s="12">
        <f t="shared" si="3"/>
        <v>554.048</v>
      </c>
      <c r="H65" s="12">
        <f t="shared" si="4"/>
        <v>556.32337440000015</v>
      </c>
      <c r="I65" s="9">
        <f t="shared" si="5"/>
        <v>0.995909978791644</v>
      </c>
      <c r="K65" s="3">
        <f t="shared" si="6"/>
        <v>100</v>
      </c>
      <c r="L65" s="15">
        <f t="shared" si="7"/>
        <v>1813.6000000000001</v>
      </c>
      <c r="M65" s="16">
        <f t="shared" si="8"/>
        <v>583722.69017170288</v>
      </c>
      <c r="N65" s="16">
        <f t="shared" si="9"/>
        <v>445108.22564877814</v>
      </c>
      <c r="O65" s="16">
        <f t="shared" si="0"/>
        <v>409149.53459823166</v>
      </c>
      <c r="P65" s="43">
        <f t="shared" si="1"/>
        <v>0.91921360024714438</v>
      </c>
    </row>
    <row r="66" spans="1:16">
      <c r="A66" s="8">
        <v>4</v>
      </c>
      <c r="B66" s="8">
        <v>54342</v>
      </c>
      <c r="C66" s="8">
        <v>0.504</v>
      </c>
      <c r="D66" s="8">
        <v>3.8</v>
      </c>
      <c r="E66" s="10">
        <v>37335</v>
      </c>
      <c r="F66" s="12">
        <f t="shared" si="2"/>
        <v>2016.3000000000002</v>
      </c>
      <c r="G66" s="12">
        <f t="shared" si="3"/>
        <v>598.12</v>
      </c>
      <c r="H66" s="12">
        <f t="shared" si="4"/>
        <v>614.88372960000004</v>
      </c>
      <c r="I66" s="9">
        <f t="shared" si="5"/>
        <v>0.9727367487656482</v>
      </c>
      <c r="K66" s="3">
        <f t="shared" si="6"/>
        <v>0</v>
      </c>
      <c r="L66" s="15">
        <f t="shared" si="7"/>
        <v>2016.3000000000002</v>
      </c>
      <c r="M66" s="16">
        <f t="shared" si="8"/>
        <v>648963.42092699849</v>
      </c>
      <c r="N66" s="16">
        <f t="shared" si="9"/>
        <v>494856.48179070977</v>
      </c>
      <c r="O66" s="16">
        <f t="shared" si="0"/>
        <v>443957.54665672156</v>
      </c>
      <c r="P66" s="43">
        <f t="shared" si="1"/>
        <v>0.89714404679554149</v>
      </c>
    </row>
    <row r="67" spans="1:16">
      <c r="A67" s="8">
        <v>4</v>
      </c>
      <c r="B67" s="8">
        <v>54481</v>
      </c>
      <c r="C67" s="8">
        <v>0.504</v>
      </c>
      <c r="D67" s="8">
        <v>3.8</v>
      </c>
      <c r="E67" s="10">
        <v>37335</v>
      </c>
      <c r="F67" s="12">
        <f t="shared" si="2"/>
        <v>2016.3000000000002</v>
      </c>
      <c r="G67" s="12">
        <f t="shared" si="3"/>
        <v>598.12</v>
      </c>
      <c r="H67" s="12">
        <f t="shared" si="4"/>
        <v>614.88372960000004</v>
      </c>
      <c r="I67" s="9">
        <f t="shared" si="5"/>
        <v>0.9727367487656482</v>
      </c>
      <c r="K67" s="3">
        <f t="shared" si="6"/>
        <v>139</v>
      </c>
      <c r="L67" s="15">
        <f t="shared" si="7"/>
        <v>2016.3000000000002</v>
      </c>
      <c r="M67" s="16">
        <f t="shared" si="8"/>
        <v>648963.42092699849</v>
      </c>
      <c r="N67" s="16">
        <f t="shared" si="9"/>
        <v>494856.48179070977</v>
      </c>
      <c r="O67" s="16">
        <f t="shared" si="0"/>
        <v>443957.54665672156</v>
      </c>
      <c r="P67" s="43">
        <f t="shared" si="1"/>
        <v>0.89714404679554149</v>
      </c>
    </row>
    <row r="68" spans="1:16">
      <c r="A68" s="8">
        <v>5</v>
      </c>
      <c r="B68" s="8">
        <v>54481</v>
      </c>
      <c r="C68" s="8">
        <v>0.55600000000000005</v>
      </c>
      <c r="D68" s="8">
        <v>4.28</v>
      </c>
      <c r="E68" s="10">
        <v>37335</v>
      </c>
      <c r="F68" s="12">
        <f t="shared" si="2"/>
        <v>2219.0000000000005</v>
      </c>
      <c r="G68" s="12">
        <f t="shared" si="3"/>
        <v>673.67200000000003</v>
      </c>
      <c r="H68" s="12">
        <f t="shared" si="4"/>
        <v>678.3241144000001</v>
      </c>
      <c r="I68" s="9">
        <f t="shared" si="5"/>
        <v>0.993141752885912</v>
      </c>
      <c r="K68" s="3">
        <f t="shared" si="6"/>
        <v>0</v>
      </c>
      <c r="L68" s="15">
        <f t="shared" si="7"/>
        <v>2219.0000000000005</v>
      </c>
      <c r="M68" s="16">
        <f t="shared" si="8"/>
        <v>714204.15168229421</v>
      </c>
      <c r="N68" s="16">
        <f t="shared" si="9"/>
        <v>544604.73793264152</v>
      </c>
      <c r="O68" s="16">
        <f t="shared" si="0"/>
        <v>503628.42447127565</v>
      </c>
      <c r="P68" s="43">
        <f t="shared" si="1"/>
        <v>0.92475953548087941</v>
      </c>
    </row>
    <row r="69" spans="1:16">
      <c r="A69" s="8">
        <v>5</v>
      </c>
      <c r="B69" s="8">
        <v>54619</v>
      </c>
      <c r="C69" s="8">
        <v>0.55600000000000005</v>
      </c>
      <c r="D69" s="8">
        <v>4.28</v>
      </c>
      <c r="E69" s="10">
        <v>37335</v>
      </c>
      <c r="F69" s="12">
        <f t="shared" si="2"/>
        <v>2219.0000000000005</v>
      </c>
      <c r="G69" s="12">
        <f t="shared" si="3"/>
        <v>673.67200000000003</v>
      </c>
      <c r="H69" s="12">
        <f t="shared" si="4"/>
        <v>678.3241144000001</v>
      </c>
      <c r="I69" s="9">
        <f t="shared" si="5"/>
        <v>0.993141752885912</v>
      </c>
      <c r="K69" s="3">
        <f t="shared" si="6"/>
        <v>138</v>
      </c>
      <c r="L69" s="15">
        <f t="shared" si="7"/>
        <v>2219.0000000000005</v>
      </c>
      <c r="M69" s="16">
        <f t="shared" si="8"/>
        <v>714204.15168229421</v>
      </c>
      <c r="N69" s="16">
        <f t="shared" si="9"/>
        <v>544604.73793264152</v>
      </c>
      <c r="O69" s="16">
        <f t="shared" si="0"/>
        <v>503628.42447127565</v>
      </c>
      <c r="P69" s="43">
        <f t="shared" si="1"/>
        <v>0.92475953548087941</v>
      </c>
    </row>
    <row r="70" spans="1:16">
      <c r="A70" s="8">
        <v>6</v>
      </c>
      <c r="B70" s="8">
        <v>54619</v>
      </c>
      <c r="C70" s="8">
        <v>0.60399999999999998</v>
      </c>
      <c r="D70" s="8">
        <v>4.6399999999999997</v>
      </c>
      <c r="E70" s="10">
        <v>37335</v>
      </c>
      <c r="F70" s="12">
        <f t="shared" si="2"/>
        <v>2421.6999999999998</v>
      </c>
      <c r="G70" s="12">
        <f t="shared" si="3"/>
        <v>730.33600000000001</v>
      </c>
      <c r="H70" s="12">
        <f t="shared" si="4"/>
        <v>736.88446959999999</v>
      </c>
      <c r="I70" s="9">
        <f t="shared" si="5"/>
        <v>0.99111330219300908</v>
      </c>
      <c r="K70" s="3">
        <f t="shared" si="6"/>
        <v>0</v>
      </c>
      <c r="L70" s="15">
        <f t="shared" si="7"/>
        <v>2421.6999999999998</v>
      </c>
      <c r="M70" s="16">
        <f t="shared" si="8"/>
        <v>779444.88243758969</v>
      </c>
      <c r="N70" s="16">
        <f t="shared" si="9"/>
        <v>594352.99407457304</v>
      </c>
      <c r="O70" s="16">
        <f t="shared" si="0"/>
        <v>548381.58283219126</v>
      </c>
      <c r="P70" s="43">
        <f t="shared" si="1"/>
        <v>0.92265301647220477</v>
      </c>
    </row>
    <row r="71" spans="1:16">
      <c r="A71" s="8">
        <v>6</v>
      </c>
      <c r="B71" s="8">
        <v>54899</v>
      </c>
      <c r="C71" s="8">
        <v>0.60399999999999998</v>
      </c>
      <c r="D71" s="8">
        <v>4.6399999999999997</v>
      </c>
      <c r="E71" s="10">
        <v>37335</v>
      </c>
      <c r="F71" s="12">
        <f t="shared" si="2"/>
        <v>2421.6999999999998</v>
      </c>
      <c r="G71" s="12">
        <f t="shared" si="3"/>
        <v>730.33600000000001</v>
      </c>
      <c r="H71" s="12">
        <f t="shared" si="4"/>
        <v>736.88446959999999</v>
      </c>
      <c r="I71" s="9">
        <f t="shared" si="5"/>
        <v>0.99111330219300908</v>
      </c>
      <c r="K71" s="3">
        <f t="shared" si="6"/>
        <v>280</v>
      </c>
      <c r="L71" s="15">
        <f t="shared" si="7"/>
        <v>2421.6999999999998</v>
      </c>
      <c r="M71" s="16">
        <f t="shared" si="8"/>
        <v>779444.88243758969</v>
      </c>
      <c r="N71" s="16">
        <f t="shared" si="9"/>
        <v>594352.99407457304</v>
      </c>
      <c r="O71" s="16">
        <f t="shared" si="0"/>
        <v>548381.58283219126</v>
      </c>
      <c r="P71" s="43">
        <f t="shared" si="1"/>
        <v>0.92265301647220477</v>
      </c>
    </row>
    <row r="72" spans="1:16">
      <c r="A72" s="8">
        <v>6.4</v>
      </c>
      <c r="B72" s="8">
        <v>57110</v>
      </c>
      <c r="C72" s="8">
        <v>0.628</v>
      </c>
      <c r="D72" s="8">
        <v>4.76</v>
      </c>
      <c r="E72" s="10">
        <v>37335</v>
      </c>
      <c r="F72" s="12">
        <f t="shared" si="2"/>
        <v>2502.7800000000002</v>
      </c>
      <c r="G72" s="12">
        <f t="shared" si="3"/>
        <v>749.22400000000005</v>
      </c>
      <c r="H72" s="12">
        <f t="shared" si="4"/>
        <v>766.16464719999999</v>
      </c>
      <c r="I72" s="9">
        <f t="shared" si="5"/>
        <v>0.97788902520899301</v>
      </c>
      <c r="K72" s="3">
        <f t="shared" si="6"/>
        <v>2211</v>
      </c>
      <c r="L72" s="15">
        <f t="shared" si="7"/>
        <v>2502.7800000000002</v>
      </c>
      <c r="M72" s="16">
        <f t="shared" si="8"/>
        <v>805541.17473970808</v>
      </c>
      <c r="N72" s="16">
        <f t="shared" si="9"/>
        <v>614252.29653134581</v>
      </c>
      <c r="O72" s="16">
        <f t="shared" si="0"/>
        <v>563299.30228582979</v>
      </c>
      <c r="P72" s="43">
        <f t="shared" si="1"/>
        <v>0.91704875255128027</v>
      </c>
    </row>
    <row r="73" spans="1:16">
      <c r="A73" s="8">
        <v>6.4</v>
      </c>
      <c r="B73" s="8">
        <v>57110</v>
      </c>
      <c r="C73" s="8">
        <v>0.628</v>
      </c>
      <c r="D73" s="8">
        <v>4.76</v>
      </c>
      <c r="E73" s="10">
        <v>37335</v>
      </c>
      <c r="F73" s="12">
        <f t="shared" si="2"/>
        <v>2502.7800000000002</v>
      </c>
      <c r="G73" s="12">
        <f t="shared" si="3"/>
        <v>749.22400000000005</v>
      </c>
      <c r="H73" s="12">
        <f t="shared" si="4"/>
        <v>766.16464719999999</v>
      </c>
      <c r="I73" s="9">
        <f t="shared" si="5"/>
        <v>0.97788902520899301</v>
      </c>
      <c r="K73" s="3">
        <f t="shared" si="6"/>
        <v>0</v>
      </c>
      <c r="L73" s="15">
        <f t="shared" si="7"/>
        <v>2502.7800000000002</v>
      </c>
      <c r="M73" s="16">
        <f t="shared" si="8"/>
        <v>805541.17473970808</v>
      </c>
      <c r="N73" s="16">
        <f t="shared" si="9"/>
        <v>614252.29653134581</v>
      </c>
      <c r="O73" s="16">
        <f>1000*(D73*1000-228.75)*8/64.353</f>
        <v>563299.30228582979</v>
      </c>
      <c r="P73" s="43">
        <f>IF(O73/N73&gt;0.5,O73/N73,"")</f>
        <v>0.91704875255128027</v>
      </c>
    </row>
    <row r="74" spans="1:16">
      <c r="A74" s="8">
        <v>6.35</v>
      </c>
      <c r="B74" s="8">
        <v>57170</v>
      </c>
      <c r="C74" s="8">
        <v>0.62</v>
      </c>
      <c r="D74" s="8">
        <v>4.76</v>
      </c>
      <c r="E74" s="10">
        <v>37336</v>
      </c>
      <c r="F74" s="12">
        <f>(0.2027*A74+1.2055)*1000</f>
        <v>2492.645</v>
      </c>
      <c r="G74" s="12">
        <f>D74*157.4</f>
        <v>749.22400000000005</v>
      </c>
      <c r="H74" s="12">
        <f>C74*7.751*157.4</f>
        <v>756.4045880000001</v>
      </c>
      <c r="I74" s="9">
        <f>G74/H74</f>
        <v>0.99050694811491535</v>
      </c>
      <c r="K74" s="3">
        <f>B74-B73</f>
        <v>60</v>
      </c>
      <c r="L74" s="15">
        <f>F74</f>
        <v>2492.645</v>
      </c>
      <c r="M74" s="16">
        <f>8*F74/($D$3*SQRT($G$2^2-$G$1^2))</f>
        <v>802279.13820194325</v>
      </c>
      <c r="N74" s="16">
        <f>M74*(EXP(-$G$1*$G$3))*SIN(SQRT($G$2^2-$G$1^2)*$G$3)</f>
        <v>611764.88372424932</v>
      </c>
      <c r="O74" s="16">
        <f>1000*(D74*1000-228.75)*8/64.353</f>
        <v>563299.30228582979</v>
      </c>
      <c r="P74" s="43">
        <f>IF(O74/N74&gt;0.5,O74/N74,"")</f>
        <v>0.920777437986674</v>
      </c>
    </row>
    <row r="75" spans="1:16">
      <c r="A75" s="8">
        <v>6.35</v>
      </c>
      <c r="B75" s="8">
        <v>71950</v>
      </c>
      <c r="C75" s="8">
        <v>0.62</v>
      </c>
      <c r="D75" s="8">
        <v>4.72</v>
      </c>
      <c r="E75" s="10">
        <v>37337</v>
      </c>
      <c r="F75" s="12">
        <f>(0.2027*A75+1.2055)*1000</f>
        <v>2492.645</v>
      </c>
      <c r="G75" s="12">
        <f>D75*157.4</f>
        <v>742.928</v>
      </c>
      <c r="H75" s="12">
        <f>C75*7.751*157.4</f>
        <v>756.4045880000001</v>
      </c>
      <c r="I75" s="9">
        <f>G75/H75</f>
        <v>0.98218336031563036</v>
      </c>
      <c r="K75" s="3">
        <f>B75-B74</f>
        <v>14780</v>
      </c>
      <c r="L75" s="15">
        <f>F75</f>
        <v>2492.645</v>
      </c>
      <c r="M75" s="16">
        <f>8*F75/($D$3*SQRT($G$2^2-$G$1^2))</f>
        <v>802279.13820194325</v>
      </c>
      <c r="N75" s="16">
        <f>M75*(EXP(-$G$1*$G$3))*SIN(SQRT($G$2^2-$G$1^2)*$G$3)</f>
        <v>611764.88372424932</v>
      </c>
      <c r="O75" s="16">
        <f>1000*(D75*1000-228.75)*8/64.353</f>
        <v>558326.72913461691</v>
      </c>
      <c r="P75" s="43">
        <f>IF(O75/N75&gt;0.5,O75/N75,"")</f>
        <v>0.9126491957754812</v>
      </c>
    </row>
    <row r="76" spans="1:16">
      <c r="A76" s="8"/>
      <c r="B76" s="4"/>
      <c r="E76" s="3" t="s">
        <v>12</v>
      </c>
      <c r="F76" s="15">
        <f>MAX(F7:F75)</f>
        <v>2502.7800000000002</v>
      </c>
      <c r="K76" s="3">
        <f>SUM(K8:K75)</f>
        <v>71950</v>
      </c>
      <c r="O76" s="16">
        <f>1000*(D76*1000-228.75)*8/64.353</f>
        <v>-28436.902708498441</v>
      </c>
      <c r="P76" s="43"/>
    </row>
    <row r="77" spans="1:16">
      <c r="O77" s="3" t="s">
        <v>12</v>
      </c>
      <c r="P77" s="43">
        <f>MAX(P8:P76)</f>
        <v>0.92475953548087941</v>
      </c>
    </row>
    <row r="78" spans="1:16">
      <c r="O78" s="3" t="s">
        <v>53</v>
      </c>
      <c r="P78" s="43">
        <f>MIN(P8:P77)</f>
        <v>0.82826930675496668</v>
      </c>
    </row>
    <row r="80" spans="1:16">
      <c r="A80" s="3" t="s">
        <v>5</v>
      </c>
      <c r="B80" s="3" t="s">
        <v>13</v>
      </c>
      <c r="C80" s="3" t="s">
        <v>24</v>
      </c>
      <c r="D80" s="3" t="s">
        <v>14</v>
      </c>
    </row>
    <row r="81" spans="1:4">
      <c r="A81" s="3">
        <v>2470</v>
      </c>
      <c r="B81" s="3">
        <v>1205.5</v>
      </c>
      <c r="C81" s="3">
        <v>388000.49790581595</v>
      </c>
      <c r="D81" s="3">
        <v>295863.45722298301</v>
      </c>
    </row>
    <row r="82" spans="1:4">
      <c r="A82" s="3">
        <v>1626</v>
      </c>
      <c r="B82" s="3">
        <v>1408.2</v>
      </c>
      <c r="C82" s="3">
        <v>453241.2286611115</v>
      </c>
      <c r="D82" s="3">
        <v>345611.71336491464</v>
      </c>
    </row>
    <row r="83" spans="1:4">
      <c r="A83" s="3">
        <v>569</v>
      </c>
      <c r="B83" s="3">
        <v>1610.9</v>
      </c>
      <c r="C83" s="3">
        <v>518481.95941640722</v>
      </c>
      <c r="D83" s="3">
        <v>395359.96950684639</v>
      </c>
    </row>
    <row r="84" spans="1:4">
      <c r="A84" s="3">
        <v>640</v>
      </c>
      <c r="B84" s="3">
        <v>1813.6</v>
      </c>
      <c r="C84" s="3">
        <v>583722.69017170288</v>
      </c>
      <c r="D84" s="3">
        <v>445108.22564877814</v>
      </c>
    </row>
    <row r="85" spans="1:4">
      <c r="A85" s="3">
        <v>1238</v>
      </c>
      <c r="B85" s="3">
        <v>2016.3</v>
      </c>
      <c r="C85" s="3">
        <v>648963.42092699849</v>
      </c>
      <c r="D85" s="3">
        <v>494856.48179070977</v>
      </c>
    </row>
    <row r="86" spans="1:4">
      <c r="A86" s="3">
        <v>625</v>
      </c>
      <c r="B86" s="3">
        <v>2117.65</v>
      </c>
      <c r="C86" s="3">
        <v>681583.78630464629</v>
      </c>
      <c r="D86" s="3">
        <v>519730.60986167559</v>
      </c>
    </row>
    <row r="87" spans="1:4">
      <c r="A87" s="3">
        <v>808</v>
      </c>
      <c r="B87" s="3">
        <v>2219</v>
      </c>
      <c r="C87" s="3">
        <v>714204.15168229421</v>
      </c>
      <c r="D87" s="3">
        <v>544604.73793264152</v>
      </c>
    </row>
    <row r="88" spans="1:4">
      <c r="A88" s="3">
        <v>34696</v>
      </c>
      <c r="B88" s="3">
        <v>2320.35</v>
      </c>
      <c r="C88" s="3">
        <v>746824.51705994189</v>
      </c>
      <c r="D88" s="3">
        <v>569478.86600360728</v>
      </c>
    </row>
    <row r="89" spans="1:4">
      <c r="A89" s="3">
        <v>9865</v>
      </c>
      <c r="B89" s="3">
        <v>2350.7550000000001</v>
      </c>
      <c r="C89" s="3">
        <v>756610.62667323626</v>
      </c>
      <c r="D89" s="3">
        <v>576941.104424897</v>
      </c>
    </row>
    <row r="90" spans="1:4">
      <c r="A90" s="3">
        <v>1687</v>
      </c>
      <c r="B90" s="3">
        <v>2358.8630000000003</v>
      </c>
      <c r="C90" s="3">
        <v>759220.25590344821</v>
      </c>
      <c r="D90" s="3">
        <v>578931.03467057436</v>
      </c>
    </row>
    <row r="91" spans="1:4">
      <c r="A91" s="3">
        <v>350</v>
      </c>
      <c r="B91" s="3">
        <v>2360.89</v>
      </c>
      <c r="C91" s="3">
        <v>759872.66321100097</v>
      </c>
      <c r="D91" s="3">
        <v>579428.51723199361</v>
      </c>
    </row>
    <row r="92" spans="1:4">
      <c r="A92" s="3">
        <v>45</v>
      </c>
      <c r="B92" s="3">
        <v>2381.16</v>
      </c>
      <c r="C92" s="3">
        <v>766396.7362865305</v>
      </c>
      <c r="D92" s="3">
        <v>584403.34284618672</v>
      </c>
    </row>
    <row r="93" spans="1:4">
      <c r="A93" s="3">
        <v>280</v>
      </c>
      <c r="B93" s="3">
        <v>2421.6999999999998</v>
      </c>
      <c r="C93" s="3">
        <v>779444.88243758969</v>
      </c>
      <c r="D93" s="3">
        <v>594352.99407457304</v>
      </c>
    </row>
    <row r="94" spans="1:4">
      <c r="A94" s="3">
        <v>14840</v>
      </c>
      <c r="B94" s="3">
        <v>2492.645</v>
      </c>
      <c r="C94" s="3">
        <v>802279.13820194325</v>
      </c>
      <c r="D94" s="3">
        <v>611764.88372424932</v>
      </c>
    </row>
    <row r="95" spans="1:4">
      <c r="A95" s="3">
        <v>2211</v>
      </c>
      <c r="B95" s="3">
        <v>2502.7800000000002</v>
      </c>
      <c r="C95" s="3">
        <v>805541.17473970808</v>
      </c>
      <c r="D95" s="3">
        <v>614252.29653134581</v>
      </c>
    </row>
    <row r="96" spans="1:4">
      <c r="A96" s="3">
        <f>MAX(A81:A95)</f>
        <v>34696</v>
      </c>
    </row>
  </sheetData>
  <phoneticPr fontId="0" type="noConversion"/>
  <pageMargins left="0.75" right="0.75" top="1" bottom="1" header="0.5" footer="0.5"/>
  <pageSetup scale="45" orientation="portrait" horizontalDpi="355" verticalDpi="355" r:id="rId1"/>
  <headerFooter alignWithMargins="0"/>
  <drawing r:id="rId2"/>
  <legacyDrawing r:id="rId3"/>
  <oleObjects>
    <mc:AlternateContent xmlns:mc="http://schemas.openxmlformats.org/markup-compatibility/2006">
      <mc:Choice Requires="x14">
        <oleObject progId="Mathcad" shapeId="2049"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2049" r:id="rId4"/>
      </mc:Fallback>
    </mc:AlternateContent>
    <mc:AlternateContent xmlns:mc="http://schemas.openxmlformats.org/markup-compatibility/2006">
      <mc:Choice Requires="x14">
        <oleObject progId="Mathcad" shapeId="2050"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2050" r:id="rId6"/>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56"/>
  <sheetViews>
    <sheetView workbookViewId="0">
      <selection activeCell="P8" sqref="P8"/>
    </sheetView>
  </sheetViews>
  <sheetFormatPr defaultColWidth="9" defaultRowHeight="13.2"/>
  <cols>
    <col min="1" max="9" width="9" style="3"/>
    <col min="10" max="10" width="9.33203125" style="13" customWidth="1"/>
    <col min="11" max="16384" width="9" style="3"/>
  </cols>
  <sheetData>
    <row r="1" spans="1:16" s="1" customFormat="1">
      <c r="A1" s="1" t="s">
        <v>6</v>
      </c>
      <c r="C1" s="19" t="s">
        <v>10</v>
      </c>
      <c r="D1" s="1">
        <v>382.0499831138128</v>
      </c>
      <c r="E1" s="1" t="s">
        <v>11</v>
      </c>
      <c r="F1" s="7" t="s">
        <v>20</v>
      </c>
      <c r="G1" s="17">
        <f>D4/(2*D3)</f>
        <v>1485.8075040783035</v>
      </c>
      <c r="H1" s="1" t="s">
        <v>26</v>
      </c>
      <c r="J1" s="13"/>
    </row>
    <row r="2" spans="1:16">
      <c r="C2" s="18" t="s">
        <v>15</v>
      </c>
      <c r="D2" s="3">
        <v>385</v>
      </c>
      <c r="E2" s="3" t="s">
        <v>11</v>
      </c>
      <c r="F2" s="18" t="s">
        <v>21</v>
      </c>
      <c r="G2" s="3">
        <f>SQRT(1/(D3*D5))</f>
        <v>8244.4965742557415</v>
      </c>
      <c r="H2" s="3" t="s">
        <v>26</v>
      </c>
    </row>
    <row r="3" spans="1:16">
      <c r="C3" s="18" t="s">
        <v>16</v>
      </c>
      <c r="D3" s="16">
        <v>3.0649999999999999E-6</v>
      </c>
      <c r="E3" s="3" t="s">
        <v>17</v>
      </c>
      <c r="F3" s="18" t="s">
        <v>25</v>
      </c>
      <c r="G3" s="16">
        <v>1.7249999999999999E-4</v>
      </c>
      <c r="H3" s="3" t="s">
        <v>27</v>
      </c>
    </row>
    <row r="4" spans="1:16">
      <c r="C4" s="18" t="s">
        <v>18</v>
      </c>
      <c r="D4" s="16">
        <v>9.1079999999999998E-3</v>
      </c>
      <c r="E4" s="3" t="s">
        <v>19</v>
      </c>
    </row>
    <row r="5" spans="1:16">
      <c r="C5" s="18" t="s">
        <v>22</v>
      </c>
      <c r="D5" s="16">
        <v>4.7999999999999996E-3</v>
      </c>
      <c r="E5" s="3" t="s">
        <v>23</v>
      </c>
    </row>
    <row r="6" spans="1:16" s="6" customFormat="1" ht="92.4">
      <c r="A6" s="2" t="s">
        <v>0</v>
      </c>
      <c r="B6" s="2" t="s">
        <v>5</v>
      </c>
      <c r="C6" s="2" t="s">
        <v>1</v>
      </c>
      <c r="D6" s="2" t="s">
        <v>2</v>
      </c>
      <c r="E6" s="2" t="s">
        <v>3</v>
      </c>
      <c r="F6" s="2" t="s">
        <v>9</v>
      </c>
      <c r="G6" s="2" t="s">
        <v>7</v>
      </c>
      <c r="H6" s="2" t="s">
        <v>8</v>
      </c>
      <c r="I6" s="2" t="s">
        <v>4</v>
      </c>
      <c r="J6" s="14"/>
      <c r="K6" s="5" t="s">
        <v>5</v>
      </c>
      <c r="L6" s="5" t="s">
        <v>13</v>
      </c>
      <c r="M6" s="5" t="s">
        <v>24</v>
      </c>
      <c r="N6" s="5" t="s">
        <v>14</v>
      </c>
      <c r="O6" s="6" t="s">
        <v>52</v>
      </c>
      <c r="P6" s="6" t="s">
        <v>54</v>
      </c>
    </row>
    <row r="7" spans="1:16">
      <c r="A7" s="8">
        <v>0</v>
      </c>
      <c r="B7" s="8">
        <v>0</v>
      </c>
      <c r="C7" s="5">
        <v>0.32</v>
      </c>
      <c r="D7" s="9">
        <v>2.16</v>
      </c>
      <c r="E7" s="10">
        <v>37552</v>
      </c>
      <c r="F7" s="12">
        <f>(0.2027*A7+1.2055)*1000</f>
        <v>1205.5</v>
      </c>
      <c r="G7" s="12">
        <f>D7*157.4</f>
        <v>339.98400000000004</v>
      </c>
      <c r="H7" s="12">
        <f>C7*7.751*157.4</f>
        <v>390.40236800000008</v>
      </c>
      <c r="I7" s="9">
        <f>G7/H7</f>
        <v>0.87085537350019349</v>
      </c>
    </row>
    <row r="8" spans="1:16">
      <c r="A8" s="8">
        <v>0</v>
      </c>
      <c r="B8" s="8">
        <v>500</v>
      </c>
      <c r="C8" s="11">
        <v>0.32</v>
      </c>
      <c r="D8" s="9">
        <v>2.16</v>
      </c>
      <c r="E8" s="10">
        <v>37552</v>
      </c>
      <c r="F8" s="12">
        <f>(0.2027*A8+1.2055)*1000</f>
        <v>1205.5</v>
      </c>
      <c r="G8" s="12">
        <f>D8*157.4</f>
        <v>339.98400000000004</v>
      </c>
      <c r="H8" s="12">
        <f>C8*7.751*157.4</f>
        <v>390.40236800000008</v>
      </c>
      <c r="I8" s="9">
        <f>G8/H8</f>
        <v>0.87085537350019349</v>
      </c>
      <c r="K8" s="3">
        <f>B8-B7</f>
        <v>500</v>
      </c>
      <c r="L8" s="15">
        <f>F8</f>
        <v>1205.5</v>
      </c>
      <c r="M8" s="16">
        <f>8*F8/($D$3*SQRT($G$2^2-$G$1^2))</f>
        <v>388000.49790581595</v>
      </c>
      <c r="N8" s="16">
        <f>M8*(EXP(-$G$1*$G$3))*SIN(SQRT($G$2^2-$G$1^2)*$G$3)</f>
        <v>295850.8868571535</v>
      </c>
      <c r="O8" s="16">
        <f>1000*(D8*1000-228.75)*8/64.353</f>
        <v>240082.04745699503</v>
      </c>
      <c r="P8" s="43">
        <f>O8/N8</f>
        <v>0.81149679829391386</v>
      </c>
    </row>
    <row r="9" spans="1:16">
      <c r="A9" s="8">
        <v>1</v>
      </c>
      <c r="B9" s="8">
        <v>500</v>
      </c>
      <c r="C9" s="11">
        <v>0.376</v>
      </c>
      <c r="D9" s="9">
        <v>2.6</v>
      </c>
      <c r="E9" s="10">
        <v>37552</v>
      </c>
      <c r="F9" s="12">
        <f t="shared" ref="F9:F40" si="0">(0.2027*A9+1.2055)*1000</f>
        <v>1408.1999999999998</v>
      </c>
      <c r="G9" s="12">
        <f t="shared" ref="G9:G40" si="1">D9*157.4</f>
        <v>409.24</v>
      </c>
      <c r="H9" s="12">
        <f t="shared" ref="H9:H40" si="2">C9*7.751*157.4</f>
        <v>458.72278240000009</v>
      </c>
      <c r="I9" s="9">
        <f t="shared" ref="I9:I40" si="3">G9/H9</f>
        <v>0.89212922423187657</v>
      </c>
      <c r="K9" s="3">
        <f t="shared" ref="K9:K40" si="4">B9-B8</f>
        <v>0</v>
      </c>
      <c r="L9" s="15">
        <f t="shared" ref="L9:L40" si="5">F9</f>
        <v>1408.1999999999998</v>
      </c>
      <c r="M9" s="16">
        <f t="shared" ref="M9:M40" si="6">8*F9/($D$3*SQRT($G$2^2-$G$1^2))</f>
        <v>453241.2286611115</v>
      </c>
      <c r="N9" s="16">
        <f t="shared" ref="N9:N40" si="7">M9*(EXP(-$G$1*$G$3))*SIN(SQRT($G$2^2-$G$1^2)*$G$3)</f>
        <v>345597.02934238361</v>
      </c>
      <c r="O9" s="16">
        <f t="shared" ref="O9:O40" si="8">1000*(D9*1000-228.75)*8/64.353</f>
        <v>294780.35212033632</v>
      </c>
      <c r="P9" s="43">
        <f t="shared" ref="P9:P40" si="9">O9/N9</f>
        <v>0.85295973950139736</v>
      </c>
    </row>
    <row r="10" spans="1:16">
      <c r="A10" s="8">
        <v>1</v>
      </c>
      <c r="B10" s="8">
        <v>825</v>
      </c>
      <c r="C10" s="11">
        <v>0.376</v>
      </c>
      <c r="D10" s="9">
        <v>2.6</v>
      </c>
      <c r="E10" s="10">
        <v>37552</v>
      </c>
      <c r="F10" s="12">
        <f t="shared" si="0"/>
        <v>1408.1999999999998</v>
      </c>
      <c r="G10" s="12">
        <f t="shared" si="1"/>
        <v>409.24</v>
      </c>
      <c r="H10" s="12">
        <f t="shared" si="2"/>
        <v>458.72278240000009</v>
      </c>
      <c r="I10" s="9">
        <f t="shared" si="3"/>
        <v>0.89212922423187657</v>
      </c>
      <c r="K10" s="3">
        <f t="shared" si="4"/>
        <v>325</v>
      </c>
      <c r="L10" s="15">
        <f t="shared" si="5"/>
        <v>1408.1999999999998</v>
      </c>
      <c r="M10" s="16">
        <f t="shared" si="6"/>
        <v>453241.2286611115</v>
      </c>
      <c r="N10" s="16">
        <f t="shared" si="7"/>
        <v>345597.02934238361</v>
      </c>
      <c r="O10" s="16">
        <f t="shared" si="8"/>
        <v>294780.35212033632</v>
      </c>
      <c r="P10" s="43">
        <f t="shared" si="9"/>
        <v>0.85295973950139736</v>
      </c>
    </row>
    <row r="11" spans="1:16">
      <c r="A11" s="8">
        <v>2</v>
      </c>
      <c r="B11" s="8">
        <v>825</v>
      </c>
      <c r="C11" s="11">
        <v>0.44</v>
      </c>
      <c r="D11" s="9">
        <v>3</v>
      </c>
      <c r="E11" s="10">
        <v>37552</v>
      </c>
      <c r="F11" s="12">
        <f t="shared" si="0"/>
        <v>1610.9</v>
      </c>
      <c r="G11" s="12">
        <f t="shared" si="1"/>
        <v>472.20000000000005</v>
      </c>
      <c r="H11" s="12">
        <f t="shared" si="2"/>
        <v>536.80325600000003</v>
      </c>
      <c r="I11" s="9">
        <f t="shared" si="3"/>
        <v>0.87965189242443798</v>
      </c>
      <c r="K11" s="3">
        <f t="shared" si="4"/>
        <v>0</v>
      </c>
      <c r="L11" s="15">
        <f t="shared" si="5"/>
        <v>1610.9</v>
      </c>
      <c r="M11" s="16">
        <f t="shared" si="6"/>
        <v>518481.95941640722</v>
      </c>
      <c r="N11" s="16">
        <f t="shared" si="7"/>
        <v>395343.1718276139</v>
      </c>
      <c r="O11" s="16">
        <f t="shared" si="8"/>
        <v>344506.0836324647</v>
      </c>
      <c r="P11" s="43">
        <f t="shared" si="9"/>
        <v>0.87141022833368598</v>
      </c>
    </row>
    <row r="12" spans="1:16">
      <c r="A12" s="8">
        <v>2</v>
      </c>
      <c r="B12" s="8">
        <v>1000</v>
      </c>
      <c r="C12" s="11">
        <v>0.44</v>
      </c>
      <c r="D12" s="9">
        <v>3</v>
      </c>
      <c r="E12" s="10">
        <v>37552</v>
      </c>
      <c r="F12" s="12">
        <f t="shared" si="0"/>
        <v>1610.9</v>
      </c>
      <c r="G12" s="12">
        <f t="shared" si="1"/>
        <v>472.20000000000005</v>
      </c>
      <c r="H12" s="12">
        <f t="shared" si="2"/>
        <v>536.80325600000003</v>
      </c>
      <c r="I12" s="9">
        <f t="shared" si="3"/>
        <v>0.87965189242443798</v>
      </c>
      <c r="K12" s="3">
        <f t="shared" si="4"/>
        <v>175</v>
      </c>
      <c r="L12" s="15">
        <f t="shared" si="5"/>
        <v>1610.9</v>
      </c>
      <c r="M12" s="16">
        <f t="shared" si="6"/>
        <v>518481.95941640722</v>
      </c>
      <c r="N12" s="16">
        <f t="shared" si="7"/>
        <v>395343.1718276139</v>
      </c>
      <c r="O12" s="16">
        <f t="shared" si="8"/>
        <v>344506.0836324647</v>
      </c>
      <c r="P12" s="43">
        <f t="shared" si="9"/>
        <v>0.87141022833368598</v>
      </c>
    </row>
    <row r="13" spans="1:16">
      <c r="A13" s="8">
        <v>3</v>
      </c>
      <c r="B13" s="8">
        <v>1000</v>
      </c>
      <c r="C13" s="11">
        <v>0.496</v>
      </c>
      <c r="D13" s="9">
        <v>3.4</v>
      </c>
      <c r="E13" s="10">
        <v>37552</v>
      </c>
      <c r="F13" s="12">
        <f t="shared" si="0"/>
        <v>1813.6000000000001</v>
      </c>
      <c r="G13" s="12">
        <f t="shared" si="1"/>
        <v>535.16</v>
      </c>
      <c r="H13" s="12">
        <f t="shared" si="2"/>
        <v>605.12367040000004</v>
      </c>
      <c r="I13" s="9">
        <f t="shared" si="3"/>
        <v>0.8843812036740315</v>
      </c>
      <c r="K13" s="3">
        <f t="shared" si="4"/>
        <v>0</v>
      </c>
      <c r="L13" s="15">
        <f t="shared" si="5"/>
        <v>1813.6000000000001</v>
      </c>
      <c r="M13" s="16">
        <f t="shared" si="6"/>
        <v>583722.69017170288</v>
      </c>
      <c r="N13" s="16">
        <f t="shared" si="7"/>
        <v>445089.31431284407</v>
      </c>
      <c r="O13" s="16">
        <f t="shared" si="8"/>
        <v>394231.81514459313</v>
      </c>
      <c r="P13" s="43">
        <f t="shared" si="9"/>
        <v>0.88573641843824569</v>
      </c>
    </row>
    <row r="14" spans="1:16">
      <c r="A14" s="8">
        <v>3</v>
      </c>
      <c r="B14" s="8">
        <v>1340</v>
      </c>
      <c r="C14" s="11">
        <v>0.496</v>
      </c>
      <c r="D14" s="9">
        <v>3.4</v>
      </c>
      <c r="E14" s="10">
        <v>37552</v>
      </c>
      <c r="F14" s="12">
        <f t="shared" si="0"/>
        <v>1813.6000000000001</v>
      </c>
      <c r="G14" s="12">
        <f t="shared" si="1"/>
        <v>535.16</v>
      </c>
      <c r="H14" s="12">
        <f t="shared" si="2"/>
        <v>605.12367040000004</v>
      </c>
      <c r="I14" s="9">
        <f t="shared" si="3"/>
        <v>0.8843812036740315</v>
      </c>
      <c r="K14" s="3">
        <f t="shared" si="4"/>
        <v>340</v>
      </c>
      <c r="L14" s="15">
        <f t="shared" si="5"/>
        <v>1813.6000000000001</v>
      </c>
      <c r="M14" s="16">
        <f t="shared" si="6"/>
        <v>583722.69017170288</v>
      </c>
      <c r="N14" s="16">
        <f t="shared" si="7"/>
        <v>445089.31431284407</v>
      </c>
      <c r="O14" s="16">
        <f t="shared" si="8"/>
        <v>394231.81514459313</v>
      </c>
      <c r="P14" s="43">
        <f t="shared" si="9"/>
        <v>0.88573641843824569</v>
      </c>
    </row>
    <row r="15" spans="1:16">
      <c r="A15" s="8">
        <v>4</v>
      </c>
      <c r="B15" s="8">
        <v>1340</v>
      </c>
      <c r="C15" s="11">
        <v>0.54400000000000004</v>
      </c>
      <c r="D15" s="9">
        <v>3.68</v>
      </c>
      <c r="E15" s="10">
        <v>37552</v>
      </c>
      <c r="F15" s="12">
        <f t="shared" si="0"/>
        <v>2016.3000000000002</v>
      </c>
      <c r="G15" s="12">
        <f t="shared" si="1"/>
        <v>579.23200000000008</v>
      </c>
      <c r="H15" s="12">
        <f t="shared" si="2"/>
        <v>663.68402560000015</v>
      </c>
      <c r="I15" s="9">
        <f t="shared" si="3"/>
        <v>0.87275266189561873</v>
      </c>
      <c r="K15" s="3">
        <f t="shared" si="4"/>
        <v>0</v>
      </c>
      <c r="L15" s="15">
        <f t="shared" si="5"/>
        <v>2016.3000000000002</v>
      </c>
      <c r="M15" s="16">
        <f t="shared" si="6"/>
        <v>648963.42092699849</v>
      </c>
      <c r="N15" s="16">
        <f t="shared" si="7"/>
        <v>494835.45679807424</v>
      </c>
      <c r="O15" s="16">
        <f t="shared" si="8"/>
        <v>429039.82720308303</v>
      </c>
      <c r="P15" s="43">
        <f t="shared" si="9"/>
        <v>0.8670353373205425</v>
      </c>
    </row>
    <row r="16" spans="1:16">
      <c r="A16" s="8">
        <v>4</v>
      </c>
      <c r="B16" s="8">
        <v>1575</v>
      </c>
      <c r="C16" s="11">
        <v>0.54400000000000004</v>
      </c>
      <c r="D16" s="9">
        <v>3.68</v>
      </c>
      <c r="E16" s="10">
        <v>37552</v>
      </c>
      <c r="F16" s="12">
        <f t="shared" si="0"/>
        <v>2016.3000000000002</v>
      </c>
      <c r="G16" s="12">
        <f t="shared" si="1"/>
        <v>579.23200000000008</v>
      </c>
      <c r="H16" s="12">
        <f t="shared" si="2"/>
        <v>663.68402560000015</v>
      </c>
      <c r="I16" s="9">
        <f t="shared" si="3"/>
        <v>0.87275266189561873</v>
      </c>
      <c r="K16" s="3">
        <f t="shared" si="4"/>
        <v>235</v>
      </c>
      <c r="L16" s="15">
        <f t="shared" si="5"/>
        <v>2016.3000000000002</v>
      </c>
      <c r="M16" s="16">
        <f t="shared" si="6"/>
        <v>648963.42092699849</v>
      </c>
      <c r="N16" s="16">
        <f t="shared" si="7"/>
        <v>494835.45679807424</v>
      </c>
      <c r="O16" s="16">
        <f t="shared" si="8"/>
        <v>429039.82720308303</v>
      </c>
      <c r="P16" s="43">
        <f t="shared" si="9"/>
        <v>0.8670353373205425</v>
      </c>
    </row>
    <row r="17" spans="1:16">
      <c r="A17" s="8">
        <v>5</v>
      </c>
      <c r="B17" s="8">
        <v>1575</v>
      </c>
      <c r="C17" s="11">
        <v>0.59199999999999997</v>
      </c>
      <c r="D17" s="9">
        <v>4.08</v>
      </c>
      <c r="E17" s="10">
        <v>37552</v>
      </c>
      <c r="F17" s="12">
        <f t="shared" si="0"/>
        <v>2219.0000000000005</v>
      </c>
      <c r="G17" s="12">
        <f t="shared" si="1"/>
        <v>642.19200000000001</v>
      </c>
      <c r="H17" s="12">
        <f t="shared" si="2"/>
        <v>722.24438080000004</v>
      </c>
      <c r="I17" s="9">
        <f t="shared" si="3"/>
        <v>0.88916164261281017</v>
      </c>
      <c r="K17" s="3">
        <f t="shared" si="4"/>
        <v>0</v>
      </c>
      <c r="L17" s="15">
        <f t="shared" si="5"/>
        <v>2219.0000000000005</v>
      </c>
      <c r="M17" s="16">
        <f t="shared" si="6"/>
        <v>714204.15168229421</v>
      </c>
      <c r="N17" s="16">
        <f t="shared" si="7"/>
        <v>544581.59928330453</v>
      </c>
      <c r="O17" s="16">
        <f t="shared" si="8"/>
        <v>478765.55871521146</v>
      </c>
      <c r="P17" s="43">
        <f t="shared" si="9"/>
        <v>0.87914384060219786</v>
      </c>
    </row>
    <row r="18" spans="1:16">
      <c r="A18" s="8">
        <v>5</v>
      </c>
      <c r="B18" s="8">
        <v>1725</v>
      </c>
      <c r="C18" s="11">
        <v>0.59199999999999997</v>
      </c>
      <c r="D18" s="9">
        <v>4.08</v>
      </c>
      <c r="E18" s="10">
        <v>37552</v>
      </c>
      <c r="F18" s="12">
        <f t="shared" si="0"/>
        <v>2219.0000000000005</v>
      </c>
      <c r="G18" s="12">
        <f t="shared" si="1"/>
        <v>642.19200000000001</v>
      </c>
      <c r="H18" s="12">
        <f t="shared" si="2"/>
        <v>722.24438080000004</v>
      </c>
      <c r="I18" s="9">
        <f t="shared" si="3"/>
        <v>0.88916164261281017</v>
      </c>
      <c r="K18" s="3">
        <f t="shared" si="4"/>
        <v>150</v>
      </c>
      <c r="L18" s="15">
        <f t="shared" si="5"/>
        <v>2219.0000000000005</v>
      </c>
      <c r="M18" s="16">
        <f t="shared" si="6"/>
        <v>714204.15168229421</v>
      </c>
      <c r="N18" s="16">
        <f t="shared" si="7"/>
        <v>544581.59928330453</v>
      </c>
      <c r="O18" s="16">
        <f t="shared" si="8"/>
        <v>478765.55871521146</v>
      </c>
      <c r="P18" s="43">
        <f t="shared" si="9"/>
        <v>0.87914384060219786</v>
      </c>
    </row>
    <row r="19" spans="1:16">
      <c r="A19" s="8">
        <v>5.6</v>
      </c>
      <c r="B19" s="8">
        <v>1725</v>
      </c>
      <c r="C19" s="11">
        <v>0.624</v>
      </c>
      <c r="D19" s="9">
        <v>4.32</v>
      </c>
      <c r="E19" s="10">
        <v>37552</v>
      </c>
      <c r="F19" s="12">
        <f t="shared" si="0"/>
        <v>2340.62</v>
      </c>
      <c r="G19" s="12">
        <f t="shared" si="1"/>
        <v>679.96800000000007</v>
      </c>
      <c r="H19" s="12">
        <f t="shared" si="2"/>
        <v>761.28461760000005</v>
      </c>
      <c r="I19" s="9">
        <f t="shared" si="3"/>
        <v>0.89318499846173705</v>
      </c>
      <c r="K19" s="3">
        <f t="shared" si="4"/>
        <v>0</v>
      </c>
      <c r="L19" s="15">
        <f t="shared" si="5"/>
        <v>2340.62</v>
      </c>
      <c r="M19" s="16">
        <f t="shared" si="6"/>
        <v>753348.59013547143</v>
      </c>
      <c r="N19" s="16">
        <f t="shared" si="7"/>
        <v>574429.28477444255</v>
      </c>
      <c r="O19" s="16">
        <f t="shared" si="8"/>
        <v>508600.99762248853</v>
      </c>
      <c r="P19" s="43">
        <f t="shared" si="9"/>
        <v>0.88540227858020437</v>
      </c>
    </row>
    <row r="20" spans="1:16">
      <c r="A20" s="8">
        <v>5.6</v>
      </c>
      <c r="B20" s="8">
        <v>2228</v>
      </c>
      <c r="C20" s="11">
        <v>0.624</v>
      </c>
      <c r="D20" s="9">
        <v>4.32</v>
      </c>
      <c r="E20" s="10">
        <v>37552</v>
      </c>
      <c r="F20" s="12">
        <f t="shared" si="0"/>
        <v>2340.62</v>
      </c>
      <c r="G20" s="12">
        <f t="shared" si="1"/>
        <v>679.96800000000007</v>
      </c>
      <c r="H20" s="12">
        <f t="shared" si="2"/>
        <v>761.28461760000005</v>
      </c>
      <c r="I20" s="9">
        <f t="shared" si="3"/>
        <v>0.89318499846173705</v>
      </c>
      <c r="K20" s="3">
        <f t="shared" si="4"/>
        <v>503</v>
      </c>
      <c r="L20" s="15">
        <f t="shared" si="5"/>
        <v>2340.62</v>
      </c>
      <c r="M20" s="16">
        <f t="shared" si="6"/>
        <v>753348.59013547143</v>
      </c>
      <c r="N20" s="16">
        <f t="shared" si="7"/>
        <v>574429.28477444255</v>
      </c>
      <c r="O20" s="16">
        <f t="shared" si="8"/>
        <v>508600.99762248853</v>
      </c>
      <c r="P20" s="43">
        <f t="shared" si="9"/>
        <v>0.88540227858020437</v>
      </c>
    </row>
    <row r="21" spans="1:16">
      <c r="A21" s="8">
        <v>5.9</v>
      </c>
      <c r="B21" s="8">
        <v>2228</v>
      </c>
      <c r="C21" s="11">
        <v>0.64</v>
      </c>
      <c r="D21" s="8">
        <v>4.4000000000000004</v>
      </c>
      <c r="E21" s="10">
        <v>37552</v>
      </c>
      <c r="F21" s="12">
        <f t="shared" si="0"/>
        <v>2401.4299999999998</v>
      </c>
      <c r="G21" s="12">
        <f t="shared" si="1"/>
        <v>692.56000000000006</v>
      </c>
      <c r="H21" s="12">
        <f t="shared" si="2"/>
        <v>780.80473600000016</v>
      </c>
      <c r="I21" s="9">
        <f t="shared" si="3"/>
        <v>0.88698232486130812</v>
      </c>
      <c r="K21" s="3">
        <f t="shared" si="4"/>
        <v>0</v>
      </c>
      <c r="L21" s="15">
        <f t="shared" si="5"/>
        <v>2401.4299999999998</v>
      </c>
      <c r="M21" s="16">
        <f t="shared" si="6"/>
        <v>772920.80936206016</v>
      </c>
      <c r="N21" s="16">
        <f t="shared" si="7"/>
        <v>589353.12752001162</v>
      </c>
      <c r="O21" s="16">
        <f t="shared" si="8"/>
        <v>518546.14392491418</v>
      </c>
      <c r="P21" s="43">
        <f t="shared" si="9"/>
        <v>0.87985643871433739</v>
      </c>
    </row>
    <row r="22" spans="1:16">
      <c r="A22" s="8">
        <v>5.9</v>
      </c>
      <c r="B22" s="8">
        <v>3025</v>
      </c>
      <c r="C22" s="11">
        <v>0.64</v>
      </c>
      <c r="D22" s="8">
        <v>4.4000000000000004</v>
      </c>
      <c r="E22" s="10">
        <v>37552</v>
      </c>
      <c r="F22" s="12">
        <f t="shared" si="0"/>
        <v>2401.4299999999998</v>
      </c>
      <c r="G22" s="12">
        <f t="shared" si="1"/>
        <v>692.56000000000006</v>
      </c>
      <c r="H22" s="12">
        <f t="shared" si="2"/>
        <v>780.80473600000016</v>
      </c>
      <c r="I22" s="9">
        <f t="shared" si="3"/>
        <v>0.88698232486130812</v>
      </c>
      <c r="K22" s="3">
        <f t="shared" si="4"/>
        <v>797</v>
      </c>
      <c r="L22" s="15">
        <f t="shared" si="5"/>
        <v>2401.4299999999998</v>
      </c>
      <c r="M22" s="16">
        <f t="shared" si="6"/>
        <v>772920.80936206016</v>
      </c>
      <c r="N22" s="16">
        <f t="shared" si="7"/>
        <v>589353.12752001162</v>
      </c>
      <c r="O22" s="16">
        <f t="shared" si="8"/>
        <v>518546.14392491418</v>
      </c>
      <c r="P22" s="43">
        <f t="shared" si="9"/>
        <v>0.87985643871433739</v>
      </c>
    </row>
    <row r="23" spans="1:16">
      <c r="A23" s="8">
        <v>5.8</v>
      </c>
      <c r="B23" s="8">
        <v>3025</v>
      </c>
      <c r="C23" s="8">
        <v>0.64</v>
      </c>
      <c r="D23" s="8">
        <v>4.4000000000000004</v>
      </c>
      <c r="E23" s="10">
        <v>37552</v>
      </c>
      <c r="F23" s="12">
        <f t="shared" si="0"/>
        <v>2381.16</v>
      </c>
      <c r="G23" s="12">
        <f t="shared" si="1"/>
        <v>692.56000000000006</v>
      </c>
      <c r="H23" s="12">
        <f t="shared" si="2"/>
        <v>780.80473600000016</v>
      </c>
      <c r="I23" s="9">
        <f t="shared" si="3"/>
        <v>0.88698232486130812</v>
      </c>
      <c r="K23" s="3">
        <f t="shared" si="4"/>
        <v>0</v>
      </c>
      <c r="L23" s="15">
        <f t="shared" si="5"/>
        <v>2381.16</v>
      </c>
      <c r="M23" s="16">
        <f t="shared" si="6"/>
        <v>766396.7362865305</v>
      </c>
      <c r="N23" s="16">
        <f t="shared" si="7"/>
        <v>584378.51327148848</v>
      </c>
      <c r="O23" s="16">
        <f t="shared" si="8"/>
        <v>518546.14392491418</v>
      </c>
      <c r="P23" s="43">
        <f t="shared" si="9"/>
        <v>0.88734635539895335</v>
      </c>
    </row>
    <row r="24" spans="1:16">
      <c r="A24" s="8">
        <v>5.8</v>
      </c>
      <c r="B24" s="8">
        <v>3747</v>
      </c>
      <c r="C24" s="8">
        <v>0.64</v>
      </c>
      <c r="D24" s="8">
        <v>4.4000000000000004</v>
      </c>
      <c r="E24" s="10">
        <v>37552</v>
      </c>
      <c r="F24" s="12">
        <f t="shared" si="0"/>
        <v>2381.16</v>
      </c>
      <c r="G24" s="12">
        <f t="shared" si="1"/>
        <v>692.56000000000006</v>
      </c>
      <c r="H24" s="12">
        <f t="shared" si="2"/>
        <v>780.80473600000016</v>
      </c>
      <c r="I24" s="9">
        <f t="shared" si="3"/>
        <v>0.88698232486130812</v>
      </c>
      <c r="K24" s="3">
        <f t="shared" si="4"/>
        <v>722</v>
      </c>
      <c r="L24" s="15">
        <f t="shared" si="5"/>
        <v>2381.16</v>
      </c>
      <c r="M24" s="16">
        <f t="shared" si="6"/>
        <v>766396.7362865305</v>
      </c>
      <c r="N24" s="16">
        <f t="shared" si="7"/>
        <v>584378.51327148848</v>
      </c>
      <c r="O24" s="16">
        <f t="shared" si="8"/>
        <v>518546.14392491418</v>
      </c>
      <c r="P24" s="43">
        <f t="shared" si="9"/>
        <v>0.88734635539895335</v>
      </c>
    </row>
    <row r="25" spans="1:16">
      <c r="A25" s="8">
        <v>5.5</v>
      </c>
      <c r="B25" s="8">
        <v>3747</v>
      </c>
      <c r="C25" s="8">
        <v>0.624</v>
      </c>
      <c r="D25" s="8">
        <v>4.24</v>
      </c>
      <c r="E25" s="10">
        <v>37552</v>
      </c>
      <c r="F25" s="12">
        <f t="shared" si="0"/>
        <v>2320.35</v>
      </c>
      <c r="G25" s="12">
        <f t="shared" si="1"/>
        <v>667.37600000000009</v>
      </c>
      <c r="H25" s="12">
        <f t="shared" si="2"/>
        <v>761.28461760000005</v>
      </c>
      <c r="I25" s="9">
        <f t="shared" si="3"/>
        <v>0.8766445355272604</v>
      </c>
      <c r="K25" s="3">
        <f t="shared" si="4"/>
        <v>0</v>
      </c>
      <c r="L25" s="15">
        <f t="shared" si="5"/>
        <v>2320.35</v>
      </c>
      <c r="M25" s="16">
        <f t="shared" si="6"/>
        <v>746824.51705994189</v>
      </c>
      <c r="N25" s="16">
        <f t="shared" si="7"/>
        <v>569454.67052591953</v>
      </c>
      <c r="O25" s="16">
        <f t="shared" si="8"/>
        <v>498655.85132006282</v>
      </c>
      <c r="P25" s="43">
        <f t="shared" si="9"/>
        <v>0.87567259894370431</v>
      </c>
    </row>
    <row r="26" spans="1:16">
      <c r="A26" s="8">
        <v>5.5</v>
      </c>
      <c r="B26" s="8">
        <v>33400</v>
      </c>
      <c r="C26" s="8">
        <v>0.64</v>
      </c>
      <c r="D26" s="8">
        <v>4.16</v>
      </c>
      <c r="E26" s="10">
        <v>37553</v>
      </c>
      <c r="F26" s="12">
        <f t="shared" si="0"/>
        <v>2320.35</v>
      </c>
      <c r="G26" s="12">
        <f t="shared" si="1"/>
        <v>654.78399999999999</v>
      </c>
      <c r="H26" s="12">
        <f t="shared" si="2"/>
        <v>780.80473600000016</v>
      </c>
      <c r="I26" s="9">
        <f t="shared" si="3"/>
        <v>0.83860147077796399</v>
      </c>
      <c r="K26" s="3">
        <f t="shared" si="4"/>
        <v>29653</v>
      </c>
      <c r="L26" s="15">
        <f t="shared" si="5"/>
        <v>2320.35</v>
      </c>
      <c r="M26" s="16">
        <f t="shared" si="6"/>
        <v>746824.51705994189</v>
      </c>
      <c r="N26" s="16">
        <f t="shared" si="7"/>
        <v>569454.67052591953</v>
      </c>
      <c r="O26" s="16">
        <f t="shared" si="8"/>
        <v>488710.70501763711</v>
      </c>
      <c r="P26" s="43">
        <f t="shared" si="9"/>
        <v>0.85820826540291373</v>
      </c>
    </row>
    <row r="27" spans="1:16">
      <c r="A27" s="8">
        <v>5.3</v>
      </c>
      <c r="B27" s="8">
        <v>33400</v>
      </c>
      <c r="C27" s="8">
        <v>0.624</v>
      </c>
      <c r="D27" s="8">
        <v>4.08</v>
      </c>
      <c r="E27" s="10">
        <v>37553</v>
      </c>
      <c r="F27" s="12">
        <f t="shared" si="0"/>
        <v>2279.81</v>
      </c>
      <c r="G27" s="12">
        <f t="shared" si="1"/>
        <v>642.19200000000001</v>
      </c>
      <c r="H27" s="12">
        <f t="shared" si="2"/>
        <v>761.28461760000005</v>
      </c>
      <c r="I27" s="9">
        <f t="shared" si="3"/>
        <v>0.84356360965830712</v>
      </c>
      <c r="K27" s="3">
        <f t="shared" si="4"/>
        <v>0</v>
      </c>
      <c r="L27" s="15">
        <f t="shared" si="5"/>
        <v>2279.81</v>
      </c>
      <c r="M27" s="16">
        <f t="shared" si="6"/>
        <v>733776.37090888282</v>
      </c>
      <c r="N27" s="16">
        <f t="shared" si="7"/>
        <v>559505.44202887348</v>
      </c>
      <c r="O27" s="16">
        <f t="shared" si="8"/>
        <v>478765.55871521146</v>
      </c>
      <c r="P27" s="43">
        <f t="shared" si="9"/>
        <v>0.85569419482162001</v>
      </c>
    </row>
    <row r="28" spans="1:16">
      <c r="A28" s="8">
        <v>5.3</v>
      </c>
      <c r="B28" s="8">
        <v>46694</v>
      </c>
      <c r="C28" s="8">
        <v>0.624</v>
      </c>
      <c r="D28" s="8">
        <v>4.08</v>
      </c>
      <c r="E28" s="10">
        <v>37553</v>
      </c>
      <c r="F28" s="12">
        <f t="shared" si="0"/>
        <v>2279.81</v>
      </c>
      <c r="G28" s="12">
        <f t="shared" si="1"/>
        <v>642.19200000000001</v>
      </c>
      <c r="H28" s="12">
        <f t="shared" si="2"/>
        <v>761.28461760000005</v>
      </c>
      <c r="I28" s="9">
        <f t="shared" si="3"/>
        <v>0.84356360965830712</v>
      </c>
      <c r="K28" s="3">
        <f t="shared" si="4"/>
        <v>13294</v>
      </c>
      <c r="L28" s="15">
        <f t="shared" si="5"/>
        <v>2279.81</v>
      </c>
      <c r="M28" s="16">
        <f t="shared" si="6"/>
        <v>733776.37090888282</v>
      </c>
      <c r="N28" s="16">
        <f t="shared" si="7"/>
        <v>559505.44202887348</v>
      </c>
      <c r="O28" s="16">
        <f t="shared" si="8"/>
        <v>478765.55871521146</v>
      </c>
      <c r="P28" s="43">
        <f t="shared" si="9"/>
        <v>0.85569419482162001</v>
      </c>
    </row>
    <row r="29" spans="1:16">
      <c r="A29" s="8">
        <v>1</v>
      </c>
      <c r="B29" s="8">
        <v>46694</v>
      </c>
      <c r="C29" s="8">
        <v>0.39200000000000002</v>
      </c>
      <c r="D29" s="8">
        <v>2.64</v>
      </c>
      <c r="E29" s="10">
        <v>37553</v>
      </c>
      <c r="F29" s="12">
        <f t="shared" si="0"/>
        <v>1408.1999999999998</v>
      </c>
      <c r="G29" s="12">
        <f t="shared" si="1"/>
        <v>415.53600000000006</v>
      </c>
      <c r="H29" s="12">
        <f t="shared" si="2"/>
        <v>478.24290080000009</v>
      </c>
      <c r="I29" s="9">
        <f t="shared" si="3"/>
        <v>0.86888064476209781</v>
      </c>
      <c r="K29" s="3">
        <f t="shared" si="4"/>
        <v>0</v>
      </c>
      <c r="L29" s="15">
        <f t="shared" si="5"/>
        <v>1408.1999999999998</v>
      </c>
      <c r="M29" s="16">
        <f t="shared" si="6"/>
        <v>453241.2286611115</v>
      </c>
      <c r="N29" s="16">
        <f t="shared" si="7"/>
        <v>345597.02934238361</v>
      </c>
      <c r="O29" s="16">
        <f t="shared" si="8"/>
        <v>299752.92527154915</v>
      </c>
      <c r="P29" s="43">
        <f t="shared" si="9"/>
        <v>0.86734809567643412</v>
      </c>
    </row>
    <row r="30" spans="1:16">
      <c r="A30" s="8">
        <v>1</v>
      </c>
      <c r="B30" s="8">
        <v>46796</v>
      </c>
      <c r="C30" s="8">
        <v>0.39200000000000002</v>
      </c>
      <c r="D30" s="8">
        <v>2.64</v>
      </c>
      <c r="E30" s="10">
        <v>37554</v>
      </c>
      <c r="F30" s="12">
        <f t="shared" si="0"/>
        <v>1408.1999999999998</v>
      </c>
      <c r="G30" s="12">
        <f t="shared" si="1"/>
        <v>415.53600000000006</v>
      </c>
      <c r="H30" s="12">
        <f t="shared" si="2"/>
        <v>478.24290080000009</v>
      </c>
      <c r="I30" s="9">
        <f t="shared" si="3"/>
        <v>0.86888064476209781</v>
      </c>
      <c r="K30" s="3">
        <f t="shared" si="4"/>
        <v>102</v>
      </c>
      <c r="L30" s="15">
        <f t="shared" si="5"/>
        <v>1408.1999999999998</v>
      </c>
      <c r="M30" s="16">
        <f t="shared" si="6"/>
        <v>453241.2286611115</v>
      </c>
      <c r="N30" s="16">
        <f t="shared" si="7"/>
        <v>345597.02934238361</v>
      </c>
      <c r="O30" s="16">
        <f t="shared" si="8"/>
        <v>299752.92527154915</v>
      </c>
      <c r="P30" s="43">
        <f t="shared" si="9"/>
        <v>0.86734809567643412</v>
      </c>
    </row>
    <row r="31" spans="1:16">
      <c r="A31" s="8">
        <v>2</v>
      </c>
      <c r="B31" s="8">
        <v>46796</v>
      </c>
      <c r="C31" s="8">
        <v>0.44800000000000001</v>
      </c>
      <c r="D31" s="8">
        <v>3.04</v>
      </c>
      <c r="E31" s="10">
        <v>37554</v>
      </c>
      <c r="F31" s="12">
        <f t="shared" si="0"/>
        <v>1610.9</v>
      </c>
      <c r="G31" s="12">
        <f t="shared" si="1"/>
        <v>478.49600000000004</v>
      </c>
      <c r="H31" s="12">
        <f t="shared" si="2"/>
        <v>546.56331520000003</v>
      </c>
      <c r="I31" s="9">
        <f t="shared" si="3"/>
        <v>0.8754630738890834</v>
      </c>
      <c r="K31" s="3">
        <f t="shared" si="4"/>
        <v>0</v>
      </c>
      <c r="L31" s="15">
        <f t="shared" si="5"/>
        <v>1610.9</v>
      </c>
      <c r="M31" s="16">
        <f t="shared" si="6"/>
        <v>518481.95941640722</v>
      </c>
      <c r="N31" s="16">
        <f t="shared" si="7"/>
        <v>395343.1718276139</v>
      </c>
      <c r="O31" s="16">
        <f t="shared" si="8"/>
        <v>349478.65678367758</v>
      </c>
      <c r="P31" s="43">
        <f t="shared" si="9"/>
        <v>0.88398809360507902</v>
      </c>
    </row>
    <row r="32" spans="1:16">
      <c r="A32" s="8">
        <v>2</v>
      </c>
      <c r="B32" s="8">
        <v>46869</v>
      </c>
      <c r="C32" s="8">
        <v>0.44800000000000001</v>
      </c>
      <c r="D32" s="8">
        <v>3.04</v>
      </c>
      <c r="E32" s="10">
        <v>37554</v>
      </c>
      <c r="F32" s="12">
        <f t="shared" si="0"/>
        <v>1610.9</v>
      </c>
      <c r="G32" s="12">
        <f t="shared" si="1"/>
        <v>478.49600000000004</v>
      </c>
      <c r="H32" s="12">
        <f t="shared" si="2"/>
        <v>546.56331520000003</v>
      </c>
      <c r="I32" s="9">
        <f t="shared" si="3"/>
        <v>0.8754630738890834</v>
      </c>
      <c r="K32" s="3">
        <f t="shared" si="4"/>
        <v>73</v>
      </c>
      <c r="L32" s="15">
        <f t="shared" si="5"/>
        <v>1610.9</v>
      </c>
      <c r="M32" s="16">
        <f t="shared" si="6"/>
        <v>518481.95941640722</v>
      </c>
      <c r="N32" s="16">
        <f t="shared" si="7"/>
        <v>395343.1718276139</v>
      </c>
      <c r="O32" s="16">
        <f t="shared" si="8"/>
        <v>349478.65678367758</v>
      </c>
      <c r="P32" s="43">
        <f t="shared" si="9"/>
        <v>0.88398809360507902</v>
      </c>
    </row>
    <row r="33" spans="1:16">
      <c r="A33" s="8">
        <v>3</v>
      </c>
      <c r="B33" s="8">
        <v>46869</v>
      </c>
      <c r="C33" s="8">
        <v>0.504</v>
      </c>
      <c r="D33" s="8">
        <v>3.28</v>
      </c>
      <c r="E33" s="10">
        <v>37554</v>
      </c>
      <c r="F33" s="12">
        <f t="shared" si="0"/>
        <v>1813.6000000000001</v>
      </c>
      <c r="G33" s="12">
        <f t="shared" si="1"/>
        <v>516.27199999999993</v>
      </c>
      <c r="H33" s="12">
        <f t="shared" si="2"/>
        <v>614.88372960000004</v>
      </c>
      <c r="I33" s="9">
        <f t="shared" si="3"/>
        <v>0.83962540419771725</v>
      </c>
      <c r="K33" s="3">
        <f t="shared" si="4"/>
        <v>0</v>
      </c>
      <c r="L33" s="15">
        <f t="shared" si="5"/>
        <v>1813.6000000000001</v>
      </c>
      <c r="M33" s="16">
        <f t="shared" si="6"/>
        <v>583722.69017170288</v>
      </c>
      <c r="N33" s="16">
        <f t="shared" si="7"/>
        <v>445089.31431284407</v>
      </c>
      <c r="O33" s="16">
        <f t="shared" si="8"/>
        <v>379314.09569095459</v>
      </c>
      <c r="P33" s="43">
        <f t="shared" si="9"/>
        <v>0.85222018029474089</v>
      </c>
    </row>
    <row r="34" spans="1:16">
      <c r="A34" s="8">
        <v>3</v>
      </c>
      <c r="B34" s="8">
        <v>46949</v>
      </c>
      <c r="C34" s="8">
        <v>0.504</v>
      </c>
      <c r="D34" s="8">
        <v>3.28</v>
      </c>
      <c r="E34" s="10">
        <v>37554</v>
      </c>
      <c r="F34" s="12">
        <f t="shared" si="0"/>
        <v>1813.6000000000001</v>
      </c>
      <c r="G34" s="12">
        <f t="shared" si="1"/>
        <v>516.27199999999993</v>
      </c>
      <c r="H34" s="12">
        <f t="shared" si="2"/>
        <v>614.88372960000004</v>
      </c>
      <c r="I34" s="9">
        <f t="shared" si="3"/>
        <v>0.83962540419771725</v>
      </c>
      <c r="K34" s="3">
        <f t="shared" si="4"/>
        <v>80</v>
      </c>
      <c r="L34" s="15">
        <f t="shared" si="5"/>
        <v>1813.6000000000001</v>
      </c>
      <c r="M34" s="16">
        <f t="shared" si="6"/>
        <v>583722.69017170288</v>
      </c>
      <c r="N34" s="16">
        <f t="shared" si="7"/>
        <v>445089.31431284407</v>
      </c>
      <c r="O34" s="16">
        <f t="shared" si="8"/>
        <v>379314.09569095459</v>
      </c>
      <c r="P34" s="43">
        <f t="shared" si="9"/>
        <v>0.85222018029474089</v>
      </c>
    </row>
    <row r="35" spans="1:16">
      <c r="A35" s="8">
        <v>4</v>
      </c>
      <c r="B35" s="8">
        <v>46949</v>
      </c>
      <c r="C35" s="8">
        <v>0.56000000000000005</v>
      </c>
      <c r="D35" s="8">
        <v>3.84</v>
      </c>
      <c r="E35" s="10">
        <v>37554</v>
      </c>
      <c r="F35" s="12">
        <f t="shared" si="0"/>
        <v>2016.3000000000002</v>
      </c>
      <c r="G35" s="12">
        <f t="shared" si="1"/>
        <v>604.41600000000005</v>
      </c>
      <c r="H35" s="12">
        <f t="shared" si="2"/>
        <v>683.20414400000016</v>
      </c>
      <c r="I35" s="9">
        <f t="shared" si="3"/>
        <v>0.88467847466686311</v>
      </c>
      <c r="K35" s="3">
        <f t="shared" si="4"/>
        <v>0</v>
      </c>
      <c r="L35" s="15">
        <f t="shared" si="5"/>
        <v>2016.3000000000002</v>
      </c>
      <c r="M35" s="16">
        <f t="shared" si="6"/>
        <v>648963.42092699849</v>
      </c>
      <c r="N35" s="16">
        <f t="shared" si="7"/>
        <v>494835.45679807424</v>
      </c>
      <c r="O35" s="16">
        <f t="shared" si="8"/>
        <v>448930.11980793439</v>
      </c>
      <c r="P35" s="43">
        <f t="shared" si="9"/>
        <v>0.90723110811990115</v>
      </c>
    </row>
    <row r="36" spans="1:16">
      <c r="A36" s="8">
        <v>4</v>
      </c>
      <c r="B36" s="8">
        <v>47032</v>
      </c>
      <c r="C36" s="8">
        <v>0.56000000000000005</v>
      </c>
      <c r="D36" s="8">
        <v>3.84</v>
      </c>
      <c r="E36" s="10">
        <v>37554</v>
      </c>
      <c r="F36" s="12">
        <f t="shared" si="0"/>
        <v>2016.3000000000002</v>
      </c>
      <c r="G36" s="12">
        <f t="shared" si="1"/>
        <v>604.41600000000005</v>
      </c>
      <c r="H36" s="12">
        <f t="shared" si="2"/>
        <v>683.20414400000016</v>
      </c>
      <c r="I36" s="9">
        <f t="shared" si="3"/>
        <v>0.88467847466686311</v>
      </c>
      <c r="K36" s="3">
        <f t="shared" si="4"/>
        <v>83</v>
      </c>
      <c r="L36" s="15">
        <f t="shared" si="5"/>
        <v>2016.3000000000002</v>
      </c>
      <c r="M36" s="16">
        <f t="shared" si="6"/>
        <v>648963.42092699849</v>
      </c>
      <c r="N36" s="16">
        <f t="shared" si="7"/>
        <v>494835.45679807424</v>
      </c>
      <c r="O36" s="16">
        <f t="shared" si="8"/>
        <v>448930.11980793439</v>
      </c>
      <c r="P36" s="43">
        <f t="shared" si="9"/>
        <v>0.90723110811990115</v>
      </c>
    </row>
    <row r="37" spans="1:16">
      <c r="A37" s="8">
        <v>5</v>
      </c>
      <c r="B37" s="8">
        <v>47032</v>
      </c>
      <c r="C37" s="8">
        <v>0.61599999999999999</v>
      </c>
      <c r="D37" s="8">
        <v>4.08</v>
      </c>
      <c r="E37" s="10">
        <v>37554</v>
      </c>
      <c r="F37" s="12">
        <f t="shared" si="0"/>
        <v>2219.0000000000005</v>
      </c>
      <c r="G37" s="12">
        <f t="shared" si="1"/>
        <v>642.19200000000001</v>
      </c>
      <c r="H37" s="12">
        <f t="shared" si="2"/>
        <v>751.52455840000005</v>
      </c>
      <c r="I37" s="9">
        <f t="shared" si="3"/>
        <v>0.85451898121231107</v>
      </c>
      <c r="K37" s="3">
        <f t="shared" si="4"/>
        <v>0</v>
      </c>
      <c r="L37" s="15">
        <f t="shared" si="5"/>
        <v>2219.0000000000005</v>
      </c>
      <c r="M37" s="16">
        <f t="shared" si="6"/>
        <v>714204.15168229421</v>
      </c>
      <c r="N37" s="16">
        <f t="shared" si="7"/>
        <v>544581.59928330453</v>
      </c>
      <c r="O37" s="16">
        <f t="shared" si="8"/>
        <v>478765.55871521146</v>
      </c>
      <c r="P37" s="43">
        <f t="shared" si="9"/>
        <v>0.87914384060219786</v>
      </c>
    </row>
    <row r="38" spans="1:16">
      <c r="A38" s="8">
        <v>5</v>
      </c>
      <c r="B38" s="8">
        <v>47166</v>
      </c>
      <c r="C38" s="8">
        <v>0.61599999999999999</v>
      </c>
      <c r="D38" s="8">
        <v>4.08</v>
      </c>
      <c r="E38" s="10">
        <v>37554</v>
      </c>
      <c r="F38" s="12">
        <f t="shared" si="0"/>
        <v>2219.0000000000005</v>
      </c>
      <c r="G38" s="12">
        <f t="shared" si="1"/>
        <v>642.19200000000001</v>
      </c>
      <c r="H38" s="12">
        <f t="shared" si="2"/>
        <v>751.52455840000005</v>
      </c>
      <c r="I38" s="9">
        <f t="shared" si="3"/>
        <v>0.85451898121231107</v>
      </c>
      <c r="K38" s="3">
        <f t="shared" si="4"/>
        <v>134</v>
      </c>
      <c r="L38" s="15">
        <f t="shared" si="5"/>
        <v>2219.0000000000005</v>
      </c>
      <c r="M38" s="16">
        <f t="shared" si="6"/>
        <v>714204.15168229421</v>
      </c>
      <c r="N38" s="16">
        <f t="shared" si="7"/>
        <v>544581.59928330453</v>
      </c>
      <c r="O38" s="16">
        <f t="shared" si="8"/>
        <v>478765.55871521146</v>
      </c>
      <c r="P38" s="43">
        <f t="shared" si="9"/>
        <v>0.87914384060219786</v>
      </c>
    </row>
    <row r="39" spans="1:16">
      <c r="A39" s="8">
        <v>5.28</v>
      </c>
      <c r="B39" s="8">
        <v>47166</v>
      </c>
      <c r="C39" s="8">
        <v>0.63200000000000001</v>
      </c>
      <c r="D39" s="8">
        <v>4.16</v>
      </c>
      <c r="E39" s="10">
        <v>37554</v>
      </c>
      <c r="F39" s="12">
        <f t="shared" si="0"/>
        <v>2275.7560000000003</v>
      </c>
      <c r="G39" s="12">
        <f t="shared" si="1"/>
        <v>654.78399999999999</v>
      </c>
      <c r="H39" s="12">
        <f t="shared" si="2"/>
        <v>771.04467680000005</v>
      </c>
      <c r="I39" s="9">
        <f t="shared" si="3"/>
        <v>0.84921667926882438</v>
      </c>
      <c r="K39" s="3">
        <f t="shared" si="4"/>
        <v>0</v>
      </c>
      <c r="L39" s="15">
        <f t="shared" si="5"/>
        <v>2275.7560000000003</v>
      </c>
      <c r="M39" s="16">
        <f t="shared" si="6"/>
        <v>732471.55629377696</v>
      </c>
      <c r="N39" s="16">
        <f t="shared" si="7"/>
        <v>558510.51917916897</v>
      </c>
      <c r="O39" s="16">
        <f t="shared" si="8"/>
        <v>488710.70501763711</v>
      </c>
      <c r="P39" s="43">
        <f t="shared" si="9"/>
        <v>0.87502506798956059</v>
      </c>
    </row>
    <row r="40" spans="1:16">
      <c r="A40" s="8">
        <v>5.28</v>
      </c>
      <c r="B40" s="8">
        <v>55672</v>
      </c>
      <c r="C40" s="8">
        <v>0.624</v>
      </c>
      <c r="D40" s="8">
        <v>4.16</v>
      </c>
      <c r="E40" s="10">
        <v>37554</v>
      </c>
      <c r="F40" s="12">
        <f t="shared" si="0"/>
        <v>2275.7560000000003</v>
      </c>
      <c r="G40" s="12">
        <f t="shared" si="1"/>
        <v>654.78399999999999</v>
      </c>
      <c r="H40" s="12">
        <f t="shared" si="2"/>
        <v>761.28461760000005</v>
      </c>
      <c r="I40" s="9">
        <f t="shared" si="3"/>
        <v>0.86010407259278365</v>
      </c>
      <c r="K40" s="3">
        <f t="shared" si="4"/>
        <v>8506</v>
      </c>
      <c r="L40" s="15">
        <f t="shared" si="5"/>
        <v>2275.7560000000003</v>
      </c>
      <c r="M40" s="16">
        <f t="shared" si="6"/>
        <v>732471.55629377696</v>
      </c>
      <c r="N40" s="16">
        <f t="shared" si="7"/>
        <v>558510.51917916897</v>
      </c>
      <c r="O40" s="16">
        <f t="shared" si="8"/>
        <v>488710.70501763711</v>
      </c>
      <c r="P40" s="43">
        <f t="shared" si="9"/>
        <v>0.87502506798956059</v>
      </c>
    </row>
    <row r="41" spans="1:16">
      <c r="B41" s="4"/>
      <c r="E41" s="3" t="s">
        <v>12</v>
      </c>
      <c r="F41" s="15">
        <f>MAX(F7:F40)</f>
        <v>2401.4299999999998</v>
      </c>
      <c r="K41" s="3">
        <f>SUM(K8:K40)</f>
        <v>55672</v>
      </c>
      <c r="O41" s="3" t="s">
        <v>12</v>
      </c>
      <c r="P41" s="43">
        <f>MAX(P8:P40)</f>
        <v>0.90723110811990115</v>
      </c>
    </row>
    <row r="42" spans="1:16">
      <c r="O42" s="3" t="s">
        <v>53</v>
      </c>
      <c r="P42" s="43">
        <f>MIN(P8:P41)</f>
        <v>0.81149679829391386</v>
      </c>
    </row>
    <row r="45" spans="1:16">
      <c r="A45" s="3" t="s">
        <v>5</v>
      </c>
      <c r="B45" s="3" t="s">
        <v>13</v>
      </c>
      <c r="C45" s="3" t="s">
        <v>24</v>
      </c>
      <c r="D45" s="3" t="s">
        <v>14</v>
      </c>
    </row>
    <row r="46" spans="1:16">
      <c r="A46" s="3">
        <v>500</v>
      </c>
      <c r="B46" s="3">
        <v>1205.5</v>
      </c>
      <c r="C46" s="3">
        <v>388000.49790581595</v>
      </c>
      <c r="D46" s="3">
        <v>295850.8868571535</v>
      </c>
    </row>
    <row r="47" spans="1:16">
      <c r="A47" s="3">
        <v>427</v>
      </c>
      <c r="B47" s="3">
        <v>1408.2</v>
      </c>
      <c r="C47" s="3">
        <v>453241.2286611115</v>
      </c>
      <c r="D47" s="3">
        <v>345597.02934238361</v>
      </c>
    </row>
    <row r="48" spans="1:16">
      <c r="A48" s="3">
        <v>248</v>
      </c>
      <c r="B48" s="3">
        <v>1610.9</v>
      </c>
      <c r="C48" s="3">
        <v>518481.95941640722</v>
      </c>
      <c r="D48" s="3">
        <v>395343.1718276139</v>
      </c>
    </row>
    <row r="49" spans="1:4">
      <c r="A49" s="3">
        <v>420</v>
      </c>
      <c r="B49" s="3">
        <v>1813.6</v>
      </c>
      <c r="C49" s="3">
        <v>583722.69017170288</v>
      </c>
      <c r="D49" s="3">
        <v>445089.31431284407</v>
      </c>
    </row>
    <row r="50" spans="1:4">
      <c r="A50" s="3">
        <v>318</v>
      </c>
      <c r="B50" s="3">
        <v>2016.3</v>
      </c>
      <c r="C50" s="3">
        <v>648963.42092699849</v>
      </c>
      <c r="D50" s="3">
        <v>494835.45679807424</v>
      </c>
    </row>
    <row r="51" spans="1:4">
      <c r="A51" s="3">
        <v>284</v>
      </c>
      <c r="B51" s="3">
        <v>2219</v>
      </c>
      <c r="C51" s="3">
        <v>714204.15168229421</v>
      </c>
      <c r="D51" s="3">
        <v>544581.59928330453</v>
      </c>
    </row>
    <row r="52" spans="1:4">
      <c r="A52" s="3">
        <v>8506</v>
      </c>
      <c r="B52" s="3">
        <v>2275.7560000000003</v>
      </c>
      <c r="C52" s="3">
        <v>732471.55629377696</v>
      </c>
      <c r="D52" s="3">
        <v>558510.51917916897</v>
      </c>
    </row>
    <row r="53" spans="1:4">
      <c r="A53" s="3">
        <v>13294</v>
      </c>
      <c r="B53" s="3">
        <v>2279.81</v>
      </c>
      <c r="C53" s="3">
        <v>733776.37090888282</v>
      </c>
      <c r="D53" s="3">
        <v>559505.44202887348</v>
      </c>
    </row>
    <row r="54" spans="1:4">
      <c r="A54" s="3">
        <v>29653</v>
      </c>
      <c r="B54" s="3">
        <v>2320.35</v>
      </c>
      <c r="C54" s="3">
        <v>746824.51705994189</v>
      </c>
      <c r="D54" s="3">
        <v>569454.67052591953</v>
      </c>
    </row>
    <row r="55" spans="1:4">
      <c r="A55" s="3">
        <v>722</v>
      </c>
      <c r="B55" s="3">
        <v>2381.16</v>
      </c>
      <c r="C55" s="3">
        <v>766396.7362865305</v>
      </c>
      <c r="D55" s="3">
        <v>584378.51327148848</v>
      </c>
    </row>
    <row r="56" spans="1:4">
      <c r="A56" s="3">
        <v>797</v>
      </c>
      <c r="B56" s="3">
        <v>2401.4299999999998</v>
      </c>
      <c r="C56" s="3">
        <v>772920.80936206016</v>
      </c>
      <c r="D56" s="3">
        <v>589353.12752001162</v>
      </c>
    </row>
  </sheetData>
  <phoneticPr fontId="0" type="noConversion"/>
  <pageMargins left="0.75" right="0.75" top="1" bottom="1" header="0.5" footer="0.5"/>
  <pageSetup scale="55" orientation="landscape" r:id="rId1"/>
  <headerFooter alignWithMargins="0"/>
  <drawing r:id="rId2"/>
  <legacyDrawing r:id="rId3"/>
  <oleObjects>
    <mc:AlternateContent xmlns:mc="http://schemas.openxmlformats.org/markup-compatibility/2006">
      <mc:Choice Requires="x14">
        <oleObject progId="Mathcad" shapeId="1027"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1027" r:id="rId4"/>
      </mc:Fallback>
    </mc:AlternateContent>
    <mc:AlternateContent xmlns:mc="http://schemas.openxmlformats.org/markup-compatibility/2006">
      <mc:Choice Requires="x14">
        <oleObject progId="Mathcad" shapeId="1028"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1028" r:id="rId6"/>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48"/>
  <sheetViews>
    <sheetView topLeftCell="A31" workbookViewId="0">
      <selection activeCell="A32" sqref="A31:A32"/>
    </sheetView>
  </sheetViews>
  <sheetFormatPr defaultColWidth="9" defaultRowHeight="13.2"/>
  <cols>
    <col min="1" max="1" width="9" style="3"/>
    <col min="2" max="2" width="9.109375" style="3" bestFit="1" customWidth="1"/>
    <col min="3" max="3" width="11.21875" style="24" customWidth="1"/>
    <col min="4" max="4" width="9.109375" style="3" bestFit="1" customWidth="1"/>
    <col min="5" max="9" width="9" style="3"/>
    <col min="10" max="10" width="9.33203125" style="13" customWidth="1"/>
    <col min="11" max="16384" width="9" style="3"/>
  </cols>
  <sheetData>
    <row r="1" spans="1:16" s="1" customFormat="1">
      <c r="A1" s="25" t="s">
        <v>42</v>
      </c>
      <c r="B1" s="25"/>
      <c r="C1" s="20" t="s">
        <v>10</v>
      </c>
      <c r="D1" s="25">
        <v>387.6</v>
      </c>
      <c r="E1" s="25" t="s">
        <v>11</v>
      </c>
      <c r="F1" s="25" t="s">
        <v>20</v>
      </c>
      <c r="G1" s="26">
        <f>D4/(2*D3)</f>
        <v>1485.8075040783035</v>
      </c>
      <c r="H1" s="25" t="s">
        <v>26</v>
      </c>
      <c r="I1" s="25"/>
      <c r="J1" s="27"/>
      <c r="K1" s="25"/>
      <c r="L1" s="25"/>
      <c r="M1" s="25"/>
      <c r="N1" s="25"/>
    </row>
    <row r="2" spans="1:16">
      <c r="A2" s="4"/>
      <c r="B2" s="4"/>
      <c r="C2" s="31" t="s">
        <v>15</v>
      </c>
      <c r="D2" s="4">
        <v>384.9</v>
      </c>
      <c r="E2" s="4" t="s">
        <v>11</v>
      </c>
      <c r="F2" s="4" t="s">
        <v>21</v>
      </c>
      <c r="G2" s="4">
        <f>SQRT(1/(D3*D5))</f>
        <v>8244.4965742557415</v>
      </c>
      <c r="H2" s="4" t="s">
        <v>26</v>
      </c>
      <c r="I2" s="4"/>
      <c r="J2" s="27"/>
      <c r="K2" s="4"/>
      <c r="L2" s="4"/>
      <c r="M2" s="4"/>
      <c r="N2" s="4"/>
    </row>
    <row r="3" spans="1:16">
      <c r="A3" s="4"/>
      <c r="B3" s="4"/>
      <c r="C3" s="31" t="s">
        <v>16</v>
      </c>
      <c r="D3" s="28">
        <v>3.0649999999999999E-6</v>
      </c>
      <c r="E3" s="4" t="s">
        <v>17</v>
      </c>
      <c r="F3" s="4" t="s">
        <v>25</v>
      </c>
      <c r="G3" s="28">
        <v>1.705E-4</v>
      </c>
      <c r="H3" s="4" t="s">
        <v>27</v>
      </c>
      <c r="I3" s="4"/>
      <c r="J3" s="27"/>
      <c r="K3" s="4"/>
      <c r="L3" s="4"/>
      <c r="M3" s="4"/>
      <c r="N3" s="4"/>
    </row>
    <row r="4" spans="1:16">
      <c r="A4" s="4"/>
      <c r="B4" s="4"/>
      <c r="C4" s="31" t="s">
        <v>18</v>
      </c>
      <c r="D4" s="28">
        <v>9.1079999999999998E-3</v>
      </c>
      <c r="E4" s="4" t="s">
        <v>19</v>
      </c>
      <c r="F4" s="4"/>
      <c r="G4" s="4"/>
      <c r="H4" s="4"/>
      <c r="I4" s="4"/>
      <c r="J4" s="27"/>
      <c r="K4" s="4"/>
      <c r="L4" s="4"/>
      <c r="M4" s="4"/>
      <c r="N4" s="4"/>
    </row>
    <row r="5" spans="1:16">
      <c r="A5" s="4"/>
      <c r="B5" s="4"/>
      <c r="C5" s="31" t="s">
        <v>22</v>
      </c>
      <c r="D5" s="28">
        <v>4.7999999999999996E-3</v>
      </c>
      <c r="E5" s="4" t="s">
        <v>23</v>
      </c>
      <c r="F5" s="4"/>
      <c r="G5" s="4"/>
      <c r="H5" s="4"/>
      <c r="I5" s="4"/>
      <c r="J5" s="27"/>
      <c r="K5" s="4"/>
      <c r="L5" s="4"/>
      <c r="M5" s="4"/>
      <c r="N5" s="4"/>
    </row>
    <row r="6" spans="1:16" s="6" customFormat="1" ht="92.4">
      <c r="A6" s="2" t="s">
        <v>0</v>
      </c>
      <c r="B6" s="2" t="s">
        <v>5</v>
      </c>
      <c r="C6" s="21" t="s">
        <v>1</v>
      </c>
      <c r="D6" s="2" t="s">
        <v>2</v>
      </c>
      <c r="E6" s="2" t="s">
        <v>3</v>
      </c>
      <c r="F6" s="2" t="s">
        <v>9</v>
      </c>
      <c r="G6" s="2" t="s">
        <v>7</v>
      </c>
      <c r="H6" s="2" t="s">
        <v>8</v>
      </c>
      <c r="I6" s="2" t="s">
        <v>4</v>
      </c>
      <c r="J6" s="14"/>
      <c r="K6" s="5" t="s">
        <v>5</v>
      </c>
      <c r="L6" s="5" t="s">
        <v>13</v>
      </c>
      <c r="M6" s="5" t="s">
        <v>24</v>
      </c>
      <c r="N6" s="5" t="s">
        <v>14</v>
      </c>
      <c r="O6" s="6" t="s">
        <v>52</v>
      </c>
      <c r="P6" s="6" t="s">
        <v>54</v>
      </c>
    </row>
    <row r="7" spans="1:16">
      <c r="A7" s="2">
        <v>6.1</v>
      </c>
      <c r="B7" s="8">
        <v>0</v>
      </c>
      <c r="C7" s="22">
        <v>0.68</v>
      </c>
      <c r="D7" s="9">
        <v>5.6</v>
      </c>
      <c r="E7" s="10">
        <v>33340</v>
      </c>
      <c r="F7" s="12">
        <f>(0.2027*A7+1.2055)*1000</f>
        <v>2441.9699999999998</v>
      </c>
      <c r="G7" s="12">
        <f t="shared" ref="G7:G18" si="0">D7*157.4</f>
        <v>881.43999999999994</v>
      </c>
      <c r="H7" s="12">
        <f>C7*7.751*157.4</f>
        <v>829.60503200000005</v>
      </c>
      <c r="I7" s="9">
        <f>G7/H7</f>
        <v>1.0624815014381446</v>
      </c>
      <c r="J7" s="27"/>
      <c r="K7" s="4"/>
      <c r="L7" s="4"/>
      <c r="M7" s="4"/>
      <c r="N7" s="4"/>
    </row>
    <row r="8" spans="1:16">
      <c r="A8" s="2">
        <v>6.1</v>
      </c>
      <c r="B8" s="8">
        <v>340000</v>
      </c>
      <c r="C8" s="22">
        <v>0.68</v>
      </c>
      <c r="D8" s="9">
        <v>5.6</v>
      </c>
      <c r="E8" s="10">
        <v>33348</v>
      </c>
      <c r="F8" s="12">
        <f t="shared" ref="F8:F18" si="1">(0.2027*A8+1.2055)*1000</f>
        <v>2441.9699999999998</v>
      </c>
      <c r="G8" s="12">
        <f t="shared" si="0"/>
        <v>881.43999999999994</v>
      </c>
      <c r="H8" s="12">
        <f t="shared" ref="H8:H18" si="2">C8*7.751*157.4</f>
        <v>829.60503200000005</v>
      </c>
      <c r="I8" s="9">
        <f t="shared" ref="I8:I18" si="3">G8/H8</f>
        <v>1.0624815014381446</v>
      </c>
      <c r="J8" s="27"/>
      <c r="K8" s="4">
        <f t="shared" ref="K8:K18" si="4">B8-B7</f>
        <v>340000</v>
      </c>
      <c r="L8" s="29">
        <f t="shared" ref="L8:L18" si="5">F8</f>
        <v>2441.9699999999998</v>
      </c>
      <c r="M8" s="28">
        <f t="shared" ref="M8:M18" si="6">8*F8/($D$3*SQRT($G$2^2-$G$1^2))</f>
        <v>785968.95551311923</v>
      </c>
      <c r="N8" s="28">
        <f t="shared" ref="N8:N30" si="7">M8*(EXP(-$G$1*$G$3))*SIN(SQRT($G$2^2-$G$1^2)*$G$3)</f>
        <v>599314.29135182104</v>
      </c>
      <c r="O8" s="16">
        <f>1000*(D8*1000-228.75)*8/64.353</f>
        <v>667723.33846129943</v>
      </c>
      <c r="P8" s="43">
        <f>IF(O8/N8&gt;0.5,O8/N8,"")</f>
        <v>1.1141455294769862</v>
      </c>
    </row>
    <row r="9" spans="1:16">
      <c r="A9" s="8">
        <v>2.9</v>
      </c>
      <c r="B9" s="8">
        <v>0</v>
      </c>
      <c r="C9" s="9">
        <v>0.501</v>
      </c>
      <c r="D9" s="9">
        <v>4.0999999999999996</v>
      </c>
      <c r="E9" s="10">
        <v>33206</v>
      </c>
      <c r="F9" s="12">
        <f t="shared" si="1"/>
        <v>1793.3300000000002</v>
      </c>
      <c r="G9" s="12">
        <f t="shared" si="0"/>
        <v>645.33999999999992</v>
      </c>
      <c r="H9" s="12">
        <f t="shared" si="2"/>
        <v>611.22370739999997</v>
      </c>
      <c r="I9" s="9">
        <f t="shared" si="3"/>
        <v>1.0558163765360518</v>
      </c>
      <c r="J9" s="27"/>
      <c r="K9" s="4"/>
      <c r="L9" s="29">
        <f t="shared" si="5"/>
        <v>1793.3300000000002</v>
      </c>
      <c r="M9" s="28">
        <f t="shared" si="6"/>
        <v>577198.61709617334</v>
      </c>
      <c r="N9" s="28">
        <f t="shared" si="7"/>
        <v>440123.46511626325</v>
      </c>
      <c r="O9" s="16">
        <f t="shared" ref="O9:O18" si="8">1000*(D9*1000-228.75)*8/64.353</f>
        <v>481251.8452908179</v>
      </c>
      <c r="P9" s="43">
        <f t="shared" ref="P9:P18" si="9">IF(O9/N9&gt;0.5,O9/N9,"")</f>
        <v>1.0934473697367855</v>
      </c>
    </row>
    <row r="10" spans="1:16">
      <c r="A10" s="8">
        <v>2.9</v>
      </c>
      <c r="B10" s="8">
        <v>16586</v>
      </c>
      <c r="C10" s="9">
        <v>0.501</v>
      </c>
      <c r="D10" s="9">
        <v>4.0999999999999996</v>
      </c>
      <c r="E10" s="10">
        <v>33208</v>
      </c>
      <c r="F10" s="12">
        <f t="shared" si="1"/>
        <v>1793.3300000000002</v>
      </c>
      <c r="G10" s="12">
        <f t="shared" si="0"/>
        <v>645.33999999999992</v>
      </c>
      <c r="H10" s="12">
        <f t="shared" si="2"/>
        <v>611.22370739999997</v>
      </c>
      <c r="I10" s="9">
        <f t="shared" si="3"/>
        <v>1.0558163765360518</v>
      </c>
      <c r="J10" s="27"/>
      <c r="K10" s="4">
        <f t="shared" si="4"/>
        <v>16586</v>
      </c>
      <c r="L10" s="29">
        <f t="shared" si="5"/>
        <v>1793.3300000000002</v>
      </c>
      <c r="M10" s="28">
        <f t="shared" si="6"/>
        <v>577198.61709617334</v>
      </c>
      <c r="N10" s="28">
        <f t="shared" si="7"/>
        <v>440123.46511626325</v>
      </c>
      <c r="O10" s="16">
        <f t="shared" si="8"/>
        <v>481251.8452908179</v>
      </c>
      <c r="P10" s="43">
        <f t="shared" si="9"/>
        <v>1.0934473697367855</v>
      </c>
    </row>
    <row r="11" spans="1:16">
      <c r="A11" s="8">
        <v>2.9</v>
      </c>
      <c r="B11" s="8">
        <v>0</v>
      </c>
      <c r="C11" s="9">
        <v>0.504</v>
      </c>
      <c r="D11" s="9">
        <v>4.1500000000000004</v>
      </c>
      <c r="E11" s="10">
        <v>33220</v>
      </c>
      <c r="F11" s="12">
        <f t="shared" si="1"/>
        <v>1793.3300000000002</v>
      </c>
      <c r="G11" s="12">
        <f t="shared" si="0"/>
        <v>653.21</v>
      </c>
      <c r="H11" s="12">
        <f t="shared" si="2"/>
        <v>614.88372960000004</v>
      </c>
      <c r="I11" s="9">
        <f t="shared" si="3"/>
        <v>1.0623309229940632</v>
      </c>
      <c r="J11" s="27"/>
      <c r="K11" s="4"/>
      <c r="L11" s="29">
        <f t="shared" si="5"/>
        <v>1793.3300000000002</v>
      </c>
      <c r="M11" s="28">
        <f t="shared" si="6"/>
        <v>577198.61709617334</v>
      </c>
      <c r="N11" s="28">
        <f t="shared" si="7"/>
        <v>440123.46511626325</v>
      </c>
      <c r="O11" s="16">
        <f t="shared" si="8"/>
        <v>487467.56172983395</v>
      </c>
      <c r="P11" s="43">
        <f t="shared" si="9"/>
        <v>1.1075700351515325</v>
      </c>
    </row>
    <row r="12" spans="1:16">
      <c r="A12" s="8">
        <v>2.9</v>
      </c>
      <c r="B12" s="8">
        <v>34500</v>
      </c>
      <c r="C12" s="9">
        <v>0.504</v>
      </c>
      <c r="D12" s="9">
        <v>4.1500000000000004</v>
      </c>
      <c r="E12" s="10">
        <v>33221</v>
      </c>
      <c r="F12" s="12">
        <f t="shared" si="1"/>
        <v>1793.3300000000002</v>
      </c>
      <c r="G12" s="12">
        <f t="shared" si="0"/>
        <v>653.21</v>
      </c>
      <c r="H12" s="12">
        <f t="shared" si="2"/>
        <v>614.88372960000004</v>
      </c>
      <c r="I12" s="9">
        <f t="shared" si="3"/>
        <v>1.0623309229940632</v>
      </c>
      <c r="J12" s="27"/>
      <c r="K12" s="4">
        <f t="shared" si="4"/>
        <v>34500</v>
      </c>
      <c r="L12" s="29">
        <f t="shared" si="5"/>
        <v>1793.3300000000002</v>
      </c>
      <c r="M12" s="28">
        <f t="shared" si="6"/>
        <v>577198.61709617334</v>
      </c>
      <c r="N12" s="28">
        <f t="shared" si="7"/>
        <v>440123.46511626325</v>
      </c>
      <c r="O12" s="16">
        <f t="shared" si="8"/>
        <v>487467.56172983395</v>
      </c>
      <c r="P12" s="43">
        <f t="shared" si="9"/>
        <v>1.1075700351515325</v>
      </c>
    </row>
    <row r="13" spans="1:16">
      <c r="A13" s="8">
        <v>3.6</v>
      </c>
      <c r="B13" s="8">
        <v>34500</v>
      </c>
      <c r="C13" s="9">
        <v>0.55000000000000004</v>
      </c>
      <c r="D13" s="8">
        <v>4.4800000000000004</v>
      </c>
      <c r="E13" s="10">
        <v>33221</v>
      </c>
      <c r="F13" s="12">
        <f t="shared" si="1"/>
        <v>1935.2200000000003</v>
      </c>
      <c r="G13" s="12">
        <f t="shared" si="0"/>
        <v>705.15200000000004</v>
      </c>
      <c r="H13" s="12">
        <f t="shared" si="2"/>
        <v>671.00407000000018</v>
      </c>
      <c r="I13" s="9">
        <f t="shared" si="3"/>
        <v>1.0508907941497283</v>
      </c>
      <c r="J13" s="27"/>
      <c r="K13" s="4">
        <f t="shared" si="4"/>
        <v>0</v>
      </c>
      <c r="L13" s="29">
        <f t="shared" si="5"/>
        <v>1935.2200000000003</v>
      </c>
      <c r="M13" s="28">
        <f t="shared" si="6"/>
        <v>622867.12862488034</v>
      </c>
      <c r="N13" s="28">
        <f t="shared" si="7"/>
        <v>474946.45835529157</v>
      </c>
      <c r="O13" s="16">
        <f t="shared" si="8"/>
        <v>528491.29022733984</v>
      </c>
      <c r="P13" s="43">
        <f t="shared" si="9"/>
        <v>1.1127386696544079</v>
      </c>
    </row>
    <row r="14" spans="1:16">
      <c r="A14" s="8">
        <v>3.6</v>
      </c>
      <c r="B14" s="8">
        <v>70800</v>
      </c>
      <c r="C14" s="9">
        <v>0.55000000000000004</v>
      </c>
      <c r="D14" s="8">
        <v>4.4800000000000004</v>
      </c>
      <c r="E14" s="10">
        <v>33222</v>
      </c>
      <c r="F14" s="12">
        <f t="shared" si="1"/>
        <v>1935.2200000000003</v>
      </c>
      <c r="G14" s="12">
        <f t="shared" si="0"/>
        <v>705.15200000000004</v>
      </c>
      <c r="H14" s="12">
        <f t="shared" si="2"/>
        <v>671.00407000000018</v>
      </c>
      <c r="I14" s="9">
        <f t="shared" si="3"/>
        <v>1.0508907941497283</v>
      </c>
      <c r="J14" s="27"/>
      <c r="K14" s="4">
        <f t="shared" si="4"/>
        <v>36300</v>
      </c>
      <c r="L14" s="29">
        <f t="shared" si="5"/>
        <v>1935.2200000000003</v>
      </c>
      <c r="M14" s="28">
        <f t="shared" si="6"/>
        <v>622867.12862488034</v>
      </c>
      <c r="N14" s="28">
        <f t="shared" si="7"/>
        <v>474946.45835529157</v>
      </c>
      <c r="O14" s="16">
        <f t="shared" si="8"/>
        <v>528491.29022733984</v>
      </c>
      <c r="P14" s="43">
        <f t="shared" si="9"/>
        <v>1.1127386696544079</v>
      </c>
    </row>
    <row r="15" spans="1:16">
      <c r="A15" s="8">
        <v>4.5</v>
      </c>
      <c r="B15" s="8">
        <v>70800</v>
      </c>
      <c r="C15" s="9">
        <v>0.6</v>
      </c>
      <c r="D15" s="8">
        <v>4.8499999999999996</v>
      </c>
      <c r="E15" s="10">
        <v>33222</v>
      </c>
      <c r="F15" s="12">
        <f t="shared" si="1"/>
        <v>2117.65</v>
      </c>
      <c r="G15" s="12">
        <f t="shared" si="0"/>
        <v>763.39</v>
      </c>
      <c r="H15" s="12">
        <f t="shared" si="2"/>
        <v>732.00444000000005</v>
      </c>
      <c r="I15" s="9">
        <f t="shared" si="3"/>
        <v>1.0428761880187503</v>
      </c>
      <c r="J15" s="27"/>
      <c r="K15" s="4">
        <f t="shared" si="4"/>
        <v>0</v>
      </c>
      <c r="L15" s="29">
        <f t="shared" si="5"/>
        <v>2117.65</v>
      </c>
      <c r="M15" s="28">
        <f t="shared" si="6"/>
        <v>681583.78630464629</v>
      </c>
      <c r="N15" s="28">
        <f t="shared" si="7"/>
        <v>519718.87823404215</v>
      </c>
      <c r="O15" s="16">
        <f t="shared" si="8"/>
        <v>574487.59187605861</v>
      </c>
      <c r="P15" s="43">
        <f t="shared" si="9"/>
        <v>1.1053814204866208</v>
      </c>
    </row>
    <row r="16" spans="1:16">
      <c r="A16" s="8">
        <v>4.5</v>
      </c>
      <c r="B16" s="8">
        <v>149600</v>
      </c>
      <c r="C16" s="9">
        <v>0.6</v>
      </c>
      <c r="D16" s="8">
        <v>4.8499999999999996</v>
      </c>
      <c r="E16" s="10">
        <v>33224</v>
      </c>
      <c r="F16" s="12">
        <f t="shared" si="1"/>
        <v>2117.65</v>
      </c>
      <c r="G16" s="12">
        <f t="shared" si="0"/>
        <v>763.39</v>
      </c>
      <c r="H16" s="12">
        <f t="shared" si="2"/>
        <v>732.00444000000005</v>
      </c>
      <c r="I16" s="9">
        <f t="shared" si="3"/>
        <v>1.0428761880187503</v>
      </c>
      <c r="J16" s="27"/>
      <c r="K16" s="4">
        <f t="shared" si="4"/>
        <v>78800</v>
      </c>
      <c r="L16" s="29">
        <f t="shared" si="5"/>
        <v>2117.65</v>
      </c>
      <c r="M16" s="28">
        <f t="shared" si="6"/>
        <v>681583.78630464629</v>
      </c>
      <c r="N16" s="28">
        <f t="shared" si="7"/>
        <v>519718.87823404215</v>
      </c>
      <c r="O16" s="16">
        <f t="shared" si="8"/>
        <v>574487.59187605861</v>
      </c>
      <c r="P16" s="43">
        <f t="shared" si="9"/>
        <v>1.1053814204866208</v>
      </c>
    </row>
    <row r="17" spans="1:16">
      <c r="A17" s="8">
        <v>5.35</v>
      </c>
      <c r="B17" s="8">
        <v>149600</v>
      </c>
      <c r="C17" s="9">
        <v>0.65</v>
      </c>
      <c r="D17" s="8">
        <v>5.25</v>
      </c>
      <c r="E17" s="10">
        <v>33225</v>
      </c>
      <c r="F17" s="12">
        <f t="shared" si="1"/>
        <v>2289.9449999999997</v>
      </c>
      <c r="G17" s="12">
        <f t="shared" si="0"/>
        <v>826.35</v>
      </c>
      <c r="H17" s="12">
        <f t="shared" si="2"/>
        <v>793.00481000000013</v>
      </c>
      <c r="I17" s="9">
        <f t="shared" si="3"/>
        <v>1.0420491648720263</v>
      </c>
      <c r="J17" s="27"/>
      <c r="K17" s="4">
        <f t="shared" si="4"/>
        <v>0</v>
      </c>
      <c r="L17" s="29">
        <f t="shared" si="5"/>
        <v>2289.9449999999997</v>
      </c>
      <c r="M17" s="28">
        <f t="shared" si="6"/>
        <v>737038.40744664753</v>
      </c>
      <c r="N17" s="28">
        <f t="shared" si="7"/>
        <v>562003.94145286223</v>
      </c>
      <c r="O17" s="16">
        <f t="shared" si="8"/>
        <v>624213.3233881871</v>
      </c>
      <c r="P17" s="43">
        <f t="shared" si="9"/>
        <v>1.1106920741062858</v>
      </c>
    </row>
    <row r="18" spans="1:16">
      <c r="A18" s="8">
        <v>5.35</v>
      </c>
      <c r="B18" s="8">
        <v>194045</v>
      </c>
      <c r="C18" s="9">
        <v>0.65</v>
      </c>
      <c r="D18" s="8">
        <v>5.25</v>
      </c>
      <c r="E18" s="10">
        <v>33225</v>
      </c>
      <c r="F18" s="12">
        <f t="shared" si="1"/>
        <v>2289.9449999999997</v>
      </c>
      <c r="G18" s="12">
        <f t="shared" si="0"/>
        <v>826.35</v>
      </c>
      <c r="H18" s="12">
        <f t="shared" si="2"/>
        <v>793.00481000000013</v>
      </c>
      <c r="I18" s="9">
        <f t="shared" si="3"/>
        <v>1.0420491648720263</v>
      </c>
      <c r="J18" s="27"/>
      <c r="K18" s="4">
        <f t="shared" si="4"/>
        <v>44445</v>
      </c>
      <c r="L18" s="29">
        <f t="shared" si="5"/>
        <v>2289.9449999999997</v>
      </c>
      <c r="M18" s="28">
        <f t="shared" si="6"/>
        <v>737038.40744664753</v>
      </c>
      <c r="N18" s="28">
        <f t="shared" si="7"/>
        <v>562003.94145286223</v>
      </c>
      <c r="O18" s="16">
        <f t="shared" si="8"/>
        <v>624213.3233881871</v>
      </c>
      <c r="P18" s="43">
        <f t="shared" si="9"/>
        <v>1.1106920741062858</v>
      </c>
    </row>
    <row r="19" spans="1:16">
      <c r="A19" s="4">
        <v>6.1</v>
      </c>
      <c r="B19" s="29">
        <v>194045</v>
      </c>
      <c r="C19" s="24">
        <v>0.69199999999999995</v>
      </c>
      <c r="D19" s="32">
        <v>5.59</v>
      </c>
      <c r="E19" s="30">
        <v>33225</v>
      </c>
      <c r="F19" s="12">
        <f t="shared" ref="F19:F30" si="10">(0.2027*A19+1.2055)*1000</f>
        <v>2441.9699999999998</v>
      </c>
      <c r="G19" s="12">
        <f t="shared" ref="G19:G30" si="11">D19*157.4</f>
        <v>879.86599999999999</v>
      </c>
      <c r="H19" s="12">
        <f t="shared" ref="H19:H30" si="12">C19*7.751*157.4</f>
        <v>844.2451208</v>
      </c>
      <c r="I19" s="9">
        <f t="shared" ref="I19:I30" si="13">G19/H19</f>
        <v>1.0421925792905335</v>
      </c>
      <c r="J19" s="27"/>
      <c r="K19" s="4">
        <f t="shared" ref="K19:K30" si="14">B19-B18</f>
        <v>0</v>
      </c>
      <c r="L19" s="29">
        <f t="shared" ref="L19:L30" si="15">F19</f>
        <v>2441.9699999999998</v>
      </c>
      <c r="M19" s="28">
        <f t="shared" ref="M19:M30" si="16">8*F19/($D$3*SQRT($G$2^2-$G$1^2))</f>
        <v>785968.95551311923</v>
      </c>
      <c r="N19" s="28">
        <f t="shared" si="7"/>
        <v>599314.29135182104</v>
      </c>
      <c r="O19" s="16">
        <f t="shared" ref="O19:O30" si="17">1000*(D19*1000-228.75)*8/64.353</f>
        <v>666480.19517349626</v>
      </c>
      <c r="P19" s="43">
        <f t="shared" ref="P19:P30" si="18">IF(O19/N19&gt;0.5,O19/N19,"")</f>
        <v>1.112071253415591</v>
      </c>
    </row>
    <row r="20" spans="1:16">
      <c r="A20" s="4">
        <v>6.1</v>
      </c>
      <c r="B20" s="29">
        <v>326000</v>
      </c>
      <c r="C20" s="24">
        <v>0.69399999999999995</v>
      </c>
      <c r="D20" s="32">
        <v>5.59</v>
      </c>
      <c r="E20" s="30">
        <v>33228</v>
      </c>
      <c r="F20" s="12">
        <f t="shared" si="10"/>
        <v>2441.9699999999998</v>
      </c>
      <c r="G20" s="12">
        <f t="shared" si="11"/>
        <v>879.86599999999999</v>
      </c>
      <c r="H20" s="12">
        <f t="shared" si="12"/>
        <v>846.68513560000008</v>
      </c>
      <c r="I20" s="9">
        <f t="shared" si="13"/>
        <v>1.0391891424626067</v>
      </c>
      <c r="J20" s="27"/>
      <c r="K20" s="4">
        <f t="shared" si="14"/>
        <v>131955</v>
      </c>
      <c r="L20" s="29">
        <f t="shared" si="15"/>
        <v>2441.9699999999998</v>
      </c>
      <c r="M20" s="28">
        <f t="shared" si="16"/>
        <v>785968.95551311923</v>
      </c>
      <c r="N20" s="28">
        <f t="shared" si="7"/>
        <v>599314.29135182104</v>
      </c>
      <c r="O20" s="16">
        <f t="shared" si="17"/>
        <v>666480.19517349626</v>
      </c>
      <c r="P20" s="43">
        <f t="shared" si="18"/>
        <v>1.112071253415591</v>
      </c>
    </row>
    <row r="21" spans="1:16">
      <c r="A21" s="33">
        <v>3.5</v>
      </c>
      <c r="B21" s="34">
        <v>0</v>
      </c>
      <c r="C21" s="35">
        <v>0.62</v>
      </c>
      <c r="D21" s="36">
        <v>5.03</v>
      </c>
      <c r="E21" s="37">
        <v>33078</v>
      </c>
      <c r="F21" s="12">
        <f t="shared" si="10"/>
        <v>1914.9499999999998</v>
      </c>
      <c r="G21" s="12">
        <f t="shared" si="11"/>
        <v>791.72200000000009</v>
      </c>
      <c r="H21" s="12">
        <f t="shared" si="12"/>
        <v>756.4045880000001</v>
      </c>
      <c r="I21" s="9">
        <f t="shared" si="13"/>
        <v>1.0466911657600892</v>
      </c>
      <c r="J21" s="27"/>
      <c r="K21" s="4"/>
      <c r="L21" s="29">
        <f t="shared" si="15"/>
        <v>1914.9499999999998</v>
      </c>
      <c r="M21" s="28">
        <f t="shared" si="16"/>
        <v>616343.05554935057</v>
      </c>
      <c r="N21" s="28">
        <f t="shared" si="7"/>
        <v>469971.74503543024</v>
      </c>
      <c r="O21" s="16">
        <f t="shared" si="17"/>
        <v>596864.17105651647</v>
      </c>
      <c r="P21" s="43">
        <f t="shared" si="18"/>
        <v>1.2700001167336561</v>
      </c>
    </row>
    <row r="22" spans="1:16">
      <c r="A22" s="33">
        <v>3.5</v>
      </c>
      <c r="B22" s="34">
        <v>125000</v>
      </c>
      <c r="C22" s="35">
        <v>0.62</v>
      </c>
      <c r="D22" s="36">
        <v>5.03</v>
      </c>
      <c r="E22" s="37">
        <v>33081</v>
      </c>
      <c r="F22" s="12">
        <f t="shared" si="10"/>
        <v>1914.9499999999998</v>
      </c>
      <c r="G22" s="12">
        <f t="shared" si="11"/>
        <v>791.72200000000009</v>
      </c>
      <c r="H22" s="12">
        <f t="shared" si="12"/>
        <v>756.4045880000001</v>
      </c>
      <c r="I22" s="9">
        <f t="shared" si="13"/>
        <v>1.0466911657600892</v>
      </c>
      <c r="J22" s="27"/>
      <c r="K22" s="4">
        <f t="shared" si="14"/>
        <v>125000</v>
      </c>
      <c r="L22" s="29">
        <f t="shared" si="15"/>
        <v>1914.9499999999998</v>
      </c>
      <c r="M22" s="28">
        <f t="shared" si="16"/>
        <v>616343.05554935057</v>
      </c>
      <c r="N22" s="28">
        <f t="shared" si="7"/>
        <v>469971.74503543024</v>
      </c>
      <c r="O22" s="16">
        <f t="shared" si="17"/>
        <v>596864.17105651647</v>
      </c>
      <c r="P22" s="43">
        <f t="shared" si="18"/>
        <v>1.2700001167336561</v>
      </c>
    </row>
    <row r="23" spans="1:16">
      <c r="A23" s="4">
        <v>2.35</v>
      </c>
      <c r="B23" s="29">
        <v>400225</v>
      </c>
      <c r="C23" s="24">
        <v>0.49</v>
      </c>
      <c r="D23" s="32">
        <v>4.5999999999999996</v>
      </c>
      <c r="E23" s="30">
        <v>32931</v>
      </c>
      <c r="F23" s="12">
        <f t="shared" si="10"/>
        <v>1681.845</v>
      </c>
      <c r="G23" s="12">
        <f t="shared" si="11"/>
        <v>724.04</v>
      </c>
      <c r="H23" s="12">
        <f t="shared" si="12"/>
        <v>597.80362600000001</v>
      </c>
      <c r="I23" s="9">
        <f t="shared" si="13"/>
        <v>1.2111669593653485</v>
      </c>
      <c r="J23" s="27"/>
      <c r="K23" s="4"/>
      <c r="L23" s="29">
        <f t="shared" si="15"/>
        <v>1681.845</v>
      </c>
      <c r="M23" s="28">
        <f t="shared" si="16"/>
        <v>541316.21518076072</v>
      </c>
      <c r="N23" s="28">
        <f t="shared" si="7"/>
        <v>412762.54185702675</v>
      </c>
      <c r="O23" s="16">
        <f t="shared" si="17"/>
        <v>543409.00968097837</v>
      </c>
      <c r="P23" s="43">
        <f t="shared" si="18"/>
        <v>1.3165172576856674</v>
      </c>
    </row>
    <row r="24" spans="1:16">
      <c r="A24" s="4">
        <v>2.35</v>
      </c>
      <c r="B24" s="29">
        <v>522000</v>
      </c>
      <c r="C24" s="24">
        <v>0.49</v>
      </c>
      <c r="D24" s="32">
        <v>4.5999999999999996</v>
      </c>
      <c r="E24" s="30">
        <v>32934</v>
      </c>
      <c r="F24" s="12">
        <f t="shared" si="10"/>
        <v>1681.845</v>
      </c>
      <c r="G24" s="12">
        <f t="shared" si="11"/>
        <v>724.04</v>
      </c>
      <c r="H24" s="12">
        <f t="shared" si="12"/>
        <v>597.80362600000001</v>
      </c>
      <c r="I24" s="9">
        <f t="shared" si="13"/>
        <v>1.2111669593653485</v>
      </c>
      <c r="J24" s="27"/>
      <c r="K24" s="4">
        <f t="shared" si="14"/>
        <v>121775</v>
      </c>
      <c r="L24" s="29">
        <f t="shared" si="15"/>
        <v>1681.845</v>
      </c>
      <c r="M24" s="28">
        <f t="shared" si="16"/>
        <v>541316.21518076072</v>
      </c>
      <c r="N24" s="28">
        <f t="shared" si="7"/>
        <v>412762.54185702675</v>
      </c>
      <c r="O24" s="16">
        <f t="shared" si="17"/>
        <v>543409.00968097837</v>
      </c>
      <c r="P24" s="43">
        <f t="shared" si="18"/>
        <v>1.3165172576856674</v>
      </c>
    </row>
    <row r="25" spans="1:16">
      <c r="A25" s="4">
        <v>2</v>
      </c>
      <c r="B25" s="29">
        <v>0</v>
      </c>
      <c r="D25" s="32"/>
      <c r="E25" s="30">
        <v>32945</v>
      </c>
      <c r="F25" s="12">
        <f t="shared" si="10"/>
        <v>1610.9</v>
      </c>
      <c r="G25" s="12">
        <f t="shared" si="11"/>
        <v>0</v>
      </c>
      <c r="H25" s="12">
        <f t="shared" si="12"/>
        <v>0</v>
      </c>
      <c r="I25" s="9" t="e">
        <f t="shared" si="13"/>
        <v>#DIV/0!</v>
      </c>
      <c r="J25" s="27"/>
      <c r="K25" s="4"/>
      <c r="L25" s="29">
        <f t="shared" si="15"/>
        <v>1610.9</v>
      </c>
      <c r="M25" s="28">
        <f t="shared" si="16"/>
        <v>518481.95941640722</v>
      </c>
      <c r="N25" s="28">
        <f t="shared" si="7"/>
        <v>395351.04523751262</v>
      </c>
      <c r="O25" s="16">
        <f t="shared" si="17"/>
        <v>-28436.902708498441</v>
      </c>
      <c r="P25" s="43" t="str">
        <f t="shared" si="18"/>
        <v/>
      </c>
    </row>
    <row r="26" spans="1:16">
      <c r="A26" s="4">
        <v>2</v>
      </c>
      <c r="B26" s="29">
        <v>34500</v>
      </c>
      <c r="D26" s="32"/>
      <c r="E26" s="30">
        <v>32946</v>
      </c>
      <c r="F26" s="12">
        <f t="shared" si="10"/>
        <v>1610.9</v>
      </c>
      <c r="G26" s="12">
        <f t="shared" si="11"/>
        <v>0</v>
      </c>
      <c r="H26" s="12">
        <f t="shared" si="12"/>
        <v>0</v>
      </c>
      <c r="I26" s="9" t="e">
        <f t="shared" si="13"/>
        <v>#DIV/0!</v>
      </c>
      <c r="J26" s="27"/>
      <c r="K26" s="4">
        <f t="shared" si="14"/>
        <v>34500</v>
      </c>
      <c r="L26" s="29">
        <f t="shared" si="15"/>
        <v>1610.9</v>
      </c>
      <c r="M26" s="28">
        <f t="shared" si="16"/>
        <v>518481.95941640722</v>
      </c>
      <c r="N26" s="28">
        <f t="shared" si="7"/>
        <v>395351.04523751262</v>
      </c>
      <c r="O26" s="16">
        <f t="shared" si="17"/>
        <v>-28436.902708498441</v>
      </c>
      <c r="P26" s="43" t="str">
        <f t="shared" si="18"/>
        <v/>
      </c>
    </row>
    <row r="27" spans="1:16">
      <c r="A27" s="4">
        <v>1.95</v>
      </c>
      <c r="B27" s="29">
        <v>34500</v>
      </c>
      <c r="D27" s="32"/>
      <c r="E27" s="30">
        <v>32946</v>
      </c>
      <c r="F27" s="12">
        <f t="shared" si="10"/>
        <v>1600.7650000000001</v>
      </c>
      <c r="G27" s="12">
        <f t="shared" si="11"/>
        <v>0</v>
      </c>
      <c r="H27" s="12">
        <f t="shared" si="12"/>
        <v>0</v>
      </c>
      <c r="I27" s="9" t="e">
        <f t="shared" si="13"/>
        <v>#DIV/0!</v>
      </c>
      <c r="J27" s="27"/>
      <c r="K27" s="4">
        <f t="shared" si="14"/>
        <v>0</v>
      </c>
      <c r="L27" s="29">
        <f t="shared" si="15"/>
        <v>1600.7650000000001</v>
      </c>
      <c r="M27" s="28">
        <f t="shared" si="16"/>
        <v>515219.92287864245</v>
      </c>
      <c r="N27" s="28">
        <f t="shared" si="7"/>
        <v>392863.68857758201</v>
      </c>
      <c r="O27" s="16">
        <f t="shared" si="17"/>
        <v>-28436.902708498441</v>
      </c>
      <c r="P27" s="43" t="str">
        <f t="shared" si="18"/>
        <v/>
      </c>
    </row>
    <row r="28" spans="1:16">
      <c r="A28" s="4">
        <v>1.95</v>
      </c>
      <c r="B28" s="29">
        <v>333000</v>
      </c>
      <c r="D28" s="32"/>
      <c r="E28" s="30">
        <v>32954</v>
      </c>
      <c r="F28" s="12">
        <f t="shared" si="10"/>
        <v>1600.7650000000001</v>
      </c>
      <c r="G28" s="12">
        <f t="shared" si="11"/>
        <v>0</v>
      </c>
      <c r="H28" s="12">
        <f t="shared" si="12"/>
        <v>0</v>
      </c>
      <c r="I28" s="9" t="e">
        <f t="shared" si="13"/>
        <v>#DIV/0!</v>
      </c>
      <c r="J28" s="27"/>
      <c r="K28" s="4">
        <f t="shared" si="14"/>
        <v>298500</v>
      </c>
      <c r="L28" s="29">
        <f t="shared" si="15"/>
        <v>1600.7650000000001</v>
      </c>
      <c r="M28" s="28">
        <f t="shared" si="16"/>
        <v>515219.92287864245</v>
      </c>
      <c r="N28" s="28">
        <f t="shared" si="7"/>
        <v>392863.68857758201</v>
      </c>
      <c r="O28" s="16">
        <f t="shared" si="17"/>
        <v>-28436.902708498441</v>
      </c>
      <c r="P28" s="43" t="str">
        <f t="shared" si="18"/>
        <v/>
      </c>
    </row>
    <row r="29" spans="1:16">
      <c r="A29" s="4">
        <v>2.9</v>
      </c>
      <c r="B29" s="29">
        <v>0</v>
      </c>
      <c r="C29" s="24">
        <v>0.55000000000000004</v>
      </c>
      <c r="D29" s="32">
        <v>4.2</v>
      </c>
      <c r="E29" s="30">
        <v>32995</v>
      </c>
      <c r="F29" s="12">
        <f t="shared" si="10"/>
        <v>1793.3300000000002</v>
      </c>
      <c r="G29" s="12">
        <f t="shared" si="11"/>
        <v>661.08</v>
      </c>
      <c r="H29" s="12">
        <f t="shared" si="12"/>
        <v>671.00407000000018</v>
      </c>
      <c r="I29" s="9">
        <f t="shared" si="13"/>
        <v>0.9852101195153703</v>
      </c>
      <c r="J29" s="27"/>
      <c r="K29" s="4"/>
      <c r="L29" s="29">
        <f t="shared" si="15"/>
        <v>1793.3300000000002</v>
      </c>
      <c r="M29" s="28">
        <f t="shared" si="16"/>
        <v>577198.61709617334</v>
      </c>
      <c r="N29" s="28">
        <f t="shared" si="7"/>
        <v>440123.46511626325</v>
      </c>
      <c r="O29" s="16">
        <f t="shared" si="17"/>
        <v>493683.27816885</v>
      </c>
      <c r="P29" s="43">
        <f t="shared" si="18"/>
        <v>1.1216927005662793</v>
      </c>
    </row>
    <row r="30" spans="1:16">
      <c r="A30" s="4">
        <v>2.9</v>
      </c>
      <c r="B30" s="29">
        <v>205000</v>
      </c>
      <c r="C30" s="24">
        <v>0.55000000000000004</v>
      </c>
      <c r="D30" s="32">
        <v>4.2</v>
      </c>
      <c r="E30" s="30">
        <v>33000</v>
      </c>
      <c r="F30" s="12">
        <f t="shared" si="10"/>
        <v>1793.3300000000002</v>
      </c>
      <c r="G30" s="12">
        <f t="shared" si="11"/>
        <v>661.08</v>
      </c>
      <c r="H30" s="12">
        <f t="shared" si="12"/>
        <v>671.00407000000018</v>
      </c>
      <c r="I30" s="9">
        <f t="shared" si="13"/>
        <v>0.9852101195153703</v>
      </c>
      <c r="J30" s="27"/>
      <c r="K30" s="4">
        <f t="shared" si="14"/>
        <v>205000</v>
      </c>
      <c r="L30" s="29">
        <f t="shared" si="15"/>
        <v>1793.3300000000002</v>
      </c>
      <c r="M30" s="28">
        <f t="shared" si="16"/>
        <v>577198.61709617334</v>
      </c>
      <c r="N30" s="28">
        <f t="shared" si="7"/>
        <v>440123.46511626325</v>
      </c>
      <c r="O30" s="16">
        <f t="shared" si="17"/>
        <v>493683.27816885</v>
      </c>
      <c r="P30" s="43">
        <f t="shared" si="18"/>
        <v>1.1216927005662793</v>
      </c>
    </row>
    <row r="31" spans="1:16">
      <c r="A31" s="4"/>
      <c r="B31" s="29"/>
      <c r="D31" s="32"/>
      <c r="E31" s="30"/>
      <c r="F31" s="29"/>
      <c r="G31" s="4"/>
      <c r="H31" s="4"/>
      <c r="I31" s="4"/>
      <c r="J31" s="27"/>
      <c r="K31" s="4">
        <f>SUM(K7:K30)</f>
        <v>1467361</v>
      </c>
      <c r="L31" s="4"/>
      <c r="M31" s="4"/>
      <c r="N31" s="4"/>
      <c r="O31" s="3" t="s">
        <v>12</v>
      </c>
      <c r="P31" s="43">
        <f>MAX(P7:P30)</f>
        <v>1.3165172576856674</v>
      </c>
    </row>
    <row r="32" spans="1:16">
      <c r="A32" s="4"/>
      <c r="B32" s="29"/>
      <c r="D32" s="32"/>
      <c r="E32" s="30"/>
      <c r="F32" s="29"/>
      <c r="G32" s="4"/>
      <c r="H32" s="4"/>
      <c r="I32" s="4"/>
      <c r="J32" s="27"/>
      <c r="K32" s="4"/>
      <c r="L32" s="4"/>
      <c r="M32" s="4"/>
      <c r="N32" s="4"/>
      <c r="O32" s="3" t="s">
        <v>53</v>
      </c>
      <c r="P32" s="43">
        <f>MIN(P7:P30)</f>
        <v>1.0934473697367855</v>
      </c>
    </row>
    <row r="33" spans="1:14">
      <c r="A33" s="4"/>
      <c r="B33" s="29"/>
      <c r="D33" s="32"/>
      <c r="E33" s="30"/>
      <c r="F33" s="29"/>
      <c r="G33" s="4"/>
      <c r="H33" s="4"/>
      <c r="I33" s="4"/>
      <c r="J33" s="27"/>
      <c r="K33" s="4"/>
      <c r="L33" s="4"/>
      <c r="M33" s="4"/>
      <c r="N33" s="4"/>
    </row>
    <row r="34" spans="1:14">
      <c r="A34" s="4"/>
      <c r="B34" s="29"/>
      <c r="D34" s="32"/>
      <c r="E34" s="30"/>
      <c r="F34" s="29"/>
      <c r="G34" s="4"/>
      <c r="H34" s="4"/>
      <c r="I34" s="4"/>
      <c r="J34" s="27"/>
      <c r="K34" s="4"/>
      <c r="L34" s="4"/>
      <c r="M34" s="4"/>
      <c r="N34" s="4"/>
    </row>
    <row r="35" spans="1:14">
      <c r="A35" s="4"/>
      <c r="B35" s="29"/>
      <c r="D35" s="29"/>
      <c r="E35" s="30"/>
      <c r="F35" s="29"/>
      <c r="G35" s="4"/>
      <c r="H35" s="4"/>
      <c r="I35" s="4"/>
      <c r="J35" s="27"/>
      <c r="K35" s="4"/>
      <c r="L35" s="4"/>
      <c r="M35" s="4"/>
      <c r="N35" s="4"/>
    </row>
    <row r="36" spans="1:14">
      <c r="B36" s="15"/>
      <c r="D36" s="15"/>
      <c r="I36" s="13"/>
      <c r="J36" s="3"/>
    </row>
    <row r="37" spans="1:14">
      <c r="B37" s="15"/>
      <c r="D37" s="15"/>
    </row>
    <row r="38" spans="1:14" ht="52.8">
      <c r="A38" s="5" t="s">
        <v>5</v>
      </c>
      <c r="B38" s="5" t="s">
        <v>13</v>
      </c>
      <c r="C38" s="5" t="s">
        <v>24</v>
      </c>
      <c r="D38" s="5" t="s">
        <v>14</v>
      </c>
      <c r="E38" s="5" t="s">
        <v>55</v>
      </c>
      <c r="F38" s="5" t="s">
        <v>57</v>
      </c>
    </row>
    <row r="39" spans="1:14">
      <c r="A39" s="3">
        <v>298500</v>
      </c>
      <c r="B39" s="3">
        <v>1600.7650000000001</v>
      </c>
      <c r="C39" s="24">
        <v>515219.92287864245</v>
      </c>
      <c r="D39" s="3">
        <v>392863.68857758201</v>
      </c>
      <c r="E39" s="15">
        <f>D39/1000*1.5598+1.525</f>
        <v>614.31378144331245</v>
      </c>
      <c r="F39" s="15">
        <f>D39/1000</f>
        <v>392.86368857758202</v>
      </c>
    </row>
    <row r="40" spans="1:14">
      <c r="A40" s="3">
        <v>34500</v>
      </c>
      <c r="B40" s="3">
        <v>1610.9</v>
      </c>
      <c r="C40" s="24">
        <v>518481.95941640722</v>
      </c>
      <c r="D40" s="3">
        <v>395351.04523751262</v>
      </c>
      <c r="E40" s="15">
        <f t="shared" ref="E40:E47" si="19">D40/1000*1.5598+1.525</f>
        <v>618.19356036147212</v>
      </c>
      <c r="F40" s="15">
        <f t="shared" ref="F40:F47" si="20">D40/1000</f>
        <v>395.35104523751261</v>
      </c>
    </row>
    <row r="41" spans="1:14">
      <c r="A41" s="3">
        <v>121775</v>
      </c>
      <c r="B41" s="3">
        <v>1681.845</v>
      </c>
      <c r="C41" s="24">
        <v>541316.21518076072</v>
      </c>
      <c r="D41" s="3">
        <v>412762.54185702675</v>
      </c>
      <c r="E41" s="15">
        <f t="shared" si="19"/>
        <v>645.35201278859029</v>
      </c>
      <c r="F41" s="15">
        <f t="shared" si="20"/>
        <v>412.76254185702675</v>
      </c>
    </row>
    <row r="42" spans="1:14">
      <c r="A42" s="3">
        <v>256086</v>
      </c>
      <c r="B42" s="3">
        <v>1793.33</v>
      </c>
      <c r="C42" s="24">
        <v>577198.61709617334</v>
      </c>
      <c r="D42" s="3">
        <v>440123.46511626325</v>
      </c>
      <c r="E42" s="15">
        <f t="shared" si="19"/>
        <v>688.02958088834748</v>
      </c>
      <c r="F42" s="15">
        <f t="shared" si="20"/>
        <v>440.12346511626328</v>
      </c>
    </row>
    <row r="43" spans="1:14">
      <c r="A43" s="3">
        <v>125000</v>
      </c>
      <c r="B43" s="3">
        <v>1914.95</v>
      </c>
      <c r="C43" s="24">
        <v>616343.05554935057</v>
      </c>
      <c r="D43" s="3">
        <v>469971.74503543024</v>
      </c>
      <c r="E43" s="15">
        <f t="shared" si="19"/>
        <v>734.58692790626401</v>
      </c>
      <c r="F43" s="15">
        <f t="shared" si="20"/>
        <v>469.97174503543022</v>
      </c>
    </row>
    <row r="44" spans="1:14">
      <c r="A44" s="3">
        <v>36300</v>
      </c>
      <c r="B44" s="3">
        <v>1935.22</v>
      </c>
      <c r="C44" s="24">
        <v>622867.12862488034</v>
      </c>
      <c r="D44" s="3">
        <v>474946.45835529157</v>
      </c>
      <c r="E44" s="15">
        <f t="shared" si="19"/>
        <v>742.34648574258381</v>
      </c>
      <c r="F44" s="15">
        <f t="shared" si="20"/>
        <v>474.94645835529155</v>
      </c>
    </row>
    <row r="45" spans="1:14">
      <c r="A45" s="3">
        <v>78800</v>
      </c>
      <c r="B45" s="3">
        <v>2117.65</v>
      </c>
      <c r="C45" s="24">
        <v>681583.78630464629</v>
      </c>
      <c r="D45" s="3">
        <v>519718.87823404215</v>
      </c>
      <c r="E45" s="15">
        <f t="shared" si="19"/>
        <v>812.18250626945894</v>
      </c>
      <c r="F45" s="15">
        <f t="shared" si="20"/>
        <v>519.71887823404211</v>
      </c>
    </row>
    <row r="46" spans="1:14">
      <c r="A46" s="3">
        <v>44445</v>
      </c>
      <c r="B46" s="3">
        <v>2289.9450000000002</v>
      </c>
      <c r="C46" s="24">
        <v>737038.40744664753</v>
      </c>
      <c r="D46" s="3">
        <v>562003.94145286223</v>
      </c>
      <c r="E46" s="15">
        <f t="shared" si="19"/>
        <v>878.13874787817451</v>
      </c>
      <c r="F46" s="15">
        <f t="shared" si="20"/>
        <v>562.00394145286225</v>
      </c>
    </row>
    <row r="47" spans="1:14">
      <c r="A47" s="3">
        <v>471955</v>
      </c>
      <c r="B47" s="3">
        <v>2441.9699999999998</v>
      </c>
      <c r="C47" s="24">
        <v>785968.95551311923</v>
      </c>
      <c r="D47" s="3">
        <v>599314.29135182104</v>
      </c>
      <c r="E47" s="15">
        <f t="shared" si="19"/>
        <v>936.3354316505704</v>
      </c>
      <c r="F47" s="15">
        <f t="shared" si="20"/>
        <v>599.314291351821</v>
      </c>
    </row>
    <row r="48" spans="1:14">
      <c r="A48" s="4">
        <f>SUM(A39:A47)</f>
        <v>1467361</v>
      </c>
      <c r="B48" s="28"/>
      <c r="C48" s="28"/>
      <c r="I48" s="13"/>
      <c r="J48" s="3"/>
    </row>
  </sheetData>
  <phoneticPr fontId="0" type="noConversion"/>
  <pageMargins left="0.75" right="0.75" top="1" bottom="1" header="0.5" footer="0.5"/>
  <pageSetup scale="60" orientation="landscape" r:id="rId1"/>
  <headerFooter alignWithMargins="0"/>
  <drawing r:id="rId2"/>
  <legacyDrawing r:id="rId3"/>
  <oleObjects>
    <mc:AlternateContent xmlns:mc="http://schemas.openxmlformats.org/markup-compatibility/2006">
      <mc:Choice Requires="x14">
        <oleObject progId="Mathcad" shapeId="12289"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12289" r:id="rId4"/>
      </mc:Fallback>
    </mc:AlternateContent>
    <mc:AlternateContent xmlns:mc="http://schemas.openxmlformats.org/markup-compatibility/2006">
      <mc:Choice Requires="x14">
        <oleObject progId="Mathcad" shapeId="12290"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12290" r:id="rId6"/>
      </mc:Fallback>
    </mc:AlternateContent>
    <mc:AlternateContent xmlns:mc="http://schemas.openxmlformats.org/markup-compatibility/2006">
      <mc:Choice Requires="x14">
        <oleObject progId="Mathcad" shapeId="12293" r:id="rId8">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12293" r:id="rId8"/>
      </mc:Fallback>
    </mc:AlternateContent>
    <mc:AlternateContent xmlns:mc="http://schemas.openxmlformats.org/markup-compatibility/2006">
      <mc:Choice Requires="x14">
        <oleObject progId="Mathcad" shapeId="12294" r:id="rId9">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12294"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29"/>
  <sheetViews>
    <sheetView topLeftCell="A21" workbookViewId="0">
      <selection activeCell="F23" sqref="F23:F28"/>
    </sheetView>
  </sheetViews>
  <sheetFormatPr defaultColWidth="9" defaultRowHeight="13.2"/>
  <cols>
    <col min="1" max="1" width="9" style="3"/>
    <col min="2" max="2" width="9.109375" style="3" bestFit="1" customWidth="1"/>
    <col min="3" max="3" width="9.109375" style="24" bestFit="1" customWidth="1"/>
    <col min="4" max="4" width="9.109375" style="3" bestFit="1" customWidth="1"/>
    <col min="5" max="9" width="9" style="3"/>
    <col min="10" max="10" width="9.33203125" style="13" customWidth="1"/>
    <col min="11" max="16384" width="9" style="3"/>
  </cols>
  <sheetData>
    <row r="1" spans="1:16" s="1" customFormat="1">
      <c r="A1" s="25" t="s">
        <v>39</v>
      </c>
      <c r="B1" s="25"/>
      <c r="C1" s="20" t="s">
        <v>10</v>
      </c>
      <c r="D1" s="25">
        <v>387.6</v>
      </c>
      <c r="E1" s="25" t="s">
        <v>11</v>
      </c>
      <c r="F1" s="25" t="s">
        <v>20</v>
      </c>
      <c r="G1" s="26">
        <f>D4/(2*D3)</f>
        <v>1485.8075040783035</v>
      </c>
      <c r="H1" s="25" t="s">
        <v>26</v>
      </c>
      <c r="I1" s="25"/>
      <c r="J1" s="27"/>
      <c r="K1" s="25"/>
      <c r="L1" s="25"/>
      <c r="M1" s="25"/>
      <c r="N1" s="25"/>
    </row>
    <row r="2" spans="1:16">
      <c r="A2" s="4"/>
      <c r="B2" s="4"/>
      <c r="C2" s="31" t="s">
        <v>15</v>
      </c>
      <c r="D2" s="4">
        <v>384.9</v>
      </c>
      <c r="E2" s="4" t="s">
        <v>11</v>
      </c>
      <c r="F2" s="4" t="s">
        <v>21</v>
      </c>
      <c r="G2" s="4">
        <f>SQRT(1/(D3*D5))</f>
        <v>8244.4965742557415</v>
      </c>
      <c r="H2" s="4" t="s">
        <v>26</v>
      </c>
      <c r="I2" s="4"/>
      <c r="J2" s="27"/>
      <c r="K2" s="4"/>
      <c r="L2" s="4"/>
      <c r="M2" s="4"/>
      <c r="N2" s="4"/>
    </row>
    <row r="3" spans="1:16">
      <c r="A3" s="4"/>
      <c r="B3" s="4"/>
      <c r="C3" s="31" t="s">
        <v>16</v>
      </c>
      <c r="D3" s="28">
        <v>3.0649999999999999E-6</v>
      </c>
      <c r="E3" s="4" t="s">
        <v>17</v>
      </c>
      <c r="F3" s="4" t="s">
        <v>25</v>
      </c>
      <c r="G3" s="28">
        <v>1.705E-4</v>
      </c>
      <c r="H3" s="4" t="s">
        <v>27</v>
      </c>
      <c r="I3" s="4"/>
      <c r="J3" s="27"/>
      <c r="K3" s="4"/>
      <c r="L3" s="4"/>
      <c r="M3" s="4"/>
      <c r="N3" s="4"/>
    </row>
    <row r="4" spans="1:16">
      <c r="A4" s="4"/>
      <c r="B4" s="4"/>
      <c r="C4" s="31" t="s">
        <v>18</v>
      </c>
      <c r="D4" s="28">
        <v>9.1079999999999998E-3</v>
      </c>
      <c r="E4" s="4" t="s">
        <v>19</v>
      </c>
      <c r="F4" s="4"/>
      <c r="G4" s="4"/>
      <c r="H4" s="4"/>
      <c r="I4" s="4"/>
      <c r="J4" s="27"/>
      <c r="K4" s="4"/>
      <c r="L4" s="4"/>
      <c r="M4" s="4"/>
      <c r="N4" s="4"/>
    </row>
    <row r="5" spans="1:16">
      <c r="A5" s="4"/>
      <c r="B5" s="4"/>
      <c r="C5" s="31" t="s">
        <v>22</v>
      </c>
      <c r="D5" s="28">
        <v>4.7999999999999996E-3</v>
      </c>
      <c r="E5" s="4" t="s">
        <v>23</v>
      </c>
      <c r="F5" s="4"/>
      <c r="G5" s="4"/>
      <c r="H5" s="4"/>
      <c r="I5" s="4"/>
      <c r="J5" s="27"/>
      <c r="K5" s="4"/>
      <c r="L5" s="4"/>
      <c r="M5" s="4"/>
      <c r="N5" s="4"/>
    </row>
    <row r="6" spans="1:16" s="6" customFormat="1" ht="92.4">
      <c r="A6" s="2" t="s">
        <v>0</v>
      </c>
      <c r="B6" s="2" t="s">
        <v>5</v>
      </c>
      <c r="C6" s="21" t="s">
        <v>1</v>
      </c>
      <c r="D6" s="2" t="s">
        <v>2</v>
      </c>
      <c r="E6" s="2" t="s">
        <v>3</v>
      </c>
      <c r="F6" s="2" t="s">
        <v>9</v>
      </c>
      <c r="G6" s="2" t="s">
        <v>7</v>
      </c>
      <c r="H6" s="2" t="s">
        <v>8</v>
      </c>
      <c r="I6" s="2" t="s">
        <v>4</v>
      </c>
      <c r="J6" s="14"/>
      <c r="K6" s="5" t="s">
        <v>5</v>
      </c>
      <c r="L6" s="5" t="s">
        <v>13</v>
      </c>
      <c r="M6" s="5" t="s">
        <v>24</v>
      </c>
      <c r="N6" s="5" t="s">
        <v>14</v>
      </c>
      <c r="O6" s="6" t="s">
        <v>52</v>
      </c>
      <c r="P6" s="6" t="s">
        <v>54</v>
      </c>
    </row>
    <row r="7" spans="1:16">
      <c r="A7" s="2">
        <v>0</v>
      </c>
      <c r="B7" s="8">
        <v>0</v>
      </c>
      <c r="C7" s="22"/>
      <c r="D7" s="9"/>
      <c r="E7" s="10">
        <v>33652</v>
      </c>
      <c r="F7" s="12">
        <f>(0.2027*A7+1.2055)*1000</f>
        <v>1205.5</v>
      </c>
      <c r="G7" s="12">
        <f t="shared" ref="G7:G18" si="0">D7*157.4</f>
        <v>0</v>
      </c>
      <c r="H7" s="12">
        <f>C7*7.751*157.4</f>
        <v>0</v>
      </c>
      <c r="I7" s="9" t="e">
        <f>G7/H7</f>
        <v>#DIV/0!</v>
      </c>
      <c r="J7" s="27"/>
      <c r="K7" s="4"/>
      <c r="L7" s="4"/>
      <c r="M7" s="4"/>
      <c r="N7" s="4"/>
    </row>
    <row r="8" spans="1:16">
      <c r="A8" s="2">
        <v>0</v>
      </c>
      <c r="B8" s="8">
        <v>1292</v>
      </c>
      <c r="C8" s="22"/>
      <c r="D8" s="9"/>
      <c r="E8" s="10">
        <v>33652</v>
      </c>
      <c r="F8" s="12">
        <f t="shared" ref="F8:F18" si="1">(0.2027*A8+1.2055)*1000</f>
        <v>1205.5</v>
      </c>
      <c r="G8" s="12">
        <f t="shared" si="0"/>
        <v>0</v>
      </c>
      <c r="H8" s="12">
        <f t="shared" ref="H8:H18" si="2">C8*7.751*157.4</f>
        <v>0</v>
      </c>
      <c r="I8" s="9" t="e">
        <f t="shared" ref="I8:I18" si="3">G8/H8</f>
        <v>#DIV/0!</v>
      </c>
      <c r="J8" s="27"/>
      <c r="K8" s="4">
        <f>B8-B7</f>
        <v>1292</v>
      </c>
      <c r="L8" s="29">
        <f>F8</f>
        <v>1205.5</v>
      </c>
      <c r="M8" s="28">
        <f>8*F8/($D$3*SQRT($G$2^2-$G$1^2))</f>
        <v>388000.49790581595</v>
      </c>
      <c r="N8" s="28">
        <f t="shared" ref="N8:N18" si="4">M8*(EXP(-$G$1*$G$3))*SIN(SQRT($G$2^2-$G$1^2)*$G$3)</f>
        <v>295856.77884028893</v>
      </c>
      <c r="O8" s="16">
        <f>1000*(D8*1000-228.75)*8/64.353</f>
        <v>-28436.902708498441</v>
      </c>
      <c r="P8" s="43" t="str">
        <f>IF(O8/N8&gt;0.5,O8/N8,"")</f>
        <v/>
      </c>
    </row>
    <row r="9" spans="1:16">
      <c r="A9" s="8">
        <v>3.75</v>
      </c>
      <c r="B9" s="8">
        <v>1292</v>
      </c>
      <c r="C9" s="9">
        <v>0.5</v>
      </c>
      <c r="D9" s="9">
        <v>4.5999999999999996</v>
      </c>
      <c r="E9" s="10">
        <v>33654</v>
      </c>
      <c r="F9" s="12">
        <f t="shared" si="1"/>
        <v>1965.625</v>
      </c>
      <c r="G9" s="12">
        <f t="shared" si="0"/>
        <v>724.04</v>
      </c>
      <c r="H9" s="12">
        <f t="shared" si="2"/>
        <v>610.00370000000009</v>
      </c>
      <c r="I9" s="9">
        <f t="shared" si="3"/>
        <v>1.1869436201780412</v>
      </c>
      <c r="J9" s="27"/>
      <c r="K9" s="4">
        <f t="shared" ref="K9:K18" si="5">B9-B8</f>
        <v>0</v>
      </c>
      <c r="L9" s="29">
        <f t="shared" ref="L9:L18" si="6">F9</f>
        <v>1965.625</v>
      </c>
      <c r="M9" s="28">
        <f t="shared" ref="M9:M18" si="7">8*F9/($D$3*SQRT($G$2^2-$G$1^2))</f>
        <v>632653.23823817458</v>
      </c>
      <c r="N9" s="28">
        <f t="shared" si="4"/>
        <v>482408.52833508328</v>
      </c>
      <c r="O9" s="16">
        <f t="shared" ref="O9:O18" si="8">1000*(D9*1000-228.75)*8/64.353</f>
        <v>543409.00968097837</v>
      </c>
      <c r="P9" s="43">
        <f t="shared" ref="P9:P18" si="9">IF(O9/N9&gt;0.5,O9/N9,"")</f>
        <v>1.1264498402555683</v>
      </c>
    </row>
    <row r="10" spans="1:16">
      <c r="A10" s="8">
        <v>3.75</v>
      </c>
      <c r="B10" s="8">
        <v>87600</v>
      </c>
      <c r="C10" s="9">
        <v>0.5</v>
      </c>
      <c r="D10" s="9">
        <v>4.5999999999999996</v>
      </c>
      <c r="E10" s="10">
        <v>33654</v>
      </c>
      <c r="F10" s="12">
        <f t="shared" si="1"/>
        <v>1965.625</v>
      </c>
      <c r="G10" s="12">
        <f t="shared" si="0"/>
        <v>724.04</v>
      </c>
      <c r="H10" s="12">
        <f t="shared" si="2"/>
        <v>610.00370000000009</v>
      </c>
      <c r="I10" s="9">
        <f t="shared" si="3"/>
        <v>1.1869436201780412</v>
      </c>
      <c r="J10" s="27"/>
      <c r="K10" s="4">
        <f t="shared" si="5"/>
        <v>86308</v>
      </c>
      <c r="L10" s="29">
        <f t="shared" si="6"/>
        <v>1965.625</v>
      </c>
      <c r="M10" s="28">
        <f t="shared" si="7"/>
        <v>632653.23823817458</v>
      </c>
      <c r="N10" s="28">
        <f t="shared" si="4"/>
        <v>482408.52833508328</v>
      </c>
      <c r="O10" s="16">
        <f t="shared" si="8"/>
        <v>543409.00968097837</v>
      </c>
      <c r="P10" s="43">
        <f t="shared" si="9"/>
        <v>1.1264498402555683</v>
      </c>
    </row>
    <row r="11" spans="1:16">
      <c r="A11" s="8">
        <v>0</v>
      </c>
      <c r="B11" s="8">
        <v>87600</v>
      </c>
      <c r="C11" s="9"/>
      <c r="D11" s="9"/>
      <c r="E11" s="10">
        <v>33655</v>
      </c>
      <c r="F11" s="12">
        <f t="shared" si="1"/>
        <v>1205.5</v>
      </c>
      <c r="G11" s="12">
        <f t="shared" si="0"/>
        <v>0</v>
      </c>
      <c r="H11" s="12">
        <f t="shared" si="2"/>
        <v>0</v>
      </c>
      <c r="I11" s="9" t="e">
        <f t="shared" si="3"/>
        <v>#DIV/0!</v>
      </c>
      <c r="J11" s="27"/>
      <c r="K11" s="4">
        <f t="shared" si="5"/>
        <v>0</v>
      </c>
      <c r="L11" s="29">
        <f t="shared" si="6"/>
        <v>1205.5</v>
      </c>
      <c r="M11" s="28">
        <f t="shared" si="7"/>
        <v>388000.49790581595</v>
      </c>
      <c r="N11" s="28">
        <f t="shared" si="4"/>
        <v>295856.77884028893</v>
      </c>
      <c r="O11" s="16">
        <f t="shared" si="8"/>
        <v>-28436.902708498441</v>
      </c>
      <c r="P11" s="43" t="str">
        <f t="shared" si="9"/>
        <v/>
      </c>
    </row>
    <row r="12" spans="1:16">
      <c r="A12" s="8">
        <v>0</v>
      </c>
      <c r="B12" s="8">
        <v>89451</v>
      </c>
      <c r="C12" s="9"/>
      <c r="D12" s="9"/>
      <c r="E12" s="10">
        <v>33655</v>
      </c>
      <c r="F12" s="12">
        <f t="shared" si="1"/>
        <v>1205.5</v>
      </c>
      <c r="G12" s="12">
        <f t="shared" si="0"/>
        <v>0</v>
      </c>
      <c r="H12" s="12">
        <f t="shared" si="2"/>
        <v>0</v>
      </c>
      <c r="I12" s="9" t="e">
        <f t="shared" si="3"/>
        <v>#DIV/0!</v>
      </c>
      <c r="J12" s="27"/>
      <c r="K12" s="4">
        <f t="shared" si="5"/>
        <v>1851</v>
      </c>
      <c r="L12" s="29">
        <f t="shared" si="6"/>
        <v>1205.5</v>
      </c>
      <c r="M12" s="28">
        <f t="shared" si="7"/>
        <v>388000.49790581595</v>
      </c>
      <c r="N12" s="28">
        <f t="shared" si="4"/>
        <v>295856.77884028893</v>
      </c>
      <c r="O12" s="16">
        <f t="shared" si="8"/>
        <v>-28436.902708498441</v>
      </c>
      <c r="P12" s="43" t="str">
        <f t="shared" si="9"/>
        <v/>
      </c>
    </row>
    <row r="13" spans="1:16">
      <c r="A13" s="8">
        <v>4.5999999999999996</v>
      </c>
      <c r="B13" s="8">
        <v>89451</v>
      </c>
      <c r="C13" s="9">
        <v>0.55000000000000004</v>
      </c>
      <c r="D13" s="8">
        <v>5</v>
      </c>
      <c r="E13" s="10">
        <v>33655</v>
      </c>
      <c r="F13" s="12">
        <f t="shared" si="1"/>
        <v>2137.9199999999996</v>
      </c>
      <c r="G13" s="12">
        <f t="shared" si="0"/>
        <v>787</v>
      </c>
      <c r="H13" s="12">
        <f t="shared" si="2"/>
        <v>671.00407000000018</v>
      </c>
      <c r="I13" s="9">
        <f t="shared" si="3"/>
        <v>1.1728691898992503</v>
      </c>
      <c r="J13" s="27"/>
      <c r="K13" s="4">
        <f t="shared" si="5"/>
        <v>0</v>
      </c>
      <c r="L13" s="29">
        <f t="shared" si="6"/>
        <v>2137.9199999999996</v>
      </c>
      <c r="M13" s="28">
        <f t="shared" si="7"/>
        <v>688107.85938017571</v>
      </c>
      <c r="N13" s="28">
        <f t="shared" si="4"/>
        <v>524693.59155390318</v>
      </c>
      <c r="O13" s="16">
        <f t="shared" si="8"/>
        <v>593134.74119310686</v>
      </c>
      <c r="P13" s="43">
        <f t="shared" si="9"/>
        <v>1.1304402240486913</v>
      </c>
    </row>
    <row r="14" spans="1:16">
      <c r="A14" s="8">
        <v>4.5999999999999996</v>
      </c>
      <c r="B14" s="8">
        <v>164000</v>
      </c>
      <c r="C14" s="9">
        <v>0.55000000000000004</v>
      </c>
      <c r="D14" s="8">
        <v>5</v>
      </c>
      <c r="E14" s="10">
        <v>33659</v>
      </c>
      <c r="F14" s="12">
        <f t="shared" si="1"/>
        <v>2137.9199999999996</v>
      </c>
      <c r="G14" s="12">
        <f t="shared" si="0"/>
        <v>787</v>
      </c>
      <c r="H14" s="12">
        <f t="shared" si="2"/>
        <v>671.00407000000018</v>
      </c>
      <c r="I14" s="9">
        <f t="shared" si="3"/>
        <v>1.1728691898992503</v>
      </c>
      <c r="J14" s="27"/>
      <c r="K14" s="4">
        <f t="shared" si="5"/>
        <v>74549</v>
      </c>
      <c r="L14" s="29">
        <f t="shared" si="6"/>
        <v>2137.9199999999996</v>
      </c>
      <c r="M14" s="28">
        <f t="shared" si="7"/>
        <v>688107.85938017571</v>
      </c>
      <c r="N14" s="28">
        <f t="shared" si="4"/>
        <v>524693.59155390318</v>
      </c>
      <c r="O14" s="16">
        <f t="shared" si="8"/>
        <v>593134.74119310686</v>
      </c>
      <c r="P14" s="43">
        <f t="shared" si="9"/>
        <v>1.1304402240486913</v>
      </c>
    </row>
    <row r="15" spans="1:16">
      <c r="A15" s="8">
        <v>6.25</v>
      </c>
      <c r="B15" s="8">
        <v>164000</v>
      </c>
      <c r="C15" s="9">
        <v>0.64</v>
      </c>
      <c r="D15" s="8">
        <v>5.7</v>
      </c>
      <c r="E15" s="10">
        <v>33659</v>
      </c>
      <c r="F15" s="12">
        <f t="shared" si="1"/>
        <v>2472.375</v>
      </c>
      <c r="G15" s="12">
        <f t="shared" si="0"/>
        <v>897.18000000000006</v>
      </c>
      <c r="H15" s="12">
        <f t="shared" si="2"/>
        <v>780.80473600000016</v>
      </c>
      <c r="I15" s="9">
        <f t="shared" si="3"/>
        <v>1.1490452844794219</v>
      </c>
      <c r="J15" s="27"/>
      <c r="K15" s="4">
        <f t="shared" si="5"/>
        <v>0</v>
      </c>
      <c r="L15" s="29">
        <f t="shared" si="6"/>
        <v>2472.375</v>
      </c>
      <c r="M15" s="28">
        <f t="shared" si="7"/>
        <v>795755.0651264136</v>
      </c>
      <c r="N15" s="28">
        <f t="shared" si="4"/>
        <v>606776.36133161292</v>
      </c>
      <c r="O15" s="16">
        <f t="shared" si="8"/>
        <v>680154.77133933152</v>
      </c>
      <c r="P15" s="43">
        <f t="shared" si="9"/>
        <v>1.1209315568040332</v>
      </c>
    </row>
    <row r="16" spans="1:16">
      <c r="A16" s="8">
        <v>6.25</v>
      </c>
      <c r="B16" s="8">
        <v>333300</v>
      </c>
      <c r="C16" s="9">
        <v>0.64</v>
      </c>
      <c r="D16" s="8">
        <v>5.7</v>
      </c>
      <c r="E16" s="10">
        <v>33663</v>
      </c>
      <c r="F16" s="12">
        <f t="shared" si="1"/>
        <v>2472.375</v>
      </c>
      <c r="G16" s="12">
        <f t="shared" si="0"/>
        <v>897.18000000000006</v>
      </c>
      <c r="H16" s="12">
        <f t="shared" si="2"/>
        <v>780.80473600000016</v>
      </c>
      <c r="I16" s="9">
        <f t="shared" si="3"/>
        <v>1.1490452844794219</v>
      </c>
      <c r="J16" s="27"/>
      <c r="K16" s="4">
        <f t="shared" si="5"/>
        <v>169300</v>
      </c>
      <c r="L16" s="29">
        <f t="shared" si="6"/>
        <v>2472.375</v>
      </c>
      <c r="M16" s="28">
        <f t="shared" si="7"/>
        <v>795755.0651264136</v>
      </c>
      <c r="N16" s="28">
        <f t="shared" si="4"/>
        <v>606776.36133161292</v>
      </c>
      <c r="O16" s="16">
        <f t="shared" si="8"/>
        <v>680154.77133933152</v>
      </c>
      <c r="P16" s="43">
        <f t="shared" si="9"/>
        <v>1.1209315568040332</v>
      </c>
    </row>
    <row r="17" spans="1:16">
      <c r="A17" s="8">
        <v>4.6500000000000004</v>
      </c>
      <c r="B17" s="8">
        <v>333300</v>
      </c>
      <c r="C17" s="9">
        <v>0.55000000000000004</v>
      </c>
      <c r="D17" s="8">
        <v>5</v>
      </c>
      <c r="E17" s="10">
        <v>33663</v>
      </c>
      <c r="F17" s="12">
        <f t="shared" si="1"/>
        <v>2148.0550000000003</v>
      </c>
      <c r="G17" s="12">
        <f t="shared" si="0"/>
        <v>787</v>
      </c>
      <c r="H17" s="12">
        <f t="shared" si="2"/>
        <v>671.00407000000018</v>
      </c>
      <c r="I17" s="9">
        <f t="shared" si="3"/>
        <v>1.1728691898992503</v>
      </c>
      <c r="J17" s="27"/>
      <c r="K17" s="4">
        <f t="shared" si="5"/>
        <v>0</v>
      </c>
      <c r="L17" s="29">
        <f t="shared" si="6"/>
        <v>2148.0550000000003</v>
      </c>
      <c r="M17" s="28">
        <f t="shared" si="7"/>
        <v>691369.89591794077</v>
      </c>
      <c r="N17" s="28">
        <f t="shared" si="4"/>
        <v>527180.94821383397</v>
      </c>
      <c r="O17" s="16">
        <f t="shared" si="8"/>
        <v>593134.74119310686</v>
      </c>
      <c r="P17" s="43">
        <f t="shared" si="9"/>
        <v>1.1251065563024119</v>
      </c>
    </row>
    <row r="18" spans="1:16">
      <c r="A18" s="8">
        <v>4.6500000000000004</v>
      </c>
      <c r="B18" s="8">
        <v>407300</v>
      </c>
      <c r="C18" s="9">
        <v>0.55000000000000004</v>
      </c>
      <c r="D18" s="8">
        <v>5</v>
      </c>
      <c r="E18" s="10">
        <v>33665</v>
      </c>
      <c r="F18" s="12">
        <f t="shared" si="1"/>
        <v>2148.0550000000003</v>
      </c>
      <c r="G18" s="12">
        <f t="shared" si="0"/>
        <v>787</v>
      </c>
      <c r="H18" s="12">
        <f t="shared" si="2"/>
        <v>671.00407000000018</v>
      </c>
      <c r="I18" s="9">
        <f t="shared" si="3"/>
        <v>1.1728691898992503</v>
      </c>
      <c r="J18" s="27"/>
      <c r="K18" s="4">
        <f t="shared" si="5"/>
        <v>74000</v>
      </c>
      <c r="L18" s="29">
        <f t="shared" si="6"/>
        <v>2148.0550000000003</v>
      </c>
      <c r="M18" s="28">
        <f t="shared" si="7"/>
        <v>691369.89591794077</v>
      </c>
      <c r="N18" s="28">
        <f t="shared" si="4"/>
        <v>527180.94821383397</v>
      </c>
      <c r="O18" s="16">
        <f t="shared" si="8"/>
        <v>593134.74119310686</v>
      </c>
      <c r="P18" s="43">
        <f t="shared" si="9"/>
        <v>1.1251065563024119</v>
      </c>
    </row>
    <row r="19" spans="1:16">
      <c r="A19" s="4"/>
      <c r="B19" s="29"/>
      <c r="D19" s="29"/>
      <c r="E19" s="4"/>
      <c r="F19" s="29">
        <f>MAX(F7:F18)</f>
        <v>2472.375</v>
      </c>
      <c r="G19" s="4"/>
      <c r="H19" s="4"/>
      <c r="I19" s="4"/>
      <c r="J19" s="27"/>
      <c r="K19" s="4">
        <f>SUM(K8:K18)</f>
        <v>407300</v>
      </c>
      <c r="L19" s="4"/>
      <c r="M19" s="4"/>
      <c r="N19" s="4"/>
      <c r="O19" s="3" t="s">
        <v>12</v>
      </c>
      <c r="P19" s="43">
        <f>MAX(P7:P18)</f>
        <v>1.1304402240486913</v>
      </c>
    </row>
    <row r="20" spans="1:16">
      <c r="A20" s="3" t="s">
        <v>41</v>
      </c>
      <c r="B20" s="15"/>
      <c r="D20" s="15"/>
      <c r="I20" s="13"/>
      <c r="J20" s="3"/>
      <c r="O20" s="3" t="s">
        <v>53</v>
      </c>
      <c r="P20" s="43">
        <f>MIN(P7:P18)</f>
        <v>1.1209315568040332</v>
      </c>
    </row>
    <row r="21" spans="1:16">
      <c r="B21" s="15"/>
      <c r="D21" s="15"/>
    </row>
    <row r="22" spans="1:16" ht="52.8">
      <c r="A22" s="5" t="s">
        <v>5</v>
      </c>
      <c r="B22" s="5" t="s">
        <v>13</v>
      </c>
      <c r="C22" s="5" t="s">
        <v>24</v>
      </c>
      <c r="D22" s="5" t="s">
        <v>14</v>
      </c>
      <c r="E22" s="5" t="s">
        <v>55</v>
      </c>
      <c r="F22" s="5" t="s">
        <v>57</v>
      </c>
    </row>
    <row r="23" spans="1:16">
      <c r="A23" s="4">
        <v>1292</v>
      </c>
      <c r="B23" s="29">
        <v>1205.5</v>
      </c>
      <c r="C23" s="28">
        <v>388000.49790581595</v>
      </c>
      <c r="D23" s="28">
        <v>295856.77884028893</v>
      </c>
      <c r="E23" s="15">
        <f t="shared" ref="E23:E28" si="10">D23/1000*1.5598+1.525</f>
        <v>463.00240363508271</v>
      </c>
      <c r="F23" s="15">
        <f t="shared" ref="F23:F28" si="11">D23/1000</f>
        <v>295.85677884028894</v>
      </c>
    </row>
    <row r="24" spans="1:16">
      <c r="A24" s="4">
        <v>1851</v>
      </c>
      <c r="B24" s="29">
        <v>1205.5</v>
      </c>
      <c r="C24" s="28">
        <v>388000.49790581595</v>
      </c>
      <c r="D24" s="28">
        <v>295856.77884028893</v>
      </c>
      <c r="E24" s="15">
        <f t="shared" si="10"/>
        <v>463.00240363508271</v>
      </c>
      <c r="F24" s="15">
        <f t="shared" si="11"/>
        <v>295.85677884028894</v>
      </c>
    </row>
    <row r="25" spans="1:16">
      <c r="A25" s="4">
        <v>86308</v>
      </c>
      <c r="B25" s="29">
        <v>1965.625</v>
      </c>
      <c r="C25" s="28">
        <v>632653.23823817458</v>
      </c>
      <c r="D25" s="28">
        <v>482408.52833508328</v>
      </c>
      <c r="E25" s="15">
        <f t="shared" si="10"/>
        <v>753.98582249706294</v>
      </c>
      <c r="F25" s="15">
        <f t="shared" si="11"/>
        <v>482.4085283350833</v>
      </c>
    </row>
    <row r="26" spans="1:16">
      <c r="A26" s="4">
        <v>74549</v>
      </c>
      <c r="B26" s="29">
        <v>2137.92</v>
      </c>
      <c r="C26" s="28">
        <v>688107.85938017571</v>
      </c>
      <c r="D26" s="28">
        <v>524693.59155390318</v>
      </c>
      <c r="E26" s="15">
        <f t="shared" si="10"/>
        <v>819.94206410577817</v>
      </c>
      <c r="F26" s="15">
        <f t="shared" si="11"/>
        <v>524.69359155390316</v>
      </c>
    </row>
    <row r="27" spans="1:16">
      <c r="A27" s="4">
        <v>74000</v>
      </c>
      <c r="B27" s="29">
        <v>2148.0549999999998</v>
      </c>
      <c r="C27" s="28">
        <v>691369.89591794077</v>
      </c>
      <c r="D27" s="28">
        <v>527180.94821383397</v>
      </c>
      <c r="E27" s="15">
        <f t="shared" si="10"/>
        <v>823.8218430239383</v>
      </c>
      <c r="F27" s="15">
        <f t="shared" si="11"/>
        <v>527.18094821383397</v>
      </c>
    </row>
    <row r="28" spans="1:16">
      <c r="A28" s="4">
        <v>169300</v>
      </c>
      <c r="B28" s="29">
        <v>2472.375</v>
      </c>
      <c r="C28" s="28">
        <v>795755.0651264136</v>
      </c>
      <c r="D28" s="28">
        <v>606776.36133161292</v>
      </c>
      <c r="E28" s="15">
        <f t="shared" si="10"/>
        <v>947.97476840504999</v>
      </c>
      <c r="F28" s="15">
        <f t="shared" si="11"/>
        <v>606.77636133161297</v>
      </c>
    </row>
    <row r="29" spans="1:16">
      <c r="A29" s="4">
        <f>SUM(A23:A28)</f>
        <v>407300</v>
      </c>
      <c r="B29" s="4"/>
      <c r="C29" s="4"/>
      <c r="D29" s="4"/>
    </row>
  </sheetData>
  <phoneticPr fontId="0" type="noConversion"/>
  <pageMargins left="0.75" right="0.75" top="1" bottom="1" header="0.5" footer="0.5"/>
  <pageSetup scale="83" orientation="landscape" horizontalDpi="355" verticalDpi="355" r:id="rId1"/>
  <headerFooter alignWithMargins="0"/>
  <drawing r:id="rId2"/>
  <legacyDrawing r:id="rId3"/>
  <oleObjects>
    <mc:AlternateContent xmlns:mc="http://schemas.openxmlformats.org/markup-compatibility/2006">
      <mc:Choice Requires="x14">
        <oleObject progId="Mathcad" shapeId="11265"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11265" r:id="rId4"/>
      </mc:Fallback>
    </mc:AlternateContent>
    <mc:AlternateContent xmlns:mc="http://schemas.openxmlformats.org/markup-compatibility/2006">
      <mc:Choice Requires="x14">
        <oleObject progId="Mathcad" shapeId="11266"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11266" r:id="rId6"/>
      </mc:Fallback>
    </mc:AlternateContent>
    <mc:AlternateContent xmlns:mc="http://schemas.openxmlformats.org/markup-compatibility/2006">
      <mc:Choice Requires="x14">
        <oleObject progId="Mathcad" shapeId="11269" r:id="rId8">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11269" r:id="rId8"/>
      </mc:Fallback>
    </mc:AlternateContent>
    <mc:AlternateContent xmlns:mc="http://schemas.openxmlformats.org/markup-compatibility/2006">
      <mc:Choice Requires="x14">
        <oleObject progId="Mathcad" shapeId="11270" r:id="rId9">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11270"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42"/>
  <sheetViews>
    <sheetView topLeftCell="A25" workbookViewId="0">
      <selection activeCell="A69" sqref="A69"/>
    </sheetView>
  </sheetViews>
  <sheetFormatPr defaultColWidth="9" defaultRowHeight="13.2"/>
  <cols>
    <col min="1" max="1" width="9" style="3"/>
    <col min="2" max="2" width="9.109375" style="3" bestFit="1" customWidth="1"/>
    <col min="3" max="3" width="9.109375" style="24" bestFit="1" customWidth="1"/>
    <col min="4" max="4" width="9.109375" style="3" bestFit="1" customWidth="1"/>
    <col min="5" max="9" width="9" style="3"/>
    <col min="10" max="10" width="9.33203125" style="13" customWidth="1"/>
    <col min="11" max="16384" width="9" style="3"/>
  </cols>
  <sheetData>
    <row r="1" spans="1:16" s="1" customFormat="1">
      <c r="A1" s="25" t="s">
        <v>40</v>
      </c>
      <c r="B1" s="25"/>
      <c r="C1" s="20" t="s">
        <v>10</v>
      </c>
      <c r="D1" s="25">
        <v>385</v>
      </c>
      <c r="E1" s="25" t="s">
        <v>11</v>
      </c>
      <c r="F1" s="25" t="s">
        <v>20</v>
      </c>
      <c r="G1" s="26">
        <f>D4/(2*D3)</f>
        <v>1485.8075040783035</v>
      </c>
      <c r="H1" s="25" t="s">
        <v>26</v>
      </c>
      <c r="I1" s="25"/>
      <c r="J1" s="27"/>
      <c r="K1" s="25"/>
      <c r="L1" s="25"/>
      <c r="M1" s="25"/>
      <c r="N1" s="25"/>
    </row>
    <row r="2" spans="1:16">
      <c r="A2" s="4"/>
      <c r="B2" s="4"/>
      <c r="C2" s="31" t="s">
        <v>15</v>
      </c>
      <c r="D2" s="4">
        <v>384.9</v>
      </c>
      <c r="E2" s="4" t="s">
        <v>11</v>
      </c>
      <c r="F2" s="4" t="s">
        <v>21</v>
      </c>
      <c r="G2" s="4">
        <f>SQRT(1/(D3*D5))</f>
        <v>8244.4965742557415</v>
      </c>
      <c r="H2" s="4" t="s">
        <v>26</v>
      </c>
      <c r="I2" s="4"/>
      <c r="J2" s="27"/>
      <c r="K2" s="4"/>
      <c r="L2" s="4"/>
      <c r="M2" s="4"/>
      <c r="N2" s="4"/>
    </row>
    <row r="3" spans="1:16">
      <c r="A3" s="4"/>
      <c r="B3" s="4"/>
      <c r="C3" s="31" t="s">
        <v>16</v>
      </c>
      <c r="D3" s="28">
        <v>3.0649999999999999E-6</v>
      </c>
      <c r="E3" s="4" t="s">
        <v>17</v>
      </c>
      <c r="F3" s="4" t="s">
        <v>25</v>
      </c>
      <c r="G3" s="28">
        <v>1.705E-4</v>
      </c>
      <c r="H3" s="4" t="s">
        <v>27</v>
      </c>
      <c r="I3" s="4"/>
      <c r="J3" s="27"/>
      <c r="K3" s="4"/>
      <c r="L3" s="4"/>
      <c r="M3" s="4"/>
      <c r="N3" s="4"/>
    </row>
    <row r="4" spans="1:16">
      <c r="A4" s="4"/>
      <c r="B4" s="4"/>
      <c r="C4" s="31" t="s">
        <v>18</v>
      </c>
      <c r="D4" s="28">
        <v>9.1079999999999998E-3</v>
      </c>
      <c r="E4" s="4" t="s">
        <v>19</v>
      </c>
      <c r="F4" s="4"/>
      <c r="G4" s="4"/>
      <c r="H4" s="4"/>
      <c r="I4" s="4"/>
      <c r="J4" s="27"/>
      <c r="K4" s="4"/>
      <c r="L4" s="4"/>
      <c r="M4" s="4"/>
      <c r="N4" s="4"/>
    </row>
    <row r="5" spans="1:16">
      <c r="A5" s="4"/>
      <c r="B5" s="4"/>
      <c r="C5" s="31" t="s">
        <v>22</v>
      </c>
      <c r="D5" s="28">
        <v>4.7999999999999996E-3</v>
      </c>
      <c r="E5" s="4" t="s">
        <v>23</v>
      </c>
      <c r="F5" s="4"/>
      <c r="G5" s="4"/>
      <c r="H5" s="4"/>
      <c r="I5" s="4"/>
      <c r="J5" s="27"/>
      <c r="K5" s="4"/>
      <c r="L5" s="4"/>
      <c r="M5" s="4"/>
      <c r="N5" s="4"/>
    </row>
    <row r="6" spans="1:16" s="6" customFormat="1" ht="92.4">
      <c r="A6" s="2" t="s">
        <v>0</v>
      </c>
      <c r="B6" s="2" t="s">
        <v>5</v>
      </c>
      <c r="C6" s="21" t="s">
        <v>1</v>
      </c>
      <c r="D6" s="2" t="s">
        <v>2</v>
      </c>
      <c r="E6" s="2" t="s">
        <v>3</v>
      </c>
      <c r="F6" s="2" t="s">
        <v>9</v>
      </c>
      <c r="G6" s="2" t="s">
        <v>7</v>
      </c>
      <c r="H6" s="2" t="s">
        <v>8</v>
      </c>
      <c r="I6" s="2" t="s">
        <v>4</v>
      </c>
      <c r="J6" s="14"/>
      <c r="K6" s="5" t="s">
        <v>5</v>
      </c>
      <c r="L6" s="5" t="s">
        <v>13</v>
      </c>
      <c r="M6" s="5" t="s">
        <v>24</v>
      </c>
      <c r="N6" s="5" t="s">
        <v>14</v>
      </c>
      <c r="O6" s="6" t="s">
        <v>52</v>
      </c>
      <c r="P6" s="6" t="s">
        <v>54</v>
      </c>
    </row>
    <row r="7" spans="1:16">
      <c r="A7" s="2">
        <v>2.75</v>
      </c>
      <c r="B7" s="8">
        <v>0</v>
      </c>
      <c r="C7" s="22">
        <v>0.48</v>
      </c>
      <c r="D7" s="9">
        <v>4.0199999999999996</v>
      </c>
      <c r="E7" s="10">
        <v>33883</v>
      </c>
      <c r="F7" s="12">
        <f>(0.2027*A7+1.2055)*1000</f>
        <v>1762.9250000000002</v>
      </c>
      <c r="G7" s="12">
        <f>D7*157.4</f>
        <v>632.74799999999993</v>
      </c>
      <c r="H7" s="12">
        <f>C7*7.751*157.4</f>
        <v>585.60355200000004</v>
      </c>
      <c r="I7" s="9">
        <f>G7/H7</f>
        <v>1.0805057411946843</v>
      </c>
      <c r="J7" s="27"/>
      <c r="K7" s="4"/>
      <c r="L7" s="4"/>
      <c r="M7" s="4"/>
      <c r="N7" s="4"/>
    </row>
    <row r="8" spans="1:16">
      <c r="A8" s="2">
        <v>2.75</v>
      </c>
      <c r="B8" s="8">
        <v>6900</v>
      </c>
      <c r="C8" s="22">
        <v>0.48399999999999999</v>
      </c>
      <c r="D8" s="9">
        <v>3.99</v>
      </c>
      <c r="E8" s="10">
        <v>33883</v>
      </c>
      <c r="F8" s="12">
        <f>(0.2027*A8+1.2055)*1000</f>
        <v>1762.9250000000002</v>
      </c>
      <c r="G8" s="12">
        <f>D8*157.4</f>
        <v>628.02600000000007</v>
      </c>
      <c r="H8" s="12">
        <f>C8*7.751*157.4</f>
        <v>590.48358159999998</v>
      </c>
      <c r="I8" s="9">
        <f>G8/H8</f>
        <v>1.0635791062950024</v>
      </c>
      <c r="J8" s="27"/>
      <c r="K8" s="4">
        <f>B8-B7</f>
        <v>6900</v>
      </c>
      <c r="L8" s="29">
        <f>F8</f>
        <v>1762.9250000000002</v>
      </c>
      <c r="M8" s="28">
        <f>8*F8/($D$3*SQRT($G$2^2-$G$1^2))</f>
        <v>567412.50748287898</v>
      </c>
      <c r="N8" s="28">
        <f t="shared" ref="N8:N31" si="0">M8*(EXP(-$G$1*$G$3))*SIN(SQRT($G$2^2-$G$1^2)*$G$3)</f>
        <v>432661.39513647155</v>
      </c>
      <c r="O8" s="16">
        <f>1000*(D8*1000-228.75)*8/64.353</f>
        <v>467577.26912498259</v>
      </c>
      <c r="P8" s="43">
        <f>IF(O8/N8&gt;0.5,O8/N8,"")</f>
        <v>1.0807002297431638</v>
      </c>
    </row>
    <row r="9" spans="1:16">
      <c r="A9" s="8">
        <v>3.75</v>
      </c>
      <c r="B9" s="8">
        <v>6900</v>
      </c>
      <c r="C9" s="9">
        <v>0.54400000000000004</v>
      </c>
      <c r="D9" s="9">
        <v>4.4400000000000004</v>
      </c>
      <c r="E9" s="10">
        <v>33883</v>
      </c>
      <c r="F9" s="12">
        <f t="shared" ref="F9:F30" si="1">(0.2027*A9+1.2055)*1000</f>
        <v>1965.625</v>
      </c>
      <c r="G9" s="12">
        <f t="shared" ref="G9:G30" si="2">D9*157.4</f>
        <v>698.85600000000011</v>
      </c>
      <c r="H9" s="12">
        <f t="shared" ref="H9:H30" si="3">C9*7.751*157.4</f>
        <v>663.68402560000015</v>
      </c>
      <c r="I9" s="9">
        <f t="shared" ref="I9:I30" si="4">G9/H9</f>
        <v>1.0529950594610182</v>
      </c>
      <c r="J9" s="27"/>
      <c r="K9" s="4">
        <f t="shared" ref="K9:K30" si="5">B9-B8</f>
        <v>0</v>
      </c>
      <c r="L9" s="29">
        <f t="shared" ref="L9:L31" si="6">F9</f>
        <v>1965.625</v>
      </c>
      <c r="M9" s="28">
        <f t="shared" ref="M9:M31" si="7">8*F9/($D$3*SQRT($G$2^2-$G$1^2))</f>
        <v>632653.23823817458</v>
      </c>
      <c r="N9" s="28">
        <f t="shared" si="0"/>
        <v>482408.52833508328</v>
      </c>
      <c r="O9" s="16">
        <f t="shared" ref="O9:O28" si="8">1000*(D9*1000-228.75)*8/64.353</f>
        <v>523518.71707612701</v>
      </c>
      <c r="P9" s="43">
        <f t="shared" ref="P9:P28" si="9">IF(O9/N9&gt;0.5,O9/N9,"")</f>
        <v>1.0852186193368629</v>
      </c>
    </row>
    <row r="10" spans="1:16">
      <c r="A10" s="8">
        <v>3.75</v>
      </c>
      <c r="B10" s="8">
        <v>52600</v>
      </c>
      <c r="C10" s="9">
        <v>0.54400000000000004</v>
      </c>
      <c r="D10" s="9">
        <v>4.42</v>
      </c>
      <c r="E10" s="10">
        <v>33884</v>
      </c>
      <c r="F10" s="12">
        <f t="shared" si="1"/>
        <v>1965.625</v>
      </c>
      <c r="G10" s="12">
        <f t="shared" si="2"/>
        <v>695.70799999999997</v>
      </c>
      <c r="H10" s="12">
        <f t="shared" si="3"/>
        <v>663.68402560000015</v>
      </c>
      <c r="I10" s="9">
        <f t="shared" si="4"/>
        <v>1.0482518384724548</v>
      </c>
      <c r="J10" s="27"/>
      <c r="K10" s="4">
        <f t="shared" si="5"/>
        <v>45700</v>
      </c>
      <c r="L10" s="29">
        <f t="shared" si="6"/>
        <v>1965.625</v>
      </c>
      <c r="M10" s="28">
        <f t="shared" si="7"/>
        <v>632653.23823817458</v>
      </c>
      <c r="N10" s="28">
        <f t="shared" si="0"/>
        <v>482408.52833508328</v>
      </c>
      <c r="O10" s="16">
        <f t="shared" si="8"/>
        <v>521032.43050052063</v>
      </c>
      <c r="P10" s="43">
        <f t="shared" si="9"/>
        <v>1.080064716722025</v>
      </c>
    </row>
    <row r="11" spans="1:16">
      <c r="A11" s="8">
        <v>4.5</v>
      </c>
      <c r="B11" s="8">
        <v>52600</v>
      </c>
      <c r="C11" s="9">
        <v>0.57799999999999996</v>
      </c>
      <c r="D11" s="9">
        <v>4.75</v>
      </c>
      <c r="E11" s="10">
        <v>33884</v>
      </c>
      <c r="F11" s="12">
        <f t="shared" si="1"/>
        <v>2117.65</v>
      </c>
      <c r="G11" s="12">
        <f t="shared" si="2"/>
        <v>747.65</v>
      </c>
      <c r="H11" s="12">
        <f t="shared" si="3"/>
        <v>705.16427720000002</v>
      </c>
      <c r="I11" s="9">
        <f t="shared" si="4"/>
        <v>1.0602493974435265</v>
      </c>
      <c r="J11" s="27"/>
      <c r="K11" s="4">
        <f t="shared" si="5"/>
        <v>0</v>
      </c>
      <c r="L11" s="29">
        <f t="shared" si="6"/>
        <v>2117.65</v>
      </c>
      <c r="M11" s="28">
        <f t="shared" si="7"/>
        <v>681583.78630464629</v>
      </c>
      <c r="N11" s="28">
        <f t="shared" si="0"/>
        <v>519718.87823404215</v>
      </c>
      <c r="O11" s="16">
        <f t="shared" si="8"/>
        <v>562056.15899802651</v>
      </c>
      <c r="P11" s="43">
        <f t="shared" si="9"/>
        <v>1.0814618874493123</v>
      </c>
    </row>
    <row r="12" spans="1:16">
      <c r="A12" s="8">
        <v>4.5</v>
      </c>
      <c r="B12" s="8">
        <v>66600</v>
      </c>
      <c r="C12" s="9">
        <v>0.57799999999999996</v>
      </c>
      <c r="D12" s="9">
        <v>4.75</v>
      </c>
      <c r="E12" s="10">
        <v>33885</v>
      </c>
      <c r="F12" s="12">
        <f t="shared" si="1"/>
        <v>2117.65</v>
      </c>
      <c r="G12" s="12">
        <f t="shared" si="2"/>
        <v>747.65</v>
      </c>
      <c r="H12" s="12">
        <f t="shared" si="3"/>
        <v>705.16427720000002</v>
      </c>
      <c r="I12" s="9">
        <f t="shared" si="4"/>
        <v>1.0602493974435265</v>
      </c>
      <c r="J12" s="27"/>
      <c r="K12" s="4">
        <f t="shared" si="5"/>
        <v>14000</v>
      </c>
      <c r="L12" s="29">
        <f t="shared" si="6"/>
        <v>2117.65</v>
      </c>
      <c r="M12" s="28">
        <f t="shared" si="7"/>
        <v>681583.78630464629</v>
      </c>
      <c r="N12" s="28">
        <f t="shared" si="0"/>
        <v>519718.87823404215</v>
      </c>
      <c r="O12" s="16">
        <f t="shared" si="8"/>
        <v>562056.15899802651</v>
      </c>
      <c r="P12" s="43">
        <f t="shared" si="9"/>
        <v>1.0814618874493123</v>
      </c>
    </row>
    <row r="13" spans="1:16">
      <c r="A13" s="8">
        <v>3.75</v>
      </c>
      <c r="B13" s="8">
        <v>66600</v>
      </c>
      <c r="C13" s="9">
        <v>0.54400000000000004</v>
      </c>
      <c r="D13" s="9">
        <v>4.4400000000000004</v>
      </c>
      <c r="E13" s="10">
        <v>33885</v>
      </c>
      <c r="F13" s="12">
        <f t="shared" si="1"/>
        <v>1965.625</v>
      </c>
      <c r="G13" s="12">
        <f t="shared" si="2"/>
        <v>698.85600000000011</v>
      </c>
      <c r="H13" s="12">
        <f t="shared" si="3"/>
        <v>663.68402560000015</v>
      </c>
      <c r="I13" s="9">
        <f t="shared" si="4"/>
        <v>1.0529950594610182</v>
      </c>
      <c r="J13" s="27"/>
      <c r="K13" s="4">
        <f t="shared" si="5"/>
        <v>0</v>
      </c>
      <c r="L13" s="29">
        <f t="shared" si="6"/>
        <v>1965.625</v>
      </c>
      <c r="M13" s="28">
        <f t="shared" si="7"/>
        <v>632653.23823817458</v>
      </c>
      <c r="N13" s="28">
        <f t="shared" si="0"/>
        <v>482408.52833508328</v>
      </c>
      <c r="O13" s="16">
        <f t="shared" si="8"/>
        <v>523518.71707612701</v>
      </c>
      <c r="P13" s="43">
        <f t="shared" si="9"/>
        <v>1.0852186193368629</v>
      </c>
    </row>
    <row r="14" spans="1:16">
      <c r="A14" s="8">
        <v>3.75</v>
      </c>
      <c r="B14" s="8">
        <v>110000</v>
      </c>
      <c r="C14" s="9">
        <v>0.53600000000000003</v>
      </c>
      <c r="D14" s="8">
        <v>4.42</v>
      </c>
      <c r="E14" s="10">
        <v>33886</v>
      </c>
      <c r="F14" s="12">
        <f t="shared" si="1"/>
        <v>1965.625</v>
      </c>
      <c r="G14" s="12">
        <f t="shared" si="2"/>
        <v>695.70799999999997</v>
      </c>
      <c r="H14" s="12">
        <f t="shared" si="3"/>
        <v>653.92396640000004</v>
      </c>
      <c r="I14" s="9">
        <f t="shared" si="4"/>
        <v>1.0638973883004021</v>
      </c>
      <c r="J14" s="27"/>
      <c r="K14" s="4">
        <f t="shared" si="5"/>
        <v>43400</v>
      </c>
      <c r="L14" s="29">
        <f t="shared" si="6"/>
        <v>1965.625</v>
      </c>
      <c r="M14" s="28">
        <f t="shared" si="7"/>
        <v>632653.23823817458</v>
      </c>
      <c r="N14" s="28">
        <f t="shared" si="0"/>
        <v>482408.52833508328</v>
      </c>
      <c r="O14" s="16">
        <f t="shared" si="8"/>
        <v>521032.43050052063</v>
      </c>
      <c r="P14" s="43">
        <f t="shared" si="9"/>
        <v>1.080064716722025</v>
      </c>
    </row>
    <row r="15" spans="1:16">
      <c r="A15" s="8">
        <v>1.9</v>
      </c>
      <c r="B15" s="8">
        <v>0</v>
      </c>
      <c r="C15" s="9">
        <v>0.52</v>
      </c>
      <c r="D15" s="8">
        <v>4.2</v>
      </c>
      <c r="E15" s="10">
        <v>33064</v>
      </c>
      <c r="F15" s="12">
        <f t="shared" si="1"/>
        <v>1590.6299999999999</v>
      </c>
      <c r="G15" s="12">
        <f t="shared" si="2"/>
        <v>661.08</v>
      </c>
      <c r="H15" s="12">
        <f t="shared" si="3"/>
        <v>634.40384800000004</v>
      </c>
      <c r="I15" s="9">
        <f t="shared" si="4"/>
        <v>1.0420491648720265</v>
      </c>
      <c r="J15" s="27"/>
      <c r="K15" s="4"/>
      <c r="L15" s="29">
        <f t="shared" si="6"/>
        <v>1590.6299999999999</v>
      </c>
      <c r="M15" s="28">
        <f t="shared" si="7"/>
        <v>511957.88634087757</v>
      </c>
      <c r="N15" s="28">
        <f t="shared" si="0"/>
        <v>390376.33191765135</v>
      </c>
      <c r="O15" s="16">
        <f t="shared" si="8"/>
        <v>493683.27816885</v>
      </c>
      <c r="P15" s="43">
        <f t="shared" si="9"/>
        <v>1.2646342459946853</v>
      </c>
    </row>
    <row r="16" spans="1:16">
      <c r="A16" s="8">
        <v>1.9</v>
      </c>
      <c r="B16" s="8">
        <v>280000</v>
      </c>
      <c r="C16" s="9">
        <v>0.52</v>
      </c>
      <c r="D16" s="8">
        <v>4.2</v>
      </c>
      <c r="E16" s="10">
        <v>33071</v>
      </c>
      <c r="F16" s="12">
        <f t="shared" si="1"/>
        <v>1590.6299999999999</v>
      </c>
      <c r="G16" s="12">
        <f t="shared" si="2"/>
        <v>661.08</v>
      </c>
      <c r="H16" s="12">
        <f t="shared" si="3"/>
        <v>634.40384800000004</v>
      </c>
      <c r="I16" s="9">
        <f t="shared" si="4"/>
        <v>1.0420491648720265</v>
      </c>
      <c r="J16" s="27"/>
      <c r="K16" s="4">
        <f t="shared" si="5"/>
        <v>280000</v>
      </c>
      <c r="L16" s="29">
        <f t="shared" si="6"/>
        <v>1590.6299999999999</v>
      </c>
      <c r="M16" s="28">
        <f t="shared" si="7"/>
        <v>511957.88634087757</v>
      </c>
      <c r="N16" s="28">
        <f t="shared" si="0"/>
        <v>390376.33191765135</v>
      </c>
      <c r="O16" s="16">
        <f t="shared" si="8"/>
        <v>493683.27816885</v>
      </c>
      <c r="P16" s="43">
        <f t="shared" si="9"/>
        <v>1.2646342459946853</v>
      </c>
    </row>
    <row r="17" spans="1:16">
      <c r="A17" s="8">
        <v>2.75</v>
      </c>
      <c r="B17" s="8">
        <v>280000</v>
      </c>
      <c r="C17" s="9">
        <v>0.56399999999999995</v>
      </c>
      <c r="D17" s="8">
        <v>4.57</v>
      </c>
      <c r="E17" s="10">
        <v>33071</v>
      </c>
      <c r="F17" s="12">
        <f t="shared" si="1"/>
        <v>1762.9250000000002</v>
      </c>
      <c r="G17" s="12">
        <f t="shared" si="2"/>
        <v>719.3180000000001</v>
      </c>
      <c r="H17" s="12">
        <f t="shared" si="3"/>
        <v>688.08417359999987</v>
      </c>
      <c r="I17" s="9">
        <f t="shared" si="4"/>
        <v>1.0453924499332508</v>
      </c>
      <c r="J17" s="27"/>
      <c r="K17" s="4">
        <f t="shared" si="5"/>
        <v>0</v>
      </c>
      <c r="L17" s="29">
        <f t="shared" si="6"/>
        <v>1762.9250000000002</v>
      </c>
      <c r="M17" s="28">
        <f t="shared" si="7"/>
        <v>567412.50748287898</v>
      </c>
      <c r="N17" s="28">
        <f t="shared" si="0"/>
        <v>432661.39513647155</v>
      </c>
      <c r="O17" s="16">
        <f t="shared" si="8"/>
        <v>539679.57981756877</v>
      </c>
      <c r="P17" s="43">
        <f t="shared" si="9"/>
        <v>1.2473485868720531</v>
      </c>
    </row>
    <row r="18" spans="1:16">
      <c r="A18" s="8">
        <v>2.75</v>
      </c>
      <c r="B18" s="8">
        <v>368600</v>
      </c>
      <c r="C18" s="9">
        <v>0.56399999999999995</v>
      </c>
      <c r="D18" s="8">
        <v>4.57</v>
      </c>
      <c r="E18" s="10">
        <v>33073</v>
      </c>
      <c r="F18" s="12">
        <f t="shared" si="1"/>
        <v>1762.9250000000002</v>
      </c>
      <c r="G18" s="12">
        <f t="shared" si="2"/>
        <v>719.3180000000001</v>
      </c>
      <c r="H18" s="12">
        <f t="shared" si="3"/>
        <v>688.08417359999987</v>
      </c>
      <c r="I18" s="9">
        <f t="shared" si="4"/>
        <v>1.0453924499332508</v>
      </c>
      <c r="J18" s="27"/>
      <c r="K18" s="4">
        <f t="shared" si="5"/>
        <v>88600</v>
      </c>
      <c r="L18" s="29">
        <f t="shared" si="6"/>
        <v>1762.9250000000002</v>
      </c>
      <c r="M18" s="28">
        <f t="shared" si="7"/>
        <v>567412.50748287898</v>
      </c>
      <c r="N18" s="28">
        <f t="shared" si="0"/>
        <v>432661.39513647155</v>
      </c>
      <c r="O18" s="16">
        <f t="shared" si="8"/>
        <v>539679.57981756877</v>
      </c>
      <c r="P18" s="43">
        <f t="shared" si="9"/>
        <v>1.2473485868720531</v>
      </c>
    </row>
    <row r="19" spans="1:16">
      <c r="A19" s="8">
        <v>3.5</v>
      </c>
      <c r="B19" s="8">
        <v>368600</v>
      </c>
      <c r="C19" s="9">
        <v>0.61</v>
      </c>
      <c r="D19" s="8">
        <v>5.04</v>
      </c>
      <c r="E19" s="10">
        <v>33073</v>
      </c>
      <c r="F19" s="12">
        <f t="shared" si="1"/>
        <v>1914.9499999999998</v>
      </c>
      <c r="G19" s="12">
        <f t="shared" si="2"/>
        <v>793.29600000000005</v>
      </c>
      <c r="H19" s="12">
        <f t="shared" si="3"/>
        <v>744.20451400000002</v>
      </c>
      <c r="I19" s="9">
        <f t="shared" si="4"/>
        <v>1.0659650473444993</v>
      </c>
      <c r="J19" s="27"/>
      <c r="K19" s="4">
        <f t="shared" si="5"/>
        <v>0</v>
      </c>
      <c r="L19" s="29">
        <f t="shared" si="6"/>
        <v>1914.9499999999998</v>
      </c>
      <c r="M19" s="28">
        <f t="shared" si="7"/>
        <v>616343.05554935057</v>
      </c>
      <c r="N19" s="28">
        <f t="shared" si="0"/>
        <v>469971.74503543024</v>
      </c>
      <c r="O19" s="16">
        <f t="shared" si="8"/>
        <v>598107.31434431963</v>
      </c>
      <c r="P19" s="43">
        <f t="shared" si="9"/>
        <v>1.2726452614704094</v>
      </c>
    </row>
    <row r="20" spans="1:16">
      <c r="A20" s="8">
        <v>3.5</v>
      </c>
      <c r="B20" s="8">
        <v>525000</v>
      </c>
      <c r="C20" s="9">
        <v>0.61</v>
      </c>
      <c r="D20" s="8">
        <v>5.04</v>
      </c>
      <c r="E20" s="10">
        <v>33077</v>
      </c>
      <c r="F20" s="12">
        <f t="shared" si="1"/>
        <v>1914.9499999999998</v>
      </c>
      <c r="G20" s="12">
        <f t="shared" si="2"/>
        <v>793.29600000000005</v>
      </c>
      <c r="H20" s="12">
        <f t="shared" si="3"/>
        <v>744.20451400000002</v>
      </c>
      <c r="I20" s="9">
        <f t="shared" si="4"/>
        <v>1.0659650473444993</v>
      </c>
      <c r="J20" s="27"/>
      <c r="K20" s="4">
        <f t="shared" si="5"/>
        <v>156400</v>
      </c>
      <c r="L20" s="29">
        <f t="shared" si="6"/>
        <v>1914.9499999999998</v>
      </c>
      <c r="M20" s="28">
        <f t="shared" si="7"/>
        <v>616343.05554935057</v>
      </c>
      <c r="N20" s="28">
        <f t="shared" si="0"/>
        <v>469971.74503543024</v>
      </c>
      <c r="O20" s="16">
        <f t="shared" si="8"/>
        <v>598107.31434431963</v>
      </c>
      <c r="P20" s="43">
        <f t="shared" si="9"/>
        <v>1.2726452614704094</v>
      </c>
    </row>
    <row r="21" spans="1:16">
      <c r="A21" s="8">
        <v>3.75</v>
      </c>
      <c r="B21" s="8">
        <v>0</v>
      </c>
      <c r="C21" s="9">
        <v>0.54600000000000004</v>
      </c>
      <c r="D21" s="8">
        <v>4.57</v>
      </c>
      <c r="E21" s="10">
        <v>33308</v>
      </c>
      <c r="F21" s="12">
        <f t="shared" si="1"/>
        <v>1965.625</v>
      </c>
      <c r="G21" s="12">
        <f t="shared" si="2"/>
        <v>719.3180000000001</v>
      </c>
      <c r="H21" s="12">
        <f t="shared" si="3"/>
        <v>666.12404040000013</v>
      </c>
      <c r="I21" s="9">
        <f t="shared" si="4"/>
        <v>1.0798559372936871</v>
      </c>
      <c r="J21" s="27"/>
      <c r="K21" s="4"/>
      <c r="L21" s="29">
        <f t="shared" si="6"/>
        <v>1965.625</v>
      </c>
      <c r="M21" s="28">
        <f t="shared" si="7"/>
        <v>632653.23823817458</v>
      </c>
      <c r="N21" s="28">
        <f t="shared" si="0"/>
        <v>482408.52833508328</v>
      </c>
      <c r="O21" s="16">
        <f t="shared" si="8"/>
        <v>539679.57981756877</v>
      </c>
      <c r="P21" s="43">
        <f t="shared" si="9"/>
        <v>1.1187189863333111</v>
      </c>
    </row>
    <row r="22" spans="1:16">
      <c r="A22" s="8">
        <v>3.75</v>
      </c>
      <c r="B22" s="8">
        <v>25250</v>
      </c>
      <c r="C22" s="9">
        <v>0.54600000000000004</v>
      </c>
      <c r="D22" s="8">
        <v>4.57</v>
      </c>
      <c r="E22" s="10">
        <v>33309</v>
      </c>
      <c r="F22" s="12">
        <f t="shared" si="1"/>
        <v>1965.625</v>
      </c>
      <c r="G22" s="12">
        <f t="shared" si="2"/>
        <v>719.3180000000001</v>
      </c>
      <c r="H22" s="12">
        <f t="shared" si="3"/>
        <v>666.12404040000013</v>
      </c>
      <c r="I22" s="9">
        <f t="shared" si="4"/>
        <v>1.0798559372936871</v>
      </c>
      <c r="J22" s="27"/>
      <c r="K22" s="4">
        <f t="shared" si="5"/>
        <v>25250</v>
      </c>
      <c r="L22" s="29">
        <f t="shared" si="6"/>
        <v>1965.625</v>
      </c>
      <c r="M22" s="28">
        <f t="shared" si="7"/>
        <v>632653.23823817458</v>
      </c>
      <c r="N22" s="28">
        <f t="shared" si="0"/>
        <v>482408.52833508328</v>
      </c>
      <c r="O22" s="16">
        <f t="shared" si="8"/>
        <v>539679.57981756877</v>
      </c>
      <c r="P22" s="43">
        <f t="shared" si="9"/>
        <v>1.1187189863333111</v>
      </c>
    </row>
    <row r="23" spans="1:16">
      <c r="A23" s="8">
        <v>4.5</v>
      </c>
      <c r="B23" s="8">
        <v>25250</v>
      </c>
      <c r="C23" s="9">
        <v>0.6</v>
      </c>
      <c r="D23" s="8">
        <v>5.0999999999999996</v>
      </c>
      <c r="E23" s="10">
        <v>33309</v>
      </c>
      <c r="F23" s="12">
        <f t="shared" si="1"/>
        <v>2117.65</v>
      </c>
      <c r="G23" s="12">
        <f t="shared" si="2"/>
        <v>802.74</v>
      </c>
      <c r="H23" s="12">
        <f t="shared" si="3"/>
        <v>732.00444000000005</v>
      </c>
      <c r="I23" s="9">
        <f t="shared" si="4"/>
        <v>1.0966326925557992</v>
      </c>
      <c r="J23" s="27"/>
      <c r="K23" s="4">
        <f t="shared" si="5"/>
        <v>0</v>
      </c>
      <c r="L23" s="29">
        <f t="shared" si="6"/>
        <v>2117.65</v>
      </c>
      <c r="M23" s="28">
        <f t="shared" si="7"/>
        <v>681583.78630464629</v>
      </c>
      <c r="N23" s="28">
        <f t="shared" si="0"/>
        <v>519718.87823404215</v>
      </c>
      <c r="O23" s="16">
        <f t="shared" si="8"/>
        <v>605566.17407113896</v>
      </c>
      <c r="P23" s="43">
        <f t="shared" si="9"/>
        <v>1.1651802530798923</v>
      </c>
    </row>
    <row r="24" spans="1:16">
      <c r="A24" s="8">
        <v>4.5</v>
      </c>
      <c r="B24" s="8">
        <v>35039</v>
      </c>
      <c r="C24" s="9">
        <v>0.6</v>
      </c>
      <c r="D24" s="8">
        <v>5.0999999999999996</v>
      </c>
      <c r="E24" s="10">
        <v>33310</v>
      </c>
      <c r="F24" s="12">
        <f t="shared" si="1"/>
        <v>2117.65</v>
      </c>
      <c r="G24" s="12">
        <f t="shared" si="2"/>
        <v>802.74</v>
      </c>
      <c r="H24" s="12">
        <f t="shared" si="3"/>
        <v>732.00444000000005</v>
      </c>
      <c r="I24" s="9">
        <f t="shared" si="4"/>
        <v>1.0966326925557992</v>
      </c>
      <c r="J24" s="27"/>
      <c r="K24" s="4">
        <f t="shared" si="5"/>
        <v>9789</v>
      </c>
      <c r="L24" s="29">
        <f t="shared" si="6"/>
        <v>2117.65</v>
      </c>
      <c r="M24" s="28">
        <f t="shared" si="7"/>
        <v>681583.78630464629</v>
      </c>
      <c r="N24" s="28">
        <f t="shared" si="0"/>
        <v>519718.87823404215</v>
      </c>
      <c r="O24" s="16">
        <f t="shared" si="8"/>
        <v>605566.17407113896</v>
      </c>
      <c r="P24" s="43">
        <f t="shared" si="9"/>
        <v>1.1651802530798923</v>
      </c>
    </row>
    <row r="25" spans="1:16">
      <c r="A25" s="8">
        <v>5.5</v>
      </c>
      <c r="B25" s="8">
        <v>35039</v>
      </c>
      <c r="C25" s="9">
        <v>0.63500000000000001</v>
      </c>
      <c r="D25" s="8">
        <v>5.34</v>
      </c>
      <c r="E25" s="10">
        <v>33310</v>
      </c>
      <c r="F25" s="12">
        <f t="shared" si="1"/>
        <v>2320.35</v>
      </c>
      <c r="G25" s="12">
        <f t="shared" si="2"/>
        <v>840.51599999999996</v>
      </c>
      <c r="H25" s="12">
        <f t="shared" si="3"/>
        <v>774.70469900000012</v>
      </c>
      <c r="I25" s="9">
        <f t="shared" si="4"/>
        <v>1.0849501766091647</v>
      </c>
      <c r="J25" s="27"/>
      <c r="K25" s="4">
        <f t="shared" si="5"/>
        <v>0</v>
      </c>
      <c r="L25" s="29">
        <f t="shared" si="6"/>
        <v>2320.35</v>
      </c>
      <c r="M25" s="28">
        <f t="shared" si="7"/>
        <v>746824.51705994189</v>
      </c>
      <c r="N25" s="28">
        <f t="shared" si="0"/>
        <v>569466.01143265399</v>
      </c>
      <c r="O25" s="16">
        <f t="shared" si="8"/>
        <v>635401.61297841603</v>
      </c>
      <c r="P25" s="43">
        <f t="shared" si="9"/>
        <v>1.1157849638468893</v>
      </c>
    </row>
    <row r="26" spans="1:16">
      <c r="A26" s="8">
        <v>5.5</v>
      </c>
      <c r="B26" s="8">
        <v>36350</v>
      </c>
      <c r="C26" s="9">
        <v>0.63500000000000001</v>
      </c>
      <c r="D26" s="8">
        <v>5.34</v>
      </c>
      <c r="E26" s="10">
        <v>33310</v>
      </c>
      <c r="F26" s="12">
        <f t="shared" si="1"/>
        <v>2320.35</v>
      </c>
      <c r="G26" s="12">
        <f t="shared" si="2"/>
        <v>840.51599999999996</v>
      </c>
      <c r="H26" s="12">
        <f t="shared" si="3"/>
        <v>774.70469900000012</v>
      </c>
      <c r="I26" s="9">
        <f t="shared" si="4"/>
        <v>1.0849501766091647</v>
      </c>
      <c r="J26" s="27"/>
      <c r="K26" s="4">
        <f t="shared" si="5"/>
        <v>1311</v>
      </c>
      <c r="L26" s="29">
        <f t="shared" si="6"/>
        <v>2320.35</v>
      </c>
      <c r="M26" s="28">
        <f t="shared" si="7"/>
        <v>746824.51705994189</v>
      </c>
      <c r="N26" s="28">
        <f t="shared" si="0"/>
        <v>569466.01143265399</v>
      </c>
      <c r="O26" s="16">
        <f t="shared" si="8"/>
        <v>635401.61297841603</v>
      </c>
      <c r="P26" s="43">
        <f t="shared" si="9"/>
        <v>1.1157849638468893</v>
      </c>
    </row>
    <row r="27" spans="1:16">
      <c r="A27" s="8">
        <v>6.3</v>
      </c>
      <c r="B27" s="8">
        <v>36350</v>
      </c>
      <c r="C27" s="9">
        <v>0.67900000000000005</v>
      </c>
      <c r="D27" s="8">
        <v>5.72</v>
      </c>
      <c r="E27" s="10">
        <v>33310</v>
      </c>
      <c r="F27" s="12">
        <f t="shared" si="1"/>
        <v>2482.5100000000002</v>
      </c>
      <c r="G27" s="12">
        <f t="shared" si="2"/>
        <v>900.32799999999997</v>
      </c>
      <c r="H27" s="12">
        <f t="shared" si="3"/>
        <v>828.38502460000018</v>
      </c>
      <c r="I27" s="9">
        <f t="shared" si="4"/>
        <v>1.086847266987641</v>
      </c>
      <c r="J27" s="27"/>
      <c r="K27" s="4">
        <f t="shared" si="5"/>
        <v>0</v>
      </c>
      <c r="L27" s="29">
        <f t="shared" si="6"/>
        <v>2482.5100000000002</v>
      </c>
      <c r="M27" s="28">
        <f t="shared" si="7"/>
        <v>799017.10166417854</v>
      </c>
      <c r="N27" s="28">
        <f t="shared" si="0"/>
        <v>609263.71799154358</v>
      </c>
      <c r="O27" s="16">
        <f t="shared" si="8"/>
        <v>682641.05791493796</v>
      </c>
      <c r="P27" s="43">
        <f t="shared" si="9"/>
        <v>1.1204360899173269</v>
      </c>
    </row>
    <row r="28" spans="1:16">
      <c r="A28" s="8">
        <v>6.3</v>
      </c>
      <c r="B28" s="8">
        <v>135200</v>
      </c>
      <c r="C28" s="9">
        <v>0.67900000000000005</v>
      </c>
      <c r="D28" s="8">
        <v>5.72</v>
      </c>
      <c r="E28" s="10">
        <v>33316</v>
      </c>
      <c r="F28" s="12">
        <f t="shared" si="1"/>
        <v>2482.5100000000002</v>
      </c>
      <c r="G28" s="12">
        <f t="shared" si="2"/>
        <v>900.32799999999997</v>
      </c>
      <c r="H28" s="12">
        <f t="shared" si="3"/>
        <v>828.38502460000018</v>
      </c>
      <c r="I28" s="9">
        <f t="shared" si="4"/>
        <v>1.086847266987641</v>
      </c>
      <c r="J28" s="27"/>
      <c r="K28" s="4">
        <f t="shared" si="5"/>
        <v>98850</v>
      </c>
      <c r="L28" s="29">
        <f t="shared" si="6"/>
        <v>2482.5100000000002</v>
      </c>
      <c r="M28" s="28">
        <f t="shared" si="7"/>
        <v>799017.10166417854</v>
      </c>
      <c r="N28" s="28">
        <f t="shared" si="0"/>
        <v>609263.71799154358</v>
      </c>
      <c r="O28" s="16">
        <f t="shared" si="8"/>
        <v>682641.05791493796</v>
      </c>
      <c r="P28" s="43">
        <f t="shared" si="9"/>
        <v>1.1204360899173269</v>
      </c>
    </row>
    <row r="29" spans="1:16">
      <c r="A29" s="8">
        <v>6.3</v>
      </c>
      <c r="B29" s="8">
        <v>0</v>
      </c>
      <c r="C29" s="9">
        <v>0.67900000000000005</v>
      </c>
      <c r="D29" s="8">
        <v>5.72</v>
      </c>
      <c r="E29" s="10">
        <v>33317</v>
      </c>
      <c r="F29" s="12">
        <f t="shared" si="1"/>
        <v>2482.5100000000002</v>
      </c>
      <c r="G29" s="12">
        <f t="shared" si="2"/>
        <v>900.32799999999997</v>
      </c>
      <c r="H29" s="12">
        <f t="shared" si="3"/>
        <v>828.38502460000018</v>
      </c>
      <c r="I29" s="9">
        <f t="shared" si="4"/>
        <v>1.086847266987641</v>
      </c>
      <c r="J29" s="27"/>
      <c r="K29" s="4"/>
      <c r="L29" s="29">
        <f t="shared" si="6"/>
        <v>2482.5100000000002</v>
      </c>
      <c r="M29" s="28">
        <f t="shared" si="7"/>
        <v>799017.10166417854</v>
      </c>
      <c r="N29" s="28">
        <f t="shared" si="0"/>
        <v>609263.71799154358</v>
      </c>
      <c r="O29" s="16">
        <f>1000*(D29*1000-228.75)*8/64.353</f>
        <v>682641.05791493796</v>
      </c>
      <c r="P29" s="43">
        <f>IF(O29/N29&gt;0.5,O29/N29,"")</f>
        <v>1.1204360899173269</v>
      </c>
    </row>
    <row r="30" spans="1:16">
      <c r="A30" s="8">
        <v>6.3</v>
      </c>
      <c r="B30" s="8">
        <v>361000</v>
      </c>
      <c r="C30" s="9">
        <v>0.67900000000000005</v>
      </c>
      <c r="D30" s="8">
        <v>5.72</v>
      </c>
      <c r="E30" s="10">
        <v>33326</v>
      </c>
      <c r="F30" s="12">
        <f t="shared" si="1"/>
        <v>2482.5100000000002</v>
      </c>
      <c r="G30" s="12">
        <f t="shared" si="2"/>
        <v>900.32799999999997</v>
      </c>
      <c r="H30" s="12">
        <f t="shared" si="3"/>
        <v>828.38502460000018</v>
      </c>
      <c r="I30" s="9">
        <f t="shared" si="4"/>
        <v>1.086847266987641</v>
      </c>
      <c r="J30" s="27"/>
      <c r="K30" s="4">
        <f t="shared" si="5"/>
        <v>361000</v>
      </c>
      <c r="L30" s="29">
        <f t="shared" si="6"/>
        <v>2482.5100000000002</v>
      </c>
      <c r="M30" s="28">
        <f t="shared" si="7"/>
        <v>799017.10166417854</v>
      </c>
      <c r="N30" s="28">
        <f t="shared" si="0"/>
        <v>609263.71799154358</v>
      </c>
      <c r="O30" s="16">
        <f>1000*(D30*1000-228.75)*8/64.353</f>
        <v>682641.05791493796</v>
      </c>
      <c r="P30" s="43">
        <f>IF(O30/N30&gt;0.5,O30/N30,"")</f>
        <v>1.1204360899173269</v>
      </c>
    </row>
    <row r="31" spans="1:16">
      <c r="A31" s="8"/>
      <c r="B31" s="8"/>
      <c r="C31" s="9"/>
      <c r="D31" s="8"/>
      <c r="E31" s="10"/>
      <c r="F31" s="12">
        <f>MAX(F7:F30)</f>
        <v>2482.5100000000002</v>
      </c>
      <c r="G31" s="12"/>
      <c r="H31" s="12"/>
      <c r="I31" s="9"/>
      <c r="J31" s="27"/>
      <c r="K31" s="4">
        <f>SUM(K8:K30)</f>
        <v>1131200</v>
      </c>
      <c r="L31" s="29">
        <f t="shared" si="6"/>
        <v>2482.5100000000002</v>
      </c>
      <c r="M31" s="28">
        <f t="shared" si="7"/>
        <v>799017.10166417854</v>
      </c>
      <c r="N31" s="28">
        <f t="shared" si="0"/>
        <v>609263.71799154358</v>
      </c>
      <c r="O31" s="16">
        <f>1000*(D31*1000-228.75)*8/64.353</f>
        <v>-28436.902708498441</v>
      </c>
      <c r="P31" s="43" t="str">
        <f>IF(O31/N31&gt;0.5,O31/N31,"")</f>
        <v/>
      </c>
    </row>
    <row r="32" spans="1:16">
      <c r="A32" s="8"/>
      <c r="B32" s="8"/>
      <c r="C32" s="9"/>
      <c r="D32" s="8"/>
      <c r="E32" s="10"/>
      <c r="F32" s="12"/>
      <c r="G32" s="12"/>
      <c r="H32" s="12"/>
      <c r="I32" s="9"/>
      <c r="J32" s="27"/>
      <c r="K32" s="4"/>
      <c r="L32" s="29"/>
      <c r="M32" s="28"/>
      <c r="N32" s="28"/>
      <c r="O32" s="3" t="s">
        <v>12</v>
      </c>
      <c r="P32" s="43">
        <f>MAX(P7:P30)</f>
        <v>1.2726452614704094</v>
      </c>
    </row>
    <row r="33" spans="1:16">
      <c r="B33" s="15"/>
      <c r="D33" s="15"/>
      <c r="O33" s="3" t="s">
        <v>53</v>
      </c>
      <c r="P33" s="43">
        <f>MIN(P7:P30)</f>
        <v>1.080064716722025</v>
      </c>
    </row>
    <row r="34" spans="1:16">
      <c r="A34" s="3" t="s">
        <v>5</v>
      </c>
      <c r="B34" s="15" t="s">
        <v>13</v>
      </c>
      <c r="C34" s="24" t="s">
        <v>24</v>
      </c>
      <c r="D34" s="15" t="s">
        <v>14</v>
      </c>
      <c r="E34" s="3" t="s">
        <v>55</v>
      </c>
      <c r="F34" s="3" t="s">
        <v>57</v>
      </c>
    </row>
    <row r="35" spans="1:16">
      <c r="A35" s="3">
        <v>280000</v>
      </c>
      <c r="B35" s="3">
        <v>1590.63</v>
      </c>
      <c r="C35" s="24">
        <v>511957.88634087757</v>
      </c>
      <c r="D35" s="3">
        <v>390376.33191765135</v>
      </c>
      <c r="E35" s="15">
        <f t="shared" ref="E35:E41" si="10">D35/1000*1.5598+1.525</f>
        <v>610.43400252515255</v>
      </c>
      <c r="F35" s="15">
        <f>D35/1000</f>
        <v>390.37633191765133</v>
      </c>
    </row>
    <row r="36" spans="1:16">
      <c r="A36" s="3">
        <v>95500</v>
      </c>
      <c r="B36" s="3">
        <v>1762.925</v>
      </c>
      <c r="C36" s="24">
        <v>567412.50748287898</v>
      </c>
      <c r="D36" s="3">
        <v>432661.39513647155</v>
      </c>
      <c r="E36" s="15">
        <f t="shared" si="10"/>
        <v>676.39024413386835</v>
      </c>
      <c r="F36" s="15">
        <f t="shared" ref="F36:F41" si="11">D36/1000</f>
        <v>432.66139513647153</v>
      </c>
    </row>
    <row r="37" spans="1:16">
      <c r="A37" s="3">
        <v>156400</v>
      </c>
      <c r="B37" s="3">
        <v>1914.95</v>
      </c>
      <c r="C37" s="24">
        <v>616343.05554935057</v>
      </c>
      <c r="D37" s="3">
        <v>469971.74503543024</v>
      </c>
      <c r="E37" s="15">
        <f t="shared" si="10"/>
        <v>734.58692790626401</v>
      </c>
      <c r="F37" s="15">
        <f t="shared" si="11"/>
        <v>469.97174503543022</v>
      </c>
    </row>
    <row r="38" spans="1:16">
      <c r="A38" s="3">
        <v>114350</v>
      </c>
      <c r="B38" s="3">
        <v>1965.625</v>
      </c>
      <c r="C38" s="24">
        <v>632653.23823817458</v>
      </c>
      <c r="D38" s="3">
        <v>482408.52833508328</v>
      </c>
      <c r="E38" s="15">
        <f t="shared" si="10"/>
        <v>753.98582249706294</v>
      </c>
      <c r="F38" s="15">
        <f t="shared" si="11"/>
        <v>482.4085283350833</v>
      </c>
    </row>
    <row r="39" spans="1:16">
      <c r="A39" s="3">
        <v>23789</v>
      </c>
      <c r="B39" s="3">
        <v>2117.65</v>
      </c>
      <c r="C39" s="24">
        <v>681583.78630464629</v>
      </c>
      <c r="D39" s="3">
        <v>519718.87823404215</v>
      </c>
      <c r="E39" s="15">
        <f t="shared" si="10"/>
        <v>812.18250626945894</v>
      </c>
      <c r="F39" s="15">
        <f t="shared" si="11"/>
        <v>519.71887823404211</v>
      </c>
    </row>
    <row r="40" spans="1:16">
      <c r="A40" s="3">
        <v>1311</v>
      </c>
      <c r="B40" s="3">
        <v>2320.35</v>
      </c>
      <c r="C40" s="24">
        <v>746824.51705994189</v>
      </c>
      <c r="D40" s="3">
        <v>569466.01143265399</v>
      </c>
      <c r="E40" s="15">
        <f t="shared" si="10"/>
        <v>889.77808463265376</v>
      </c>
      <c r="F40" s="15">
        <f t="shared" si="11"/>
        <v>569.466011432654</v>
      </c>
    </row>
    <row r="41" spans="1:16">
      <c r="A41" s="3">
        <v>459850</v>
      </c>
      <c r="B41" s="3">
        <v>2482.5100000000002</v>
      </c>
      <c r="C41" s="24">
        <v>799017.10166417854</v>
      </c>
      <c r="D41" s="3">
        <v>609263.71799154358</v>
      </c>
      <c r="E41" s="15">
        <f t="shared" si="10"/>
        <v>951.85454732320966</v>
      </c>
      <c r="F41" s="15">
        <f t="shared" si="11"/>
        <v>609.26371799154356</v>
      </c>
    </row>
    <row r="42" spans="1:16">
      <c r="A42" s="15">
        <f>SUM(A35:A41)</f>
        <v>1131200</v>
      </c>
      <c r="B42" s="15"/>
      <c r="C42" s="29"/>
      <c r="D42" s="15"/>
    </row>
  </sheetData>
  <phoneticPr fontId="0" type="noConversion"/>
  <pageMargins left="0.75" right="0.75" top="1" bottom="1" header="0.5" footer="0.5"/>
  <pageSetup scale="72" orientation="landscape" r:id="rId1"/>
  <headerFooter alignWithMargins="0"/>
  <drawing r:id="rId2"/>
  <legacyDrawing r:id="rId3"/>
  <oleObjects>
    <mc:AlternateContent xmlns:mc="http://schemas.openxmlformats.org/markup-compatibility/2006">
      <mc:Choice Requires="x14">
        <oleObject progId="Mathcad" shapeId="10241"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10241" r:id="rId4"/>
      </mc:Fallback>
    </mc:AlternateContent>
    <mc:AlternateContent xmlns:mc="http://schemas.openxmlformats.org/markup-compatibility/2006">
      <mc:Choice Requires="x14">
        <oleObject progId="Mathcad" shapeId="10242"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10242" r:id="rId6"/>
      </mc:Fallback>
    </mc:AlternateContent>
    <mc:AlternateContent xmlns:mc="http://schemas.openxmlformats.org/markup-compatibility/2006">
      <mc:Choice Requires="x14">
        <oleObject progId="Mathcad" shapeId="10245" r:id="rId8">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10245" r:id="rId8"/>
      </mc:Fallback>
    </mc:AlternateContent>
    <mc:AlternateContent xmlns:mc="http://schemas.openxmlformats.org/markup-compatibility/2006">
      <mc:Choice Requires="x14">
        <oleObject progId="Mathcad" shapeId="10246" r:id="rId9">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10246"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44"/>
  <sheetViews>
    <sheetView topLeftCell="A23" workbookViewId="0">
      <selection activeCell="D32" sqref="D32"/>
    </sheetView>
  </sheetViews>
  <sheetFormatPr defaultColWidth="9" defaultRowHeight="13.2"/>
  <cols>
    <col min="1" max="1" width="9" style="3"/>
    <col min="2" max="2" width="9.109375" style="3" bestFit="1" customWidth="1"/>
    <col min="3" max="3" width="9.109375" style="24" bestFit="1" customWidth="1"/>
    <col min="4" max="4" width="9.109375" style="3" bestFit="1" customWidth="1"/>
    <col min="5" max="9" width="9" style="3"/>
    <col min="10" max="10" width="9.33203125" style="13" customWidth="1"/>
    <col min="11" max="16384" width="9" style="3"/>
  </cols>
  <sheetData>
    <row r="1" spans="1:16" s="1" customFormat="1">
      <c r="A1" s="25" t="s">
        <v>37</v>
      </c>
      <c r="B1" s="25"/>
      <c r="C1" s="23" t="s">
        <v>10</v>
      </c>
      <c r="D1" s="25" t="s">
        <v>35</v>
      </c>
      <c r="E1" s="25" t="s">
        <v>11</v>
      </c>
      <c r="F1" s="25" t="s">
        <v>20</v>
      </c>
      <c r="G1" s="26">
        <f>D4/(2*D3)</f>
        <v>1485.8075040783035</v>
      </c>
      <c r="H1" s="25" t="s">
        <v>26</v>
      </c>
      <c r="I1" s="25"/>
      <c r="J1" s="27"/>
      <c r="K1" s="25"/>
      <c r="L1" s="25"/>
      <c r="M1" s="25"/>
      <c r="N1" s="25"/>
    </row>
    <row r="2" spans="1:16">
      <c r="A2" s="4"/>
      <c r="B2" s="4"/>
      <c r="C2" s="24" t="s">
        <v>15</v>
      </c>
      <c r="D2" s="4">
        <v>384.9</v>
      </c>
      <c r="E2" s="4" t="s">
        <v>11</v>
      </c>
      <c r="F2" s="4" t="s">
        <v>21</v>
      </c>
      <c r="G2" s="4">
        <f>SQRT(1/(D3*D5))</f>
        <v>8244.4965742557415</v>
      </c>
      <c r="H2" s="4" t="s">
        <v>26</v>
      </c>
      <c r="I2" s="4"/>
      <c r="J2" s="27"/>
      <c r="K2" s="4"/>
      <c r="L2" s="4"/>
      <c r="M2" s="4"/>
      <c r="N2" s="4"/>
    </row>
    <row r="3" spans="1:16">
      <c r="A3" s="4"/>
      <c r="B3" s="4"/>
      <c r="C3" s="24" t="s">
        <v>16</v>
      </c>
      <c r="D3" s="28">
        <v>3.0649999999999999E-6</v>
      </c>
      <c r="E3" s="4" t="s">
        <v>17</v>
      </c>
      <c r="F3" s="4" t="s">
        <v>25</v>
      </c>
      <c r="G3" s="28">
        <v>1.705E-4</v>
      </c>
      <c r="H3" s="4" t="s">
        <v>27</v>
      </c>
      <c r="I3" s="4"/>
      <c r="J3" s="27"/>
      <c r="K3" s="4"/>
      <c r="L3" s="4"/>
      <c r="M3" s="4"/>
      <c r="N3" s="4"/>
    </row>
    <row r="4" spans="1:16">
      <c r="A4" s="4"/>
      <c r="B4" s="4"/>
      <c r="C4" s="24" t="s">
        <v>18</v>
      </c>
      <c r="D4" s="28">
        <v>9.1079999999999998E-3</v>
      </c>
      <c r="E4" s="4" t="s">
        <v>19</v>
      </c>
      <c r="F4" s="4"/>
      <c r="G4" s="4"/>
      <c r="H4" s="4"/>
      <c r="I4" s="4"/>
      <c r="J4" s="27"/>
      <c r="K4" s="4"/>
      <c r="L4" s="4"/>
      <c r="M4" s="4"/>
      <c r="N4" s="4"/>
    </row>
    <row r="5" spans="1:16">
      <c r="A5" s="4"/>
      <c r="B5" s="4"/>
      <c r="C5" s="24" t="s">
        <v>22</v>
      </c>
      <c r="D5" s="28">
        <v>4.7999999999999996E-3</v>
      </c>
      <c r="E5" s="4" t="s">
        <v>23</v>
      </c>
      <c r="F5" s="4"/>
      <c r="G5" s="4"/>
      <c r="H5" s="4"/>
      <c r="I5" s="4"/>
      <c r="J5" s="27"/>
      <c r="K5" s="4"/>
      <c r="L5" s="4"/>
      <c r="M5" s="4"/>
      <c r="N5" s="4"/>
    </row>
    <row r="6" spans="1:16" s="6" customFormat="1" ht="92.4">
      <c r="A6" s="2" t="s">
        <v>0</v>
      </c>
      <c r="B6" s="2" t="s">
        <v>5</v>
      </c>
      <c r="C6" s="21" t="s">
        <v>1</v>
      </c>
      <c r="D6" s="2" t="s">
        <v>2</v>
      </c>
      <c r="E6" s="2" t="s">
        <v>3</v>
      </c>
      <c r="F6" s="2" t="s">
        <v>9</v>
      </c>
      <c r="G6" s="2" t="s">
        <v>7</v>
      </c>
      <c r="H6" s="2" t="s">
        <v>8</v>
      </c>
      <c r="I6" s="2" t="s">
        <v>4</v>
      </c>
      <c r="J6" s="14"/>
      <c r="K6" s="5" t="s">
        <v>5</v>
      </c>
      <c r="L6" s="5" t="s">
        <v>13</v>
      </c>
      <c r="M6" s="5" t="s">
        <v>24</v>
      </c>
      <c r="N6" s="5" t="s">
        <v>14</v>
      </c>
      <c r="O6" s="6" t="s">
        <v>52</v>
      </c>
      <c r="P6" s="6" t="s">
        <v>54</v>
      </c>
    </row>
    <row r="7" spans="1:16">
      <c r="A7" s="2">
        <v>0</v>
      </c>
      <c r="B7" s="8">
        <v>0</v>
      </c>
      <c r="C7" s="22">
        <v>0.3</v>
      </c>
      <c r="D7" s="9">
        <v>2.7</v>
      </c>
      <c r="E7" s="10">
        <v>34186</v>
      </c>
      <c r="F7" s="12">
        <f>(0.2027*A7+1.2055)*1000</f>
        <v>1205.5</v>
      </c>
      <c r="G7" s="12">
        <f>D7*157.4</f>
        <v>424.98</v>
      </c>
      <c r="H7" s="12">
        <f>C7*7.751*157.4</f>
        <v>366.00222000000002</v>
      </c>
      <c r="I7" s="9">
        <f>G7/H7</f>
        <v>1.161140498000258</v>
      </c>
      <c r="J7" s="27"/>
      <c r="K7" s="4"/>
      <c r="L7" s="4"/>
      <c r="M7" s="4"/>
      <c r="N7" s="4"/>
    </row>
    <row r="8" spans="1:16">
      <c r="A8" s="2">
        <v>0</v>
      </c>
      <c r="B8" s="8">
        <v>1000</v>
      </c>
      <c r="C8" s="22">
        <v>0.3</v>
      </c>
      <c r="D8" s="9">
        <v>2.7</v>
      </c>
      <c r="E8" s="10">
        <v>34186</v>
      </c>
      <c r="F8" s="12">
        <f>(0.2027*A8+1.2055)*1000</f>
        <v>1205.5</v>
      </c>
      <c r="G8" s="12">
        <f>D8*157.4</f>
        <v>424.98</v>
      </c>
      <c r="H8" s="12">
        <f>C8*7.751*157.4</f>
        <v>366.00222000000002</v>
      </c>
      <c r="I8" s="9">
        <f>G8/H8</f>
        <v>1.161140498000258</v>
      </c>
      <c r="J8" s="27"/>
      <c r="K8" s="4">
        <f>B8-B7</f>
        <v>1000</v>
      </c>
      <c r="L8" s="29">
        <f>F8</f>
        <v>1205.5</v>
      </c>
      <c r="M8" s="28">
        <f>8*F8/($D$3*SQRT($G$2^2-$G$1^2))</f>
        <v>388000.49790581595</v>
      </c>
      <c r="N8" s="28">
        <f t="shared" ref="N8:N28" si="0">M8*(EXP(-$G$1*$G$3))*SIN(SQRT($G$2^2-$G$1^2)*$G$3)</f>
        <v>295856.77884028893</v>
      </c>
      <c r="O8" s="16">
        <f>1000*(D8*1000-228.75)*8/64.353</f>
        <v>307211.78499836841</v>
      </c>
      <c r="P8" s="43">
        <f>IF(O8/N8&gt;0.5,O8/N8,"")</f>
        <v>1.0383800776936372</v>
      </c>
    </row>
    <row r="9" spans="1:16">
      <c r="A9" s="8">
        <v>2.75</v>
      </c>
      <c r="B9" s="8">
        <v>1000</v>
      </c>
      <c r="C9" s="9">
        <v>0.42</v>
      </c>
      <c r="D9" s="9">
        <v>4</v>
      </c>
      <c r="E9" s="10">
        <v>34186</v>
      </c>
      <c r="F9" s="12">
        <f>(0.2027*A9+1.2055)*1000</f>
        <v>1762.9250000000002</v>
      </c>
      <c r="G9" s="12">
        <f>D9*157.4</f>
        <v>629.6</v>
      </c>
      <c r="H9" s="12">
        <f>C9*7.751*157.4</f>
        <v>512.40310799999997</v>
      </c>
      <c r="I9" s="9">
        <f>G9/H9</f>
        <v>1.2287201037039768</v>
      </c>
      <c r="J9" s="27"/>
      <c r="K9" s="4">
        <f>B9-B8</f>
        <v>0</v>
      </c>
      <c r="L9" s="29">
        <f>F9</f>
        <v>1762.9250000000002</v>
      </c>
      <c r="M9" s="28">
        <f>8*F9/($D$3*SQRT($G$2^2-$G$1^2))</f>
        <v>567412.50748287898</v>
      </c>
      <c r="N9" s="28">
        <f t="shared" si="0"/>
        <v>432661.39513647155</v>
      </c>
      <c r="O9" s="16">
        <f t="shared" ref="O9:O28" si="1">1000*(D9*1000-228.75)*8/64.353</f>
        <v>468820.41241278575</v>
      </c>
      <c r="P9" s="43">
        <f t="shared" ref="P9:P28" si="2">IF(O9/N9&gt;0.5,O9/N9,"")</f>
        <v>1.0835734772798686</v>
      </c>
    </row>
    <row r="10" spans="1:16">
      <c r="A10" s="8">
        <v>2.75</v>
      </c>
      <c r="B10" s="8">
        <v>40600</v>
      </c>
      <c r="C10" s="9">
        <v>0.42</v>
      </c>
      <c r="D10" s="9">
        <v>4</v>
      </c>
      <c r="E10" s="10">
        <v>34186</v>
      </c>
      <c r="F10" s="12">
        <f>(0.2027*A10+1.2055)*1000</f>
        <v>1762.9250000000002</v>
      </c>
      <c r="G10" s="12">
        <f>D10*157.4</f>
        <v>629.6</v>
      </c>
      <c r="H10" s="12">
        <f>C10*7.751*157.4</f>
        <v>512.40310799999997</v>
      </c>
      <c r="I10" s="9">
        <f>G10/H10</f>
        <v>1.2287201037039768</v>
      </c>
      <c r="J10" s="27"/>
      <c r="K10" s="4">
        <f>B10-B9</f>
        <v>39600</v>
      </c>
      <c r="L10" s="29">
        <f>F10</f>
        <v>1762.9250000000002</v>
      </c>
      <c r="M10" s="28">
        <f>8*F10/($D$3*SQRT($G$2^2-$G$1^2))</f>
        <v>567412.50748287898</v>
      </c>
      <c r="N10" s="28">
        <f t="shared" si="0"/>
        <v>432661.39513647155</v>
      </c>
      <c r="O10" s="16">
        <f t="shared" si="1"/>
        <v>468820.41241278575</v>
      </c>
      <c r="P10" s="43">
        <f t="shared" si="2"/>
        <v>1.0835734772798686</v>
      </c>
    </row>
    <row r="11" spans="1:16">
      <c r="A11" s="8">
        <v>3.2</v>
      </c>
      <c r="B11" s="8">
        <v>40600</v>
      </c>
      <c r="C11" s="9">
        <v>0.45</v>
      </c>
      <c r="D11" s="9">
        <v>4.2</v>
      </c>
      <c r="E11" s="10">
        <v>34187</v>
      </c>
      <c r="F11" s="12">
        <f t="shared" ref="F11:F28" si="3">(0.2027*A11+1.2055)*1000</f>
        <v>1854.14</v>
      </c>
      <c r="G11" s="12">
        <f t="shared" ref="G11:G28" si="4">D11*157.4</f>
        <v>661.08</v>
      </c>
      <c r="H11" s="12">
        <f t="shared" ref="H11:H28" si="5">C11*7.751*157.4</f>
        <v>549.00333000000001</v>
      </c>
      <c r="I11" s="9">
        <f t="shared" ref="I11:I28" si="6">G11/H11</f>
        <v>1.2041457016298973</v>
      </c>
      <c r="J11" s="27"/>
      <c r="K11" s="4">
        <f t="shared" ref="K11:K28" si="7">B11-B10</f>
        <v>0</v>
      </c>
      <c r="L11" s="29">
        <f t="shared" ref="L11:L28" si="8">F11</f>
        <v>1854.14</v>
      </c>
      <c r="M11" s="28">
        <f t="shared" ref="M11:M28" si="9">8*F11/($D$3*SQRT($G$2^2-$G$1^2))</f>
        <v>596770.83632276196</v>
      </c>
      <c r="N11" s="28">
        <f t="shared" si="0"/>
        <v>455047.60507584678</v>
      </c>
      <c r="O11" s="16">
        <f t="shared" si="1"/>
        <v>493683.27816885</v>
      </c>
      <c r="P11" s="43">
        <f t="shared" si="2"/>
        <v>1.0849046839540304</v>
      </c>
    </row>
    <row r="12" spans="1:16">
      <c r="A12" s="8">
        <v>3.2</v>
      </c>
      <c r="B12" s="8">
        <v>82000</v>
      </c>
      <c r="C12" s="9">
        <v>0.45</v>
      </c>
      <c r="D12" s="9">
        <v>4.2</v>
      </c>
      <c r="E12" s="10">
        <v>34188</v>
      </c>
      <c r="F12" s="12">
        <f t="shared" si="3"/>
        <v>1854.14</v>
      </c>
      <c r="G12" s="12">
        <f t="shared" si="4"/>
        <v>661.08</v>
      </c>
      <c r="H12" s="12">
        <f t="shared" si="5"/>
        <v>549.00333000000001</v>
      </c>
      <c r="I12" s="9">
        <f t="shared" si="6"/>
        <v>1.2041457016298973</v>
      </c>
      <c r="J12" s="27"/>
      <c r="K12" s="4">
        <f t="shared" si="7"/>
        <v>41400</v>
      </c>
      <c r="L12" s="29">
        <f t="shared" si="8"/>
        <v>1854.14</v>
      </c>
      <c r="M12" s="28">
        <f t="shared" si="9"/>
        <v>596770.83632276196</v>
      </c>
      <c r="N12" s="28">
        <f t="shared" si="0"/>
        <v>455047.60507584678</v>
      </c>
      <c r="O12" s="16">
        <f t="shared" si="1"/>
        <v>493683.27816885</v>
      </c>
      <c r="P12" s="43">
        <f t="shared" si="2"/>
        <v>1.0849046839540304</v>
      </c>
    </row>
    <row r="13" spans="1:16">
      <c r="A13" s="8">
        <v>3.6</v>
      </c>
      <c r="B13" s="8">
        <v>82000</v>
      </c>
      <c r="C13" s="9">
        <v>0.46500000000000002</v>
      </c>
      <c r="D13" s="9">
        <v>4.4000000000000004</v>
      </c>
      <c r="E13" s="10">
        <v>34188</v>
      </c>
      <c r="F13" s="12">
        <f t="shared" si="3"/>
        <v>1935.2200000000003</v>
      </c>
      <c r="G13" s="12">
        <f t="shared" si="4"/>
        <v>692.56000000000006</v>
      </c>
      <c r="H13" s="12">
        <f t="shared" si="5"/>
        <v>567.30344100000013</v>
      </c>
      <c r="I13" s="9">
        <f t="shared" si="6"/>
        <v>1.2207928772284671</v>
      </c>
      <c r="J13" s="27"/>
      <c r="K13" s="4">
        <f t="shared" si="7"/>
        <v>0</v>
      </c>
      <c r="L13" s="29">
        <f t="shared" si="8"/>
        <v>1935.2200000000003</v>
      </c>
      <c r="M13" s="28">
        <f t="shared" si="9"/>
        <v>622867.12862488034</v>
      </c>
      <c r="N13" s="28">
        <f t="shared" si="0"/>
        <v>474946.45835529157</v>
      </c>
      <c r="O13" s="16">
        <f t="shared" si="1"/>
        <v>518546.14392491418</v>
      </c>
      <c r="P13" s="43">
        <f t="shared" si="2"/>
        <v>1.0917991592580887</v>
      </c>
    </row>
    <row r="14" spans="1:16">
      <c r="A14" s="8">
        <v>3.6</v>
      </c>
      <c r="B14" s="8">
        <v>124500</v>
      </c>
      <c r="C14" s="9">
        <v>0.46500000000000002</v>
      </c>
      <c r="D14" s="9">
        <v>4.4000000000000004</v>
      </c>
      <c r="E14" s="10">
        <v>34189</v>
      </c>
      <c r="F14" s="12">
        <f t="shared" si="3"/>
        <v>1935.2200000000003</v>
      </c>
      <c r="G14" s="12">
        <f t="shared" si="4"/>
        <v>692.56000000000006</v>
      </c>
      <c r="H14" s="12">
        <f t="shared" si="5"/>
        <v>567.30344100000013</v>
      </c>
      <c r="I14" s="9">
        <f t="shared" si="6"/>
        <v>1.2207928772284671</v>
      </c>
      <c r="J14" s="27"/>
      <c r="K14" s="4">
        <f t="shared" si="7"/>
        <v>42500</v>
      </c>
      <c r="L14" s="29">
        <f t="shared" si="8"/>
        <v>1935.2200000000003</v>
      </c>
      <c r="M14" s="28">
        <f t="shared" si="9"/>
        <v>622867.12862488034</v>
      </c>
      <c r="N14" s="28">
        <f t="shared" si="0"/>
        <v>474946.45835529157</v>
      </c>
      <c r="O14" s="16">
        <f t="shared" si="1"/>
        <v>518546.14392491418</v>
      </c>
      <c r="P14" s="43">
        <f t="shared" si="2"/>
        <v>1.0917991592580887</v>
      </c>
    </row>
    <row r="15" spans="1:16">
      <c r="A15" s="8">
        <v>4.2</v>
      </c>
      <c r="B15" s="8">
        <v>124500</v>
      </c>
      <c r="C15" s="9">
        <v>0.49</v>
      </c>
      <c r="D15" s="8">
        <v>4.5999999999999996</v>
      </c>
      <c r="E15" s="10">
        <v>34189</v>
      </c>
      <c r="F15" s="12">
        <f t="shared" si="3"/>
        <v>2056.84</v>
      </c>
      <c r="G15" s="12">
        <f t="shared" si="4"/>
        <v>724.04</v>
      </c>
      <c r="H15" s="12">
        <f t="shared" si="5"/>
        <v>597.80362600000001</v>
      </c>
      <c r="I15" s="9">
        <f t="shared" si="6"/>
        <v>1.2111669593653485</v>
      </c>
      <c r="J15" s="27"/>
      <c r="K15" s="4">
        <f t="shared" si="7"/>
        <v>0</v>
      </c>
      <c r="L15" s="29">
        <f t="shared" si="8"/>
        <v>2056.84</v>
      </c>
      <c r="M15" s="28">
        <f t="shared" si="9"/>
        <v>662011.56707805768</v>
      </c>
      <c r="N15" s="28">
        <f t="shared" si="0"/>
        <v>504794.73827445868</v>
      </c>
      <c r="O15" s="16">
        <f t="shared" si="1"/>
        <v>543409.00968097837</v>
      </c>
      <c r="P15" s="43">
        <f t="shared" si="2"/>
        <v>1.0764949958442811</v>
      </c>
    </row>
    <row r="16" spans="1:16">
      <c r="A16" s="8">
        <v>4.2</v>
      </c>
      <c r="B16" s="8">
        <v>162000</v>
      </c>
      <c r="C16" s="9">
        <v>0.49</v>
      </c>
      <c r="D16" s="8">
        <v>4.5999999999999996</v>
      </c>
      <c r="E16" s="10">
        <v>34190</v>
      </c>
      <c r="F16" s="12">
        <f t="shared" si="3"/>
        <v>2056.84</v>
      </c>
      <c r="G16" s="12">
        <f t="shared" si="4"/>
        <v>724.04</v>
      </c>
      <c r="H16" s="12">
        <f t="shared" si="5"/>
        <v>597.80362600000001</v>
      </c>
      <c r="I16" s="9">
        <f t="shared" si="6"/>
        <v>1.2111669593653485</v>
      </c>
      <c r="J16" s="27"/>
      <c r="K16" s="4">
        <f t="shared" si="7"/>
        <v>37500</v>
      </c>
      <c r="L16" s="29">
        <f t="shared" si="8"/>
        <v>2056.84</v>
      </c>
      <c r="M16" s="28">
        <f t="shared" si="9"/>
        <v>662011.56707805768</v>
      </c>
      <c r="N16" s="28">
        <f t="shared" si="0"/>
        <v>504794.73827445868</v>
      </c>
      <c r="O16" s="16">
        <f t="shared" si="1"/>
        <v>543409.00968097837</v>
      </c>
      <c r="P16" s="43">
        <f t="shared" si="2"/>
        <v>1.0764949958442811</v>
      </c>
    </row>
    <row r="17" spans="1:16">
      <c r="A17" s="8">
        <v>4.5999999999999996</v>
      </c>
      <c r="B17" s="8">
        <v>162000</v>
      </c>
      <c r="C17" s="9">
        <v>0.52</v>
      </c>
      <c r="D17" s="8">
        <v>4.8</v>
      </c>
      <c r="E17" s="10">
        <v>34190</v>
      </c>
      <c r="F17" s="12">
        <f t="shared" si="3"/>
        <v>2137.9199999999996</v>
      </c>
      <c r="G17" s="12">
        <f t="shared" si="4"/>
        <v>755.52</v>
      </c>
      <c r="H17" s="12">
        <f t="shared" si="5"/>
        <v>634.40384800000004</v>
      </c>
      <c r="I17" s="9">
        <f t="shared" si="6"/>
        <v>1.1909133312823159</v>
      </c>
      <c r="J17" s="27"/>
      <c r="K17" s="4">
        <f t="shared" si="7"/>
        <v>0</v>
      </c>
      <c r="L17" s="29">
        <f t="shared" si="8"/>
        <v>2137.9199999999996</v>
      </c>
      <c r="M17" s="28">
        <f t="shared" si="9"/>
        <v>688107.85938017571</v>
      </c>
      <c r="N17" s="28">
        <f t="shared" si="0"/>
        <v>524693.59155390318</v>
      </c>
      <c r="O17" s="16">
        <f t="shared" si="1"/>
        <v>568271.87543704256</v>
      </c>
      <c r="P17" s="43">
        <f t="shared" si="2"/>
        <v>1.0830547286733203</v>
      </c>
    </row>
    <row r="18" spans="1:16">
      <c r="A18" s="8">
        <v>4.5999999999999996</v>
      </c>
      <c r="B18" s="8">
        <v>203000</v>
      </c>
      <c r="C18" s="9">
        <v>0.52</v>
      </c>
      <c r="D18" s="8">
        <v>4.8</v>
      </c>
      <c r="E18" s="10">
        <v>34191</v>
      </c>
      <c r="F18" s="12">
        <f t="shared" si="3"/>
        <v>2137.9199999999996</v>
      </c>
      <c r="G18" s="12">
        <f t="shared" si="4"/>
        <v>755.52</v>
      </c>
      <c r="H18" s="12">
        <f t="shared" si="5"/>
        <v>634.40384800000004</v>
      </c>
      <c r="I18" s="9">
        <f t="shared" si="6"/>
        <v>1.1909133312823159</v>
      </c>
      <c r="J18" s="27"/>
      <c r="K18" s="4">
        <f t="shared" si="7"/>
        <v>41000</v>
      </c>
      <c r="L18" s="29">
        <f t="shared" si="8"/>
        <v>2137.9199999999996</v>
      </c>
      <c r="M18" s="28">
        <f t="shared" si="9"/>
        <v>688107.85938017571</v>
      </c>
      <c r="N18" s="28">
        <f t="shared" si="0"/>
        <v>524693.59155390318</v>
      </c>
      <c r="O18" s="16">
        <f t="shared" si="1"/>
        <v>568271.87543704256</v>
      </c>
      <c r="P18" s="43">
        <f t="shared" si="2"/>
        <v>1.0830547286733203</v>
      </c>
    </row>
    <row r="19" spans="1:16">
      <c r="A19" s="8">
        <v>5.15</v>
      </c>
      <c r="B19" s="8">
        <v>203000</v>
      </c>
      <c r="C19" s="9">
        <v>0.54</v>
      </c>
      <c r="D19" s="8">
        <v>5</v>
      </c>
      <c r="E19" s="10">
        <v>34191</v>
      </c>
      <c r="F19" s="12">
        <f t="shared" si="3"/>
        <v>2249.4050000000002</v>
      </c>
      <c r="G19" s="12">
        <f t="shared" si="4"/>
        <v>787</v>
      </c>
      <c r="H19" s="12">
        <f t="shared" si="5"/>
        <v>658.8039960000001</v>
      </c>
      <c r="I19" s="9">
        <f t="shared" si="6"/>
        <v>1.1945889897121995</v>
      </c>
      <c r="J19" s="27"/>
      <c r="K19" s="4">
        <f t="shared" si="7"/>
        <v>0</v>
      </c>
      <c r="L19" s="29">
        <f t="shared" si="8"/>
        <v>2249.4050000000002</v>
      </c>
      <c r="M19" s="28">
        <f t="shared" si="9"/>
        <v>723990.26129558845</v>
      </c>
      <c r="N19" s="28">
        <f t="shared" si="0"/>
        <v>552054.51481313992</v>
      </c>
      <c r="O19" s="16">
        <f t="shared" si="1"/>
        <v>593134.74119310686</v>
      </c>
      <c r="P19" s="43">
        <f t="shared" si="2"/>
        <v>1.0744133509964533</v>
      </c>
    </row>
    <row r="20" spans="1:16">
      <c r="A20" s="8">
        <v>5.15</v>
      </c>
      <c r="B20" s="8">
        <v>243000</v>
      </c>
      <c r="C20" s="9">
        <v>0.54</v>
      </c>
      <c r="D20" s="8">
        <v>5</v>
      </c>
      <c r="E20" s="10">
        <v>34192</v>
      </c>
      <c r="F20" s="12">
        <f t="shared" si="3"/>
        <v>2249.4050000000002</v>
      </c>
      <c r="G20" s="12">
        <f t="shared" si="4"/>
        <v>787</v>
      </c>
      <c r="H20" s="12">
        <f t="shared" si="5"/>
        <v>658.8039960000001</v>
      </c>
      <c r="I20" s="9">
        <f t="shared" si="6"/>
        <v>1.1945889897121995</v>
      </c>
      <c r="J20" s="27"/>
      <c r="K20" s="4">
        <f t="shared" si="7"/>
        <v>40000</v>
      </c>
      <c r="L20" s="29">
        <f t="shared" si="8"/>
        <v>2249.4050000000002</v>
      </c>
      <c r="M20" s="28">
        <f t="shared" si="9"/>
        <v>723990.26129558845</v>
      </c>
      <c r="N20" s="28">
        <f t="shared" si="0"/>
        <v>552054.51481313992</v>
      </c>
      <c r="O20" s="16">
        <f t="shared" si="1"/>
        <v>593134.74119310686</v>
      </c>
      <c r="P20" s="43">
        <f t="shared" si="2"/>
        <v>1.0744133509964533</v>
      </c>
    </row>
    <row r="21" spans="1:16">
      <c r="A21" s="8">
        <v>5.5</v>
      </c>
      <c r="B21" s="8">
        <v>243000</v>
      </c>
      <c r="C21" s="9">
        <v>0.56000000000000005</v>
      </c>
      <c r="D21" s="8">
        <v>5.2</v>
      </c>
      <c r="E21" s="10">
        <v>34192</v>
      </c>
      <c r="F21" s="12">
        <f t="shared" si="3"/>
        <v>2320.35</v>
      </c>
      <c r="G21" s="12">
        <f t="shared" si="4"/>
        <v>818.48</v>
      </c>
      <c r="H21" s="12">
        <f t="shared" si="5"/>
        <v>683.20414400000016</v>
      </c>
      <c r="I21" s="9">
        <f t="shared" si="6"/>
        <v>1.1980021011113771</v>
      </c>
      <c r="J21" s="27"/>
      <c r="K21" s="4">
        <f t="shared" si="7"/>
        <v>0</v>
      </c>
      <c r="L21" s="29">
        <f t="shared" si="8"/>
        <v>2320.35</v>
      </c>
      <c r="M21" s="28">
        <f t="shared" si="9"/>
        <v>746824.51705994189</v>
      </c>
      <c r="N21" s="28">
        <f t="shared" si="0"/>
        <v>569466.01143265399</v>
      </c>
      <c r="O21" s="16">
        <f t="shared" si="1"/>
        <v>617997.60694917105</v>
      </c>
      <c r="P21" s="43">
        <f t="shared" si="2"/>
        <v>1.0852229888038831</v>
      </c>
    </row>
    <row r="22" spans="1:16">
      <c r="A22" s="8">
        <v>5.5</v>
      </c>
      <c r="B22" s="4">
        <v>268000</v>
      </c>
      <c r="C22" s="9">
        <v>0.56000000000000005</v>
      </c>
      <c r="D22" s="8">
        <v>5.2</v>
      </c>
      <c r="E22" s="30">
        <v>34193</v>
      </c>
      <c r="F22" s="12">
        <f t="shared" si="3"/>
        <v>2320.35</v>
      </c>
      <c r="G22" s="12">
        <f t="shared" si="4"/>
        <v>818.48</v>
      </c>
      <c r="H22" s="12">
        <f t="shared" si="5"/>
        <v>683.20414400000016</v>
      </c>
      <c r="I22" s="9">
        <f t="shared" si="6"/>
        <v>1.1980021011113771</v>
      </c>
      <c r="J22" s="27"/>
      <c r="K22" s="4">
        <f t="shared" si="7"/>
        <v>25000</v>
      </c>
      <c r="L22" s="29">
        <f t="shared" si="8"/>
        <v>2320.35</v>
      </c>
      <c r="M22" s="28">
        <f t="shared" si="9"/>
        <v>746824.51705994189</v>
      </c>
      <c r="N22" s="28">
        <f t="shared" si="0"/>
        <v>569466.01143265399</v>
      </c>
      <c r="O22" s="16">
        <f t="shared" si="1"/>
        <v>617997.60694917105</v>
      </c>
      <c r="P22" s="43">
        <f t="shared" si="2"/>
        <v>1.0852229888038831</v>
      </c>
    </row>
    <row r="23" spans="1:16">
      <c r="A23" s="8">
        <v>6</v>
      </c>
      <c r="B23" s="8">
        <v>268000</v>
      </c>
      <c r="C23" s="24">
        <v>0.59</v>
      </c>
      <c r="D23" s="4">
        <v>5.4</v>
      </c>
      <c r="E23" s="30">
        <v>34193</v>
      </c>
      <c r="F23" s="12">
        <f t="shared" si="3"/>
        <v>2421.6999999999998</v>
      </c>
      <c r="G23" s="12">
        <f t="shared" si="4"/>
        <v>849.96</v>
      </c>
      <c r="H23" s="12">
        <f t="shared" si="5"/>
        <v>719.80436599999996</v>
      </c>
      <c r="I23" s="9">
        <f t="shared" si="6"/>
        <v>1.1808208454239912</v>
      </c>
      <c r="J23" s="27"/>
      <c r="K23" s="4">
        <f t="shared" si="7"/>
        <v>0</v>
      </c>
      <c r="L23" s="29">
        <f t="shared" si="8"/>
        <v>2421.6999999999998</v>
      </c>
      <c r="M23" s="28">
        <f t="shared" si="9"/>
        <v>779444.88243758969</v>
      </c>
      <c r="N23" s="28">
        <f t="shared" si="0"/>
        <v>594339.57803195983</v>
      </c>
      <c r="O23" s="16">
        <f t="shared" si="1"/>
        <v>642860.47270523524</v>
      </c>
      <c r="P23" s="43">
        <f t="shared" si="2"/>
        <v>1.0816383368476703</v>
      </c>
    </row>
    <row r="24" spans="1:16">
      <c r="A24" s="8">
        <v>6</v>
      </c>
      <c r="B24" s="8">
        <v>324500</v>
      </c>
      <c r="C24" s="24">
        <v>0.59</v>
      </c>
      <c r="D24" s="4">
        <v>5.4</v>
      </c>
      <c r="E24" s="30">
        <v>34194</v>
      </c>
      <c r="F24" s="12">
        <f t="shared" si="3"/>
        <v>2421.6999999999998</v>
      </c>
      <c r="G24" s="12">
        <f t="shared" si="4"/>
        <v>849.96</v>
      </c>
      <c r="H24" s="12">
        <f t="shared" si="5"/>
        <v>719.80436599999996</v>
      </c>
      <c r="I24" s="9">
        <f t="shared" si="6"/>
        <v>1.1808208454239912</v>
      </c>
      <c r="J24" s="27"/>
      <c r="K24" s="4">
        <f t="shared" si="7"/>
        <v>56500</v>
      </c>
      <c r="L24" s="29">
        <f t="shared" si="8"/>
        <v>2421.6999999999998</v>
      </c>
      <c r="M24" s="28">
        <f t="shared" si="9"/>
        <v>779444.88243758969</v>
      </c>
      <c r="N24" s="28">
        <f t="shared" si="0"/>
        <v>594339.57803195983</v>
      </c>
      <c r="O24" s="16">
        <f t="shared" si="1"/>
        <v>642860.47270523524</v>
      </c>
      <c r="P24" s="43">
        <f t="shared" si="2"/>
        <v>1.0816383368476703</v>
      </c>
    </row>
    <row r="25" spans="1:16">
      <c r="A25" s="8">
        <v>6.4</v>
      </c>
      <c r="B25" s="8">
        <v>324500</v>
      </c>
      <c r="C25" s="24">
        <v>0.61</v>
      </c>
      <c r="D25" s="4">
        <v>5.6</v>
      </c>
      <c r="E25" s="30">
        <v>34194</v>
      </c>
      <c r="F25" s="12">
        <f t="shared" si="3"/>
        <v>2502.7800000000002</v>
      </c>
      <c r="G25" s="12">
        <f t="shared" si="4"/>
        <v>881.43999999999994</v>
      </c>
      <c r="H25" s="12">
        <f t="shared" si="5"/>
        <v>744.20451400000002</v>
      </c>
      <c r="I25" s="9">
        <f t="shared" si="6"/>
        <v>1.1844056081605545</v>
      </c>
      <c r="J25" s="27"/>
      <c r="K25" s="4">
        <f t="shared" si="7"/>
        <v>0</v>
      </c>
      <c r="L25" s="29">
        <f t="shared" si="8"/>
        <v>2502.7800000000002</v>
      </c>
      <c r="M25" s="28">
        <f t="shared" si="9"/>
        <v>805541.17473970808</v>
      </c>
      <c r="N25" s="28">
        <f t="shared" si="0"/>
        <v>614238.43131140468</v>
      </c>
      <c r="O25" s="16">
        <f t="shared" si="1"/>
        <v>667723.33846129943</v>
      </c>
      <c r="P25" s="43">
        <f t="shared" si="2"/>
        <v>1.0870751558734351</v>
      </c>
    </row>
    <row r="26" spans="1:16">
      <c r="A26" s="4">
        <v>6.4</v>
      </c>
      <c r="B26" s="4">
        <v>365500</v>
      </c>
      <c r="C26" s="24">
        <v>0.61</v>
      </c>
      <c r="D26" s="4">
        <v>5.6</v>
      </c>
      <c r="E26" s="30">
        <v>34195</v>
      </c>
      <c r="F26" s="12">
        <f t="shared" si="3"/>
        <v>2502.7800000000002</v>
      </c>
      <c r="G26" s="12">
        <f t="shared" si="4"/>
        <v>881.43999999999994</v>
      </c>
      <c r="H26" s="12">
        <f t="shared" si="5"/>
        <v>744.20451400000002</v>
      </c>
      <c r="I26" s="9">
        <f t="shared" si="6"/>
        <v>1.1844056081605545</v>
      </c>
      <c r="J26" s="27"/>
      <c r="K26" s="4">
        <f t="shared" si="7"/>
        <v>41000</v>
      </c>
      <c r="L26" s="29">
        <f t="shared" si="8"/>
        <v>2502.7800000000002</v>
      </c>
      <c r="M26" s="28">
        <f t="shared" si="9"/>
        <v>805541.17473970808</v>
      </c>
      <c r="N26" s="28">
        <f t="shared" si="0"/>
        <v>614238.43131140468</v>
      </c>
      <c r="O26" s="16">
        <f t="shared" si="1"/>
        <v>667723.33846129943</v>
      </c>
      <c r="P26" s="43">
        <f t="shared" si="2"/>
        <v>1.0870751558734351</v>
      </c>
    </row>
    <row r="27" spans="1:16">
      <c r="A27" s="8">
        <v>6.65</v>
      </c>
      <c r="B27" s="4">
        <v>365500</v>
      </c>
      <c r="C27" s="24">
        <v>0.62</v>
      </c>
      <c r="D27" s="4">
        <v>5.7</v>
      </c>
      <c r="E27" s="30">
        <v>34196</v>
      </c>
      <c r="F27" s="12">
        <f t="shared" si="3"/>
        <v>2553.4549999999999</v>
      </c>
      <c r="G27" s="12">
        <f t="shared" si="4"/>
        <v>897.18000000000006</v>
      </c>
      <c r="H27" s="12">
        <f t="shared" si="5"/>
        <v>756.4045880000001</v>
      </c>
      <c r="I27" s="9">
        <f t="shared" si="6"/>
        <v>1.1861112613981131</v>
      </c>
      <c r="J27" s="27"/>
      <c r="K27" s="4">
        <f t="shared" si="7"/>
        <v>0</v>
      </c>
      <c r="L27" s="29">
        <f t="shared" si="8"/>
        <v>2553.4549999999999</v>
      </c>
      <c r="M27" s="28">
        <f t="shared" si="9"/>
        <v>821851.35742853186</v>
      </c>
      <c r="N27" s="28">
        <f t="shared" si="0"/>
        <v>626675.21461105754</v>
      </c>
      <c r="O27" s="16">
        <f t="shared" si="1"/>
        <v>680154.77133933152</v>
      </c>
      <c r="P27" s="43">
        <f t="shared" si="2"/>
        <v>1.0853385541367959</v>
      </c>
    </row>
    <row r="28" spans="1:16">
      <c r="A28" s="8">
        <v>6.65</v>
      </c>
      <c r="B28" s="29">
        <v>409700</v>
      </c>
      <c r="C28" s="24">
        <v>0.62</v>
      </c>
      <c r="D28" s="29">
        <v>5.7</v>
      </c>
      <c r="E28" s="30">
        <v>34196</v>
      </c>
      <c r="F28" s="12">
        <f t="shared" si="3"/>
        <v>2553.4549999999999</v>
      </c>
      <c r="G28" s="12">
        <f t="shared" si="4"/>
        <v>897.18000000000006</v>
      </c>
      <c r="H28" s="12">
        <f t="shared" si="5"/>
        <v>756.4045880000001</v>
      </c>
      <c r="I28" s="9">
        <f t="shared" si="6"/>
        <v>1.1861112613981131</v>
      </c>
      <c r="J28" s="27"/>
      <c r="K28" s="4">
        <f t="shared" si="7"/>
        <v>44200</v>
      </c>
      <c r="L28" s="29">
        <f t="shared" si="8"/>
        <v>2553.4549999999999</v>
      </c>
      <c r="M28" s="28">
        <f t="shared" si="9"/>
        <v>821851.35742853186</v>
      </c>
      <c r="N28" s="28">
        <f t="shared" si="0"/>
        <v>626675.21461105754</v>
      </c>
      <c r="O28" s="16">
        <f t="shared" si="1"/>
        <v>680154.77133933152</v>
      </c>
      <c r="P28" s="43">
        <f t="shared" si="2"/>
        <v>1.0853385541367959</v>
      </c>
    </row>
    <row r="29" spans="1:16">
      <c r="A29" s="4"/>
      <c r="B29" s="29"/>
      <c r="D29" s="29"/>
      <c r="E29" s="4"/>
      <c r="F29" s="29">
        <f>MAX(F7:F28)</f>
        <v>2553.4549999999999</v>
      </c>
      <c r="G29" s="4"/>
      <c r="H29" s="4"/>
      <c r="I29" s="4"/>
      <c r="J29" s="27"/>
      <c r="K29" s="4">
        <f>SUM(K8:K28)</f>
        <v>409700</v>
      </c>
      <c r="L29" s="4"/>
      <c r="M29" s="4"/>
      <c r="N29" s="4"/>
      <c r="O29" s="3" t="s">
        <v>12</v>
      </c>
      <c r="P29" s="43">
        <f>MAX(P7:P28)</f>
        <v>1.0917991592580887</v>
      </c>
    </row>
    <row r="30" spans="1:16">
      <c r="B30" s="15"/>
      <c r="D30" s="15"/>
      <c r="I30" s="13"/>
      <c r="J30" s="3"/>
      <c r="O30" s="3" t="s">
        <v>53</v>
      </c>
      <c r="P30" s="43">
        <f>MIN(P7:P28)</f>
        <v>1.0383800776936372</v>
      </c>
    </row>
    <row r="31" spans="1:16">
      <c r="B31" s="15"/>
      <c r="D31" s="15"/>
    </row>
    <row r="32" spans="1:16">
      <c r="A32" s="3" t="s">
        <v>5</v>
      </c>
      <c r="B32" s="15" t="s">
        <v>13</v>
      </c>
      <c r="C32" s="24" t="s">
        <v>24</v>
      </c>
      <c r="D32" s="15" t="s">
        <v>58</v>
      </c>
      <c r="E32" s="3" t="s">
        <v>55</v>
      </c>
      <c r="F32" s="3" t="s">
        <v>56</v>
      </c>
    </row>
    <row r="33" spans="1:6">
      <c r="A33" s="15">
        <v>1000</v>
      </c>
      <c r="B33" s="15">
        <v>1205.5</v>
      </c>
      <c r="C33" s="29">
        <v>388000.49790581595</v>
      </c>
      <c r="D33" s="15">
        <v>295856.77884028893</v>
      </c>
      <c r="E33" s="15">
        <f t="shared" ref="E33:E43" si="10">D33/1000*1.5598+1.525</f>
        <v>463.00240363508271</v>
      </c>
      <c r="F33" s="15">
        <f>D33/1000</f>
        <v>295.85677884028894</v>
      </c>
    </row>
    <row r="34" spans="1:6">
      <c r="A34" s="15">
        <v>39600</v>
      </c>
      <c r="B34" s="15">
        <v>1762.925</v>
      </c>
      <c r="C34" s="29">
        <v>567412.50748287898</v>
      </c>
      <c r="D34" s="15">
        <v>432661.39513647155</v>
      </c>
      <c r="E34" s="15">
        <f t="shared" si="10"/>
        <v>676.39024413386835</v>
      </c>
      <c r="F34" s="15">
        <f t="shared" ref="F34:F43" si="11">D34/1000</f>
        <v>432.66139513647153</v>
      </c>
    </row>
    <row r="35" spans="1:6">
      <c r="A35" s="15">
        <v>41400</v>
      </c>
      <c r="B35" s="15">
        <v>1854.14</v>
      </c>
      <c r="C35" s="29">
        <v>596770.83632276196</v>
      </c>
      <c r="D35" s="15">
        <v>455047.60507584678</v>
      </c>
      <c r="E35" s="15">
        <f t="shared" si="10"/>
        <v>711.30825439730586</v>
      </c>
      <c r="F35" s="15">
        <f t="shared" si="11"/>
        <v>455.04760507584677</v>
      </c>
    </row>
    <row r="36" spans="1:6">
      <c r="A36" s="15">
        <v>42500</v>
      </c>
      <c r="B36" s="15">
        <v>1935.22</v>
      </c>
      <c r="C36" s="29">
        <v>622867.12862488034</v>
      </c>
      <c r="D36" s="15">
        <v>474946.45835529157</v>
      </c>
      <c r="E36" s="15">
        <f t="shared" si="10"/>
        <v>742.34648574258381</v>
      </c>
      <c r="F36" s="15">
        <f t="shared" si="11"/>
        <v>474.94645835529155</v>
      </c>
    </row>
    <row r="37" spans="1:6">
      <c r="A37" s="15">
        <v>37500</v>
      </c>
      <c r="B37" s="15">
        <v>2056.84</v>
      </c>
      <c r="C37" s="29">
        <v>662011.56707805768</v>
      </c>
      <c r="D37" s="15">
        <v>504794.73827445868</v>
      </c>
      <c r="E37" s="15">
        <f t="shared" si="10"/>
        <v>788.90383276050068</v>
      </c>
      <c r="F37" s="15">
        <f t="shared" si="11"/>
        <v>504.79473827445867</v>
      </c>
    </row>
    <row r="38" spans="1:6">
      <c r="A38" s="15">
        <v>41000</v>
      </c>
      <c r="B38" s="15">
        <v>2137.92</v>
      </c>
      <c r="C38" s="29">
        <v>688107.85938017571</v>
      </c>
      <c r="D38" s="15">
        <v>524693.59155390318</v>
      </c>
      <c r="E38" s="15">
        <f t="shared" si="10"/>
        <v>819.94206410577817</v>
      </c>
      <c r="F38" s="15">
        <f t="shared" si="11"/>
        <v>524.69359155390316</v>
      </c>
    </row>
    <row r="39" spans="1:6">
      <c r="A39" s="15">
        <v>40000</v>
      </c>
      <c r="B39" s="15">
        <v>2249.4050000000002</v>
      </c>
      <c r="C39" s="29">
        <v>723990.26129558845</v>
      </c>
      <c r="D39" s="15">
        <v>552054.51481313992</v>
      </c>
      <c r="E39" s="15">
        <f t="shared" si="10"/>
        <v>862.61963220553571</v>
      </c>
      <c r="F39" s="15">
        <f t="shared" si="11"/>
        <v>552.05451481313992</v>
      </c>
    </row>
    <row r="40" spans="1:6">
      <c r="A40" s="15">
        <v>25000</v>
      </c>
      <c r="B40" s="15">
        <v>2320.35</v>
      </c>
      <c r="C40" s="29">
        <v>746824.51705994189</v>
      </c>
      <c r="D40" s="15">
        <v>569466.01143265399</v>
      </c>
      <c r="E40" s="15">
        <f t="shared" si="10"/>
        <v>889.77808463265376</v>
      </c>
      <c r="F40" s="15">
        <f t="shared" si="11"/>
        <v>569.466011432654</v>
      </c>
    </row>
    <row r="41" spans="1:6">
      <c r="A41" s="15">
        <v>56500</v>
      </c>
      <c r="B41" s="15">
        <v>2421.6999999999998</v>
      </c>
      <c r="C41" s="29">
        <v>779444.88243758969</v>
      </c>
      <c r="D41" s="15">
        <v>594339.57803195983</v>
      </c>
      <c r="E41" s="15">
        <f t="shared" si="10"/>
        <v>928.57587381425094</v>
      </c>
      <c r="F41" s="15">
        <f t="shared" si="11"/>
        <v>594.33957803195983</v>
      </c>
    </row>
    <row r="42" spans="1:6">
      <c r="A42" s="15">
        <v>41000</v>
      </c>
      <c r="B42" s="15">
        <v>2502.7800000000002</v>
      </c>
      <c r="C42" s="29">
        <v>805541.17473970808</v>
      </c>
      <c r="D42" s="15">
        <v>614238.43131140468</v>
      </c>
      <c r="E42" s="15">
        <f t="shared" si="10"/>
        <v>959.61410515952912</v>
      </c>
      <c r="F42" s="15">
        <f t="shared" si="11"/>
        <v>614.23843131140472</v>
      </c>
    </row>
    <row r="43" spans="1:6">
      <c r="A43" s="15">
        <v>44200</v>
      </c>
      <c r="B43" s="15">
        <v>2553.4549999999999</v>
      </c>
      <c r="C43" s="29">
        <v>821851.35742853186</v>
      </c>
      <c r="D43" s="15">
        <v>626675.21461105754</v>
      </c>
      <c r="E43" s="15">
        <f t="shared" si="10"/>
        <v>979.01299975032759</v>
      </c>
      <c r="F43" s="15">
        <f t="shared" si="11"/>
        <v>626.67521461105753</v>
      </c>
    </row>
    <row r="44" spans="1:6">
      <c r="A44" s="15">
        <f>SUM(A33:A43)</f>
        <v>409700</v>
      </c>
      <c r="B44" s="15"/>
      <c r="D44" s="15"/>
    </row>
  </sheetData>
  <phoneticPr fontId="0" type="noConversion"/>
  <pageMargins left="0.75" right="0.75" top="1" bottom="1" header="0.5" footer="0.5"/>
  <pageSetup scale="70" orientation="landscape" horizontalDpi="355" verticalDpi="355" r:id="rId1"/>
  <headerFooter alignWithMargins="0"/>
  <drawing r:id="rId2"/>
  <legacyDrawing r:id="rId3"/>
  <oleObjects>
    <mc:AlternateContent xmlns:mc="http://schemas.openxmlformats.org/markup-compatibility/2006">
      <mc:Choice Requires="x14">
        <oleObject progId="Mathcad" shapeId="9217"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9217" r:id="rId4"/>
      </mc:Fallback>
    </mc:AlternateContent>
    <mc:AlternateContent xmlns:mc="http://schemas.openxmlformats.org/markup-compatibility/2006">
      <mc:Choice Requires="x14">
        <oleObject progId="Mathcad" shapeId="9218"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9218" r:id="rId6"/>
      </mc:Fallback>
    </mc:AlternateContent>
    <mc:AlternateContent xmlns:mc="http://schemas.openxmlformats.org/markup-compatibility/2006">
      <mc:Choice Requires="x14">
        <oleObject progId="Mathcad" shapeId="9222" r:id="rId8">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9222" r:id="rId8"/>
      </mc:Fallback>
    </mc:AlternateContent>
    <mc:AlternateContent xmlns:mc="http://schemas.openxmlformats.org/markup-compatibility/2006">
      <mc:Choice Requires="x14">
        <oleObject progId="Mathcad" shapeId="9223" r:id="rId9">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9223" r:id="rId9"/>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48"/>
  <sheetViews>
    <sheetView tabSelected="1" topLeftCell="A58" workbookViewId="0">
      <selection activeCell="H36" sqref="H36"/>
    </sheetView>
  </sheetViews>
  <sheetFormatPr defaultColWidth="9" defaultRowHeight="13.2"/>
  <cols>
    <col min="1" max="1" width="9" style="3"/>
    <col min="2" max="4" width="9.109375" style="3" bestFit="1" customWidth="1"/>
    <col min="5" max="9" width="9" style="3"/>
    <col min="10" max="10" width="9.33203125" style="13" customWidth="1"/>
    <col min="11" max="16384" width="9" style="3"/>
  </cols>
  <sheetData>
    <row r="1" spans="1:16" s="1" customFormat="1">
      <c r="A1" s="1" t="s">
        <v>36</v>
      </c>
      <c r="C1" s="19" t="s">
        <v>10</v>
      </c>
      <c r="D1" s="1" t="s">
        <v>35</v>
      </c>
      <c r="E1" s="1" t="s">
        <v>11</v>
      </c>
      <c r="F1" s="7" t="s">
        <v>20</v>
      </c>
      <c r="G1" s="17">
        <f>D4/(2*D3)</f>
        <v>1485.8075040783035</v>
      </c>
      <c r="H1" s="1" t="s">
        <v>26</v>
      </c>
      <c r="J1" s="13"/>
    </row>
    <row r="2" spans="1:16">
      <c r="C2" s="18" t="s">
        <v>15</v>
      </c>
      <c r="D2" s="3">
        <v>384.9</v>
      </c>
      <c r="E2" s="3" t="s">
        <v>11</v>
      </c>
      <c r="F2" s="18" t="s">
        <v>21</v>
      </c>
      <c r="G2" s="3">
        <f>SQRT(1/(D3*D5))</f>
        <v>8244.4965742557415</v>
      </c>
      <c r="H2" s="3" t="s">
        <v>26</v>
      </c>
    </row>
    <row r="3" spans="1:16">
      <c r="C3" s="18" t="s">
        <v>16</v>
      </c>
      <c r="D3" s="16">
        <v>3.0649999999999999E-6</v>
      </c>
      <c r="E3" s="3" t="s">
        <v>17</v>
      </c>
      <c r="F3" s="18" t="s">
        <v>25</v>
      </c>
      <c r="G3" s="16">
        <v>1.705E-4</v>
      </c>
      <c r="H3" s="3" t="s">
        <v>27</v>
      </c>
    </row>
    <row r="4" spans="1:16">
      <c r="C4" s="18" t="s">
        <v>18</v>
      </c>
      <c r="D4" s="16">
        <v>9.1079999999999998E-3</v>
      </c>
      <c r="E4" s="3" t="s">
        <v>19</v>
      </c>
    </row>
    <row r="5" spans="1:16">
      <c r="C5" s="18" t="s">
        <v>22</v>
      </c>
      <c r="D5" s="16">
        <v>4.7999999999999996E-3</v>
      </c>
      <c r="E5" s="3" t="s">
        <v>23</v>
      </c>
    </row>
    <row r="6" spans="1:16" s="6" customFormat="1" ht="92.4">
      <c r="A6" s="2" t="s">
        <v>0</v>
      </c>
      <c r="B6" s="2" t="s">
        <v>5</v>
      </c>
      <c r="C6" s="2" t="s">
        <v>1</v>
      </c>
      <c r="D6" s="2" t="s">
        <v>2</v>
      </c>
      <c r="E6" s="2" t="s">
        <v>3</v>
      </c>
      <c r="F6" s="2" t="s">
        <v>9</v>
      </c>
      <c r="G6" s="2" t="s">
        <v>7</v>
      </c>
      <c r="H6" s="2" t="s">
        <v>8</v>
      </c>
      <c r="I6" s="2" t="s">
        <v>4</v>
      </c>
      <c r="J6" s="14"/>
      <c r="K6" s="5" t="s">
        <v>5</v>
      </c>
      <c r="L6" s="5" t="s">
        <v>13</v>
      </c>
      <c r="M6" s="5" t="s">
        <v>24</v>
      </c>
      <c r="N6" s="5" t="s">
        <v>14</v>
      </c>
      <c r="O6" s="6" t="s">
        <v>52</v>
      </c>
      <c r="P6" s="6" t="s">
        <v>54</v>
      </c>
    </row>
    <row r="7" spans="1:16">
      <c r="A7" s="2">
        <v>0</v>
      </c>
      <c r="B7" s="8">
        <v>0</v>
      </c>
      <c r="C7" s="5">
        <v>0.28000000000000003</v>
      </c>
      <c r="D7" s="9">
        <v>2.6</v>
      </c>
      <c r="E7" s="10">
        <v>34973</v>
      </c>
      <c r="F7" s="12">
        <f>(0.2027*A7+1.2055)*1000</f>
        <v>1205.5</v>
      </c>
      <c r="G7" s="12">
        <f t="shared" ref="G7:G31" si="0">D7*157.4</f>
        <v>409.24</v>
      </c>
      <c r="H7" s="12">
        <f>C7*7.751*157.4</f>
        <v>341.60207200000008</v>
      </c>
      <c r="I7" s="9">
        <f>G7/H7</f>
        <v>1.1980021011113771</v>
      </c>
    </row>
    <row r="8" spans="1:16">
      <c r="A8" s="2">
        <v>0</v>
      </c>
      <c r="B8" s="8">
        <v>1100</v>
      </c>
      <c r="C8" s="5">
        <v>0.28000000000000003</v>
      </c>
      <c r="D8" s="9">
        <v>2.6</v>
      </c>
      <c r="E8" s="10" t="s">
        <v>38</v>
      </c>
      <c r="F8" s="12">
        <f>(0.2027*A8+1.2055)*1000</f>
        <v>1205.5</v>
      </c>
      <c r="G8" s="12">
        <f>D8*157.4</f>
        <v>409.24</v>
      </c>
      <c r="H8" s="12">
        <f>C8*7.751*157.4</f>
        <v>341.60207200000008</v>
      </c>
      <c r="I8" s="9">
        <f>G8/H8</f>
        <v>1.1980021011113771</v>
      </c>
      <c r="K8" s="3">
        <f>B8-B7</f>
        <v>1100</v>
      </c>
      <c r="L8" s="15">
        <f>F8</f>
        <v>1205.5</v>
      </c>
      <c r="M8" s="16">
        <f>8*F8/($D$3*SQRT($G$2^2-$G$1^2))</f>
        <v>388000.49790581595</v>
      </c>
      <c r="N8" s="16">
        <f>M8*(EXP(-$G$1*$G$3))*SIN(SQRT($G$2^2-$G$1^2)*$G$3)</f>
        <v>295856.77884028893</v>
      </c>
      <c r="O8" s="16">
        <f>1000*(D8*1000-228.75)*8/64.353</f>
        <v>294780.35212033632</v>
      </c>
      <c r="P8" s="43">
        <f>IF(O8/N8&gt;0.5,O8/N8,"")</f>
        <v>0.99636166281478478</v>
      </c>
    </row>
    <row r="9" spans="1:16">
      <c r="A9" s="8">
        <v>2.8</v>
      </c>
      <c r="B9" s="8">
        <v>1100</v>
      </c>
      <c r="C9" s="11">
        <v>0.43</v>
      </c>
      <c r="D9" s="9">
        <v>4</v>
      </c>
      <c r="E9" s="10">
        <v>34973</v>
      </c>
      <c r="F9" s="12">
        <f t="shared" ref="F9:F31" si="1">(0.2027*A9+1.2055)*1000</f>
        <v>1773.0600000000002</v>
      </c>
      <c r="G9" s="12">
        <f t="shared" si="0"/>
        <v>629.6</v>
      </c>
      <c r="H9" s="12">
        <f t="shared" ref="H9:H31" si="2">C9*7.751*157.4</f>
        <v>524.60318200000006</v>
      </c>
      <c r="I9" s="9">
        <f t="shared" ref="I9:I31" si="3">G9/H9</f>
        <v>1.2001452175713261</v>
      </c>
      <c r="K9" s="3">
        <f t="shared" ref="K9:K31" si="4">B9-B8</f>
        <v>0</v>
      </c>
      <c r="L9" s="15">
        <f t="shared" ref="L9:L31" si="5">F9</f>
        <v>1773.0600000000002</v>
      </c>
      <c r="M9" s="16">
        <f t="shared" ref="M9:M31" si="6">8*F9/($D$3*SQRT($G$2^2-$G$1^2))</f>
        <v>570674.54402064381</v>
      </c>
      <c r="N9" s="16">
        <f t="shared" ref="N9:N31" si="7">M9*(EXP(-$G$1*$G$3))*SIN(SQRT($G$2^2-$G$1^2)*$G$3)</f>
        <v>435148.7517964021</v>
      </c>
      <c r="O9" s="16">
        <f t="shared" ref="O9:O19" si="8">1000*(D9*1000-228.75)*8/64.353</f>
        <v>468820.41241278575</v>
      </c>
      <c r="P9" s="43">
        <f t="shared" ref="P9:P19" si="9">IF(O9/N9&gt;0.5,O9/N9,"")</f>
        <v>1.0773796557553679</v>
      </c>
    </row>
    <row r="10" spans="1:16">
      <c r="A10" s="8">
        <v>2.8</v>
      </c>
      <c r="B10" s="8">
        <v>6200</v>
      </c>
      <c r="C10" s="11">
        <v>0.43</v>
      </c>
      <c r="D10" s="9">
        <v>4</v>
      </c>
      <c r="E10" s="10">
        <v>34973</v>
      </c>
      <c r="F10" s="12">
        <f t="shared" si="1"/>
        <v>1773.0600000000002</v>
      </c>
      <c r="G10" s="12">
        <f t="shared" si="0"/>
        <v>629.6</v>
      </c>
      <c r="H10" s="12">
        <f t="shared" si="2"/>
        <v>524.60318200000006</v>
      </c>
      <c r="I10" s="9">
        <f t="shared" si="3"/>
        <v>1.2001452175713261</v>
      </c>
      <c r="K10" s="3">
        <f t="shared" si="4"/>
        <v>5100</v>
      </c>
      <c r="L10" s="15">
        <f t="shared" si="5"/>
        <v>1773.0600000000002</v>
      </c>
      <c r="M10" s="16">
        <f t="shared" si="6"/>
        <v>570674.54402064381</v>
      </c>
      <c r="N10" s="16">
        <f t="shared" si="7"/>
        <v>435148.7517964021</v>
      </c>
      <c r="O10" s="16">
        <f t="shared" si="8"/>
        <v>468820.41241278575</v>
      </c>
      <c r="P10" s="43">
        <f t="shared" si="9"/>
        <v>1.0773796557553679</v>
      </c>
    </row>
    <row r="11" spans="1:16">
      <c r="A11" s="8">
        <v>2.8</v>
      </c>
      <c r="B11" s="8">
        <v>11125</v>
      </c>
      <c r="C11" s="11">
        <v>0.43</v>
      </c>
      <c r="D11" s="9">
        <v>4</v>
      </c>
      <c r="E11" s="10">
        <v>34974</v>
      </c>
      <c r="F11" s="12">
        <f>(0.2027*A11+1.2055)*1000</f>
        <v>1773.0600000000002</v>
      </c>
      <c r="G11" s="12">
        <f>D11*157.4</f>
        <v>629.6</v>
      </c>
      <c r="H11" s="12">
        <f>C11*7.751*157.4</f>
        <v>524.60318200000006</v>
      </c>
      <c r="I11" s="9">
        <f>G11/H11</f>
        <v>1.2001452175713261</v>
      </c>
      <c r="K11" s="3">
        <f t="shared" si="4"/>
        <v>4925</v>
      </c>
      <c r="L11" s="15">
        <f t="shared" si="5"/>
        <v>1773.0600000000002</v>
      </c>
      <c r="M11" s="16">
        <f t="shared" si="6"/>
        <v>570674.54402064381</v>
      </c>
      <c r="N11" s="16">
        <f t="shared" si="7"/>
        <v>435148.7517964021</v>
      </c>
      <c r="O11" s="16">
        <f t="shared" si="8"/>
        <v>468820.41241278575</v>
      </c>
      <c r="P11" s="43">
        <f t="shared" si="9"/>
        <v>1.0773796557553679</v>
      </c>
    </row>
    <row r="12" spans="1:16">
      <c r="A12" s="8">
        <v>3.05</v>
      </c>
      <c r="B12" s="8">
        <v>11125</v>
      </c>
      <c r="C12" s="11">
        <v>0.44</v>
      </c>
      <c r="D12" s="9">
        <v>4.2</v>
      </c>
      <c r="E12" s="10">
        <v>34974</v>
      </c>
      <c r="F12" s="12">
        <f t="shared" si="1"/>
        <v>1823.7350000000001</v>
      </c>
      <c r="G12" s="12">
        <f t="shared" si="0"/>
        <v>661.08</v>
      </c>
      <c r="H12" s="12">
        <f t="shared" si="2"/>
        <v>536.80325600000003</v>
      </c>
      <c r="I12" s="9">
        <f t="shared" si="3"/>
        <v>1.231512649394213</v>
      </c>
      <c r="K12" s="3">
        <f t="shared" si="4"/>
        <v>0</v>
      </c>
      <c r="L12" s="15">
        <f t="shared" si="5"/>
        <v>1823.7350000000001</v>
      </c>
      <c r="M12" s="16">
        <f t="shared" si="6"/>
        <v>586984.72670946771</v>
      </c>
      <c r="N12" s="16">
        <f t="shared" si="7"/>
        <v>447585.53509605507</v>
      </c>
      <c r="O12" s="16">
        <f t="shared" si="8"/>
        <v>493683.27816885</v>
      </c>
      <c r="P12" s="43">
        <f t="shared" si="9"/>
        <v>1.1029920304794971</v>
      </c>
    </row>
    <row r="13" spans="1:16">
      <c r="A13" s="8">
        <v>3.05</v>
      </c>
      <c r="B13" s="8">
        <v>45500</v>
      </c>
      <c r="C13" s="11">
        <v>0.44</v>
      </c>
      <c r="D13" s="9">
        <v>4.2</v>
      </c>
      <c r="E13" s="10">
        <v>34975</v>
      </c>
      <c r="F13" s="12">
        <f>(0.2027*A13+1.2055)*1000</f>
        <v>1823.7350000000001</v>
      </c>
      <c r="G13" s="12">
        <f>D13*157.4</f>
        <v>661.08</v>
      </c>
      <c r="H13" s="12">
        <f>C13*7.751*157.4</f>
        <v>536.80325600000003</v>
      </c>
      <c r="I13" s="9">
        <f>G13/H13</f>
        <v>1.231512649394213</v>
      </c>
      <c r="K13" s="3">
        <f t="shared" si="4"/>
        <v>34375</v>
      </c>
      <c r="L13" s="15">
        <f t="shared" si="5"/>
        <v>1823.7350000000001</v>
      </c>
      <c r="M13" s="16">
        <f t="shared" si="6"/>
        <v>586984.72670946771</v>
      </c>
      <c r="N13" s="16">
        <f t="shared" si="7"/>
        <v>447585.53509605507</v>
      </c>
      <c r="O13" s="16">
        <f t="shared" si="8"/>
        <v>493683.27816885</v>
      </c>
      <c r="P13" s="43">
        <f t="shared" si="9"/>
        <v>1.1029920304794971</v>
      </c>
    </row>
    <row r="14" spans="1:16">
      <c r="A14" s="8">
        <v>3.65</v>
      </c>
      <c r="B14" s="8">
        <v>45500</v>
      </c>
      <c r="C14" s="11">
        <v>0.47</v>
      </c>
      <c r="D14" s="9">
        <v>4.4000000000000004</v>
      </c>
      <c r="E14" s="10">
        <v>34975</v>
      </c>
      <c r="F14" s="12">
        <f t="shared" si="1"/>
        <v>1945.355</v>
      </c>
      <c r="G14" s="12">
        <f t="shared" si="0"/>
        <v>692.56000000000006</v>
      </c>
      <c r="H14" s="12">
        <f t="shared" si="2"/>
        <v>573.40347800000006</v>
      </c>
      <c r="I14" s="9">
        <f t="shared" si="3"/>
        <v>1.2078057189600793</v>
      </c>
      <c r="K14" s="3">
        <f t="shared" si="4"/>
        <v>0</v>
      </c>
      <c r="L14" s="15">
        <f t="shared" si="5"/>
        <v>1945.355</v>
      </c>
      <c r="M14" s="16">
        <f t="shared" si="6"/>
        <v>626129.16516264505</v>
      </c>
      <c r="N14" s="16">
        <f t="shared" si="7"/>
        <v>477433.81501522212</v>
      </c>
      <c r="O14" s="16">
        <f t="shared" si="8"/>
        <v>518546.14392491418</v>
      </c>
      <c r="P14" s="43">
        <f t="shared" si="9"/>
        <v>1.0861110537559666</v>
      </c>
    </row>
    <row r="15" spans="1:16">
      <c r="A15" s="8">
        <v>3.65</v>
      </c>
      <c r="B15" s="8">
        <v>61234</v>
      </c>
      <c r="C15" s="11">
        <v>0.47</v>
      </c>
      <c r="D15" s="9">
        <v>4.4000000000000004</v>
      </c>
      <c r="E15" s="10">
        <v>34976</v>
      </c>
      <c r="F15" s="12">
        <f>(0.2027*A15+1.2055)*1000</f>
        <v>1945.355</v>
      </c>
      <c r="G15" s="12">
        <f>D15*157.4</f>
        <v>692.56000000000006</v>
      </c>
      <c r="H15" s="12">
        <f>C15*7.751*157.4</f>
        <v>573.40347800000006</v>
      </c>
      <c r="I15" s="9">
        <f>G15/H15</f>
        <v>1.2078057189600793</v>
      </c>
      <c r="K15" s="3">
        <f t="shared" si="4"/>
        <v>15734</v>
      </c>
      <c r="L15" s="15">
        <f t="shared" si="5"/>
        <v>1945.355</v>
      </c>
      <c r="M15" s="16">
        <f t="shared" si="6"/>
        <v>626129.16516264505</v>
      </c>
      <c r="N15" s="16">
        <f t="shared" si="7"/>
        <v>477433.81501522212</v>
      </c>
      <c r="O15" s="16">
        <f t="shared" si="8"/>
        <v>518546.14392491418</v>
      </c>
      <c r="P15" s="43">
        <f t="shared" si="9"/>
        <v>1.0861110537559666</v>
      </c>
    </row>
    <row r="16" spans="1:16">
      <c r="A16" s="8">
        <v>4.0999999999999996</v>
      </c>
      <c r="B16" s="8">
        <v>61234</v>
      </c>
      <c r="C16" s="11">
        <v>0.49</v>
      </c>
      <c r="D16" s="9">
        <v>4.5999999999999996</v>
      </c>
      <c r="E16" s="10">
        <v>34976</v>
      </c>
      <c r="F16" s="12">
        <f t="shared" si="1"/>
        <v>2036.5699999999997</v>
      </c>
      <c r="G16" s="12">
        <f t="shared" si="0"/>
        <v>724.04</v>
      </c>
      <c r="H16" s="12">
        <f t="shared" si="2"/>
        <v>597.80362600000001</v>
      </c>
      <c r="I16" s="9">
        <f t="shared" si="3"/>
        <v>1.2111669593653485</v>
      </c>
      <c r="K16" s="3">
        <f t="shared" si="4"/>
        <v>0</v>
      </c>
      <c r="L16" s="15">
        <f t="shared" si="5"/>
        <v>2036.5699999999997</v>
      </c>
      <c r="M16" s="16">
        <f t="shared" si="6"/>
        <v>655487.49400252791</v>
      </c>
      <c r="N16" s="16">
        <f t="shared" si="7"/>
        <v>499820.02495459735</v>
      </c>
      <c r="O16" s="16">
        <f t="shared" si="8"/>
        <v>543409.00968097837</v>
      </c>
      <c r="P16" s="43">
        <f t="shared" si="9"/>
        <v>1.0872093604699822</v>
      </c>
    </row>
    <row r="17" spans="1:16">
      <c r="A17" s="8">
        <v>4.0999999999999996</v>
      </c>
      <c r="B17" s="8">
        <v>93300</v>
      </c>
      <c r="C17" s="11">
        <v>0.49</v>
      </c>
      <c r="D17" s="9">
        <v>4.5999999999999996</v>
      </c>
      <c r="E17" s="10">
        <v>34976</v>
      </c>
      <c r="F17" s="12">
        <f t="shared" si="1"/>
        <v>2036.5699999999997</v>
      </c>
      <c r="G17" s="12">
        <f t="shared" si="0"/>
        <v>724.04</v>
      </c>
      <c r="H17" s="12">
        <f t="shared" si="2"/>
        <v>597.80362600000001</v>
      </c>
      <c r="I17" s="9">
        <f t="shared" si="3"/>
        <v>1.2111669593653485</v>
      </c>
      <c r="K17" s="3">
        <f t="shared" si="4"/>
        <v>32066</v>
      </c>
      <c r="L17" s="15">
        <f t="shared" si="5"/>
        <v>2036.5699999999997</v>
      </c>
      <c r="M17" s="16">
        <f t="shared" si="6"/>
        <v>655487.49400252791</v>
      </c>
      <c r="N17" s="16">
        <f t="shared" si="7"/>
        <v>499820.02495459735</v>
      </c>
      <c r="O17" s="16">
        <f t="shared" si="8"/>
        <v>543409.00968097837</v>
      </c>
      <c r="P17" s="43">
        <f t="shared" si="9"/>
        <v>1.0872093604699822</v>
      </c>
    </row>
    <row r="18" spans="1:16">
      <c r="A18" s="8">
        <v>4.0999999999999996</v>
      </c>
      <c r="B18" s="8">
        <v>121000</v>
      </c>
      <c r="C18" s="11">
        <v>0.49</v>
      </c>
      <c r="D18" s="9">
        <v>4.5999999999999996</v>
      </c>
      <c r="E18" s="10">
        <v>34977</v>
      </c>
      <c r="F18" s="12">
        <f>(0.2027*A18+1.2055)*1000</f>
        <v>2036.5699999999997</v>
      </c>
      <c r="G18" s="12">
        <f>D18*157.4</f>
        <v>724.04</v>
      </c>
      <c r="H18" s="12">
        <f>C18*7.751*157.4</f>
        <v>597.80362600000001</v>
      </c>
      <c r="I18" s="9">
        <f>G18/H18</f>
        <v>1.2111669593653485</v>
      </c>
      <c r="K18" s="3">
        <f t="shared" si="4"/>
        <v>27700</v>
      </c>
      <c r="L18" s="15">
        <f t="shared" si="5"/>
        <v>2036.5699999999997</v>
      </c>
      <c r="M18" s="16">
        <f t="shared" si="6"/>
        <v>655487.49400252791</v>
      </c>
      <c r="N18" s="16">
        <f t="shared" si="7"/>
        <v>499820.02495459735</v>
      </c>
      <c r="O18" s="16">
        <f t="shared" si="8"/>
        <v>543409.00968097837</v>
      </c>
      <c r="P18" s="43">
        <f t="shared" si="9"/>
        <v>1.0872093604699822</v>
      </c>
    </row>
    <row r="19" spans="1:16">
      <c r="A19" s="8">
        <v>4.55</v>
      </c>
      <c r="B19" s="8">
        <v>121000</v>
      </c>
      <c r="C19" s="11">
        <v>0.51500000000000001</v>
      </c>
      <c r="D19" s="8">
        <v>4.8</v>
      </c>
      <c r="E19" s="10">
        <v>34977</v>
      </c>
      <c r="F19" s="12">
        <f t="shared" si="1"/>
        <v>2127.7849999999999</v>
      </c>
      <c r="G19" s="12">
        <f t="shared" si="0"/>
        <v>755.52</v>
      </c>
      <c r="H19" s="12">
        <f t="shared" si="2"/>
        <v>628.30381100000011</v>
      </c>
      <c r="I19" s="9">
        <f t="shared" si="3"/>
        <v>1.2024755966345713</v>
      </c>
      <c r="K19" s="3">
        <f t="shared" si="4"/>
        <v>0</v>
      </c>
      <c r="L19" s="15">
        <f t="shared" si="5"/>
        <v>2127.7849999999999</v>
      </c>
      <c r="M19" s="16">
        <f t="shared" si="6"/>
        <v>684845.822842411</v>
      </c>
      <c r="N19" s="16">
        <f t="shared" si="7"/>
        <v>522206.23489397269</v>
      </c>
      <c r="O19" s="16">
        <f t="shared" si="8"/>
        <v>568271.87543704256</v>
      </c>
      <c r="P19" s="43">
        <f t="shared" si="9"/>
        <v>1.0882135016109544</v>
      </c>
    </row>
    <row r="20" spans="1:16">
      <c r="A20" s="8">
        <v>4.55</v>
      </c>
      <c r="B20" s="8">
        <v>161000</v>
      </c>
      <c r="C20" s="11">
        <v>0.51500000000000001</v>
      </c>
      <c r="D20" s="8">
        <v>4.8</v>
      </c>
      <c r="E20" s="10">
        <v>34978</v>
      </c>
      <c r="F20" s="12">
        <f>(0.2027*A20+1.2055)*1000</f>
        <v>2127.7849999999999</v>
      </c>
      <c r="G20" s="12">
        <f>D20*157.4</f>
        <v>755.52</v>
      </c>
      <c r="H20" s="12">
        <f>C20*7.751*157.4</f>
        <v>628.30381100000011</v>
      </c>
      <c r="I20" s="9">
        <f>G20/H20</f>
        <v>1.2024755966345713</v>
      </c>
      <c r="K20" s="3">
        <f t="shared" si="4"/>
        <v>40000</v>
      </c>
      <c r="L20" s="15">
        <f t="shared" si="5"/>
        <v>2127.7849999999999</v>
      </c>
      <c r="M20" s="16">
        <f t="shared" si="6"/>
        <v>684845.822842411</v>
      </c>
      <c r="N20" s="16">
        <f t="shared" si="7"/>
        <v>522206.23489397269</v>
      </c>
      <c r="O20" s="16">
        <f t="shared" ref="O20:O31" si="10">1000*(D20*1000-228.75)*8/64.353</f>
        <v>568271.87543704256</v>
      </c>
      <c r="P20" s="43">
        <f t="shared" ref="P20:P31" si="11">IF(O20/N20&gt;0.5,O20/N20,"")</f>
        <v>1.0882135016109544</v>
      </c>
    </row>
    <row r="21" spans="1:16">
      <c r="A21" s="8">
        <v>5.05</v>
      </c>
      <c r="B21" s="8">
        <v>161000</v>
      </c>
      <c r="C21" s="11">
        <v>0.54</v>
      </c>
      <c r="D21" s="8">
        <v>5</v>
      </c>
      <c r="E21" s="10">
        <v>34978</v>
      </c>
      <c r="F21" s="12">
        <f t="shared" si="1"/>
        <v>2229.1349999999998</v>
      </c>
      <c r="G21" s="12">
        <f t="shared" si="0"/>
        <v>787</v>
      </c>
      <c r="H21" s="12">
        <f t="shared" si="2"/>
        <v>658.8039960000001</v>
      </c>
      <c r="I21" s="9">
        <f t="shared" si="3"/>
        <v>1.1945889897121995</v>
      </c>
      <c r="K21" s="3">
        <f t="shared" si="4"/>
        <v>0</v>
      </c>
      <c r="L21" s="15">
        <f t="shared" si="5"/>
        <v>2229.1349999999998</v>
      </c>
      <c r="M21" s="16">
        <f t="shared" si="6"/>
        <v>717466.1882200588</v>
      </c>
      <c r="N21" s="16">
        <f t="shared" si="7"/>
        <v>547079.80149327859</v>
      </c>
      <c r="O21" s="16">
        <f t="shared" si="10"/>
        <v>593134.74119310686</v>
      </c>
      <c r="P21" s="43">
        <f t="shared" si="11"/>
        <v>1.0841832207552158</v>
      </c>
    </row>
    <row r="22" spans="1:16">
      <c r="A22" s="8">
        <v>5.05</v>
      </c>
      <c r="B22" s="8">
        <v>241000</v>
      </c>
      <c r="C22" s="11">
        <v>0.54</v>
      </c>
      <c r="D22" s="8">
        <v>5</v>
      </c>
      <c r="E22" s="10">
        <v>34980</v>
      </c>
      <c r="F22" s="12">
        <f t="shared" si="1"/>
        <v>2229.1349999999998</v>
      </c>
      <c r="G22" s="12">
        <f t="shared" si="0"/>
        <v>787</v>
      </c>
      <c r="H22" s="12">
        <f t="shared" si="2"/>
        <v>658.8039960000001</v>
      </c>
      <c r="I22" s="9">
        <f t="shared" si="3"/>
        <v>1.1945889897121995</v>
      </c>
      <c r="K22" s="3">
        <f t="shared" si="4"/>
        <v>80000</v>
      </c>
      <c r="L22" s="15">
        <f t="shared" si="5"/>
        <v>2229.1349999999998</v>
      </c>
      <c r="M22" s="16">
        <f t="shared" si="6"/>
        <v>717466.1882200588</v>
      </c>
      <c r="N22" s="16">
        <f t="shared" si="7"/>
        <v>547079.80149327859</v>
      </c>
      <c r="O22" s="16">
        <f t="shared" si="10"/>
        <v>593134.74119310686</v>
      </c>
      <c r="P22" s="43">
        <f t="shared" si="11"/>
        <v>1.0841832207552158</v>
      </c>
    </row>
    <row r="23" spans="1:16">
      <c r="A23" s="8">
        <v>5.05</v>
      </c>
      <c r="B23" s="8">
        <v>263000</v>
      </c>
      <c r="C23" s="11">
        <v>0.54</v>
      </c>
      <c r="D23" s="8">
        <v>5</v>
      </c>
      <c r="E23" s="10">
        <v>34981</v>
      </c>
      <c r="F23" s="12">
        <f>(0.2027*A23+1.2055)*1000</f>
        <v>2229.1349999999998</v>
      </c>
      <c r="G23" s="12">
        <f>D23*157.4</f>
        <v>787</v>
      </c>
      <c r="H23" s="12">
        <f>C23*7.751*157.4</f>
        <v>658.8039960000001</v>
      </c>
      <c r="I23" s="9">
        <f>G23/H23</f>
        <v>1.1945889897121995</v>
      </c>
      <c r="K23" s="3">
        <f t="shared" si="4"/>
        <v>22000</v>
      </c>
      <c r="L23" s="15">
        <f t="shared" si="5"/>
        <v>2229.1349999999998</v>
      </c>
      <c r="M23" s="16">
        <f t="shared" si="6"/>
        <v>717466.1882200588</v>
      </c>
      <c r="N23" s="16">
        <f t="shared" si="7"/>
        <v>547079.80149327859</v>
      </c>
      <c r="O23" s="16">
        <f t="shared" si="10"/>
        <v>593134.74119310686</v>
      </c>
      <c r="P23" s="43">
        <f t="shared" si="11"/>
        <v>1.0841832207552158</v>
      </c>
    </row>
    <row r="24" spans="1:16">
      <c r="A24" s="8">
        <v>5.45</v>
      </c>
      <c r="B24" s="8">
        <v>263000</v>
      </c>
      <c r="C24" s="11">
        <v>0.55500000000000005</v>
      </c>
      <c r="D24" s="8">
        <v>5.2</v>
      </c>
      <c r="E24" s="10">
        <v>34981</v>
      </c>
      <c r="F24" s="12">
        <f t="shared" si="1"/>
        <v>2310.2149999999997</v>
      </c>
      <c r="G24" s="12">
        <f t="shared" si="0"/>
        <v>818.48</v>
      </c>
      <c r="H24" s="12">
        <f t="shared" si="2"/>
        <v>677.10410700000011</v>
      </c>
      <c r="I24" s="9">
        <f t="shared" si="3"/>
        <v>1.2087949128331013</v>
      </c>
      <c r="K24" s="3">
        <f t="shared" si="4"/>
        <v>0</v>
      </c>
      <c r="L24" s="15">
        <f t="shared" si="5"/>
        <v>2310.2149999999997</v>
      </c>
      <c r="M24" s="16">
        <f t="shared" si="6"/>
        <v>743562.48052217707</v>
      </c>
      <c r="N24" s="16">
        <f t="shared" si="7"/>
        <v>566978.65477272333</v>
      </c>
      <c r="O24" s="16">
        <f t="shared" si="10"/>
        <v>617997.60694917105</v>
      </c>
      <c r="P24" s="43">
        <f t="shared" si="11"/>
        <v>1.0899839028276981</v>
      </c>
    </row>
    <row r="25" spans="1:16">
      <c r="A25" s="8">
        <v>5.45</v>
      </c>
      <c r="B25" s="8">
        <v>320000</v>
      </c>
      <c r="C25" s="11">
        <v>0.55500000000000005</v>
      </c>
      <c r="D25" s="8">
        <v>5.2</v>
      </c>
      <c r="E25" s="10">
        <v>34982</v>
      </c>
      <c r="F25" s="12">
        <f>(0.2027*A25+1.2055)*1000</f>
        <v>2310.2149999999997</v>
      </c>
      <c r="G25" s="12">
        <f>D25*157.4</f>
        <v>818.48</v>
      </c>
      <c r="H25" s="12">
        <f>C25*7.751*157.4</f>
        <v>677.10410700000011</v>
      </c>
      <c r="I25" s="9">
        <f>G25/H25</f>
        <v>1.2087949128331013</v>
      </c>
      <c r="K25" s="3">
        <f t="shared" si="4"/>
        <v>57000</v>
      </c>
      <c r="L25" s="15">
        <f t="shared" si="5"/>
        <v>2310.2149999999997</v>
      </c>
      <c r="M25" s="16">
        <f t="shared" si="6"/>
        <v>743562.48052217707</v>
      </c>
      <c r="N25" s="16">
        <f t="shared" si="7"/>
        <v>566978.65477272333</v>
      </c>
      <c r="O25" s="16">
        <f t="shared" si="10"/>
        <v>617997.60694917105</v>
      </c>
      <c r="P25" s="43">
        <f t="shared" si="11"/>
        <v>1.0899839028276981</v>
      </c>
    </row>
    <row r="26" spans="1:16">
      <c r="A26" s="8">
        <v>6</v>
      </c>
      <c r="B26" s="8">
        <v>320000</v>
      </c>
      <c r="C26" s="11">
        <v>0.57999999999999996</v>
      </c>
      <c r="D26" s="8">
        <v>5.4</v>
      </c>
      <c r="E26" s="10">
        <v>34982</v>
      </c>
      <c r="F26" s="12">
        <f t="shared" si="1"/>
        <v>2421.6999999999998</v>
      </c>
      <c r="G26" s="12">
        <f t="shared" si="0"/>
        <v>849.96</v>
      </c>
      <c r="H26" s="12">
        <f t="shared" si="2"/>
        <v>707.60429199999999</v>
      </c>
      <c r="I26" s="9">
        <f t="shared" si="3"/>
        <v>1.2011798255175083</v>
      </c>
      <c r="K26" s="3">
        <f t="shared" si="4"/>
        <v>0</v>
      </c>
      <c r="L26" s="15">
        <f t="shared" si="5"/>
        <v>2421.6999999999998</v>
      </c>
      <c r="M26" s="16">
        <f t="shared" si="6"/>
        <v>779444.88243758969</v>
      </c>
      <c r="N26" s="16">
        <f t="shared" si="7"/>
        <v>594339.57803195983</v>
      </c>
      <c r="O26" s="16">
        <f t="shared" si="10"/>
        <v>642860.47270523524</v>
      </c>
      <c r="P26" s="43">
        <f t="shared" si="11"/>
        <v>1.0816383368476703</v>
      </c>
    </row>
    <row r="27" spans="1:16">
      <c r="A27" s="8">
        <v>6</v>
      </c>
      <c r="B27" s="8">
        <v>360000</v>
      </c>
      <c r="C27" s="11">
        <v>0.57999999999999996</v>
      </c>
      <c r="D27" s="8">
        <v>5.4</v>
      </c>
      <c r="E27" s="10">
        <v>34983</v>
      </c>
      <c r="F27" s="12">
        <f>(0.2027*A27+1.2055)*1000</f>
        <v>2421.6999999999998</v>
      </c>
      <c r="G27" s="12">
        <f>D27*157.4</f>
        <v>849.96</v>
      </c>
      <c r="H27" s="12">
        <f>C27*7.751*157.4</f>
        <v>707.60429199999999</v>
      </c>
      <c r="I27" s="9">
        <f>G27/H27</f>
        <v>1.2011798255175083</v>
      </c>
      <c r="K27" s="3">
        <f t="shared" si="4"/>
        <v>40000</v>
      </c>
      <c r="L27" s="15">
        <f t="shared" si="5"/>
        <v>2421.6999999999998</v>
      </c>
      <c r="M27" s="16">
        <f t="shared" si="6"/>
        <v>779444.88243758969</v>
      </c>
      <c r="N27" s="16">
        <f t="shared" si="7"/>
        <v>594339.57803195983</v>
      </c>
      <c r="O27" s="16">
        <f t="shared" si="10"/>
        <v>642860.47270523524</v>
      </c>
      <c r="P27" s="43">
        <f t="shared" si="11"/>
        <v>1.0816383368476703</v>
      </c>
    </row>
    <row r="28" spans="1:16">
      <c r="A28" s="8">
        <v>6.4</v>
      </c>
      <c r="B28" s="8">
        <v>360000</v>
      </c>
      <c r="C28" s="11">
        <v>0.6</v>
      </c>
      <c r="D28" s="8">
        <v>5.6</v>
      </c>
      <c r="E28" s="10">
        <v>34983</v>
      </c>
      <c r="F28" s="12">
        <f t="shared" si="1"/>
        <v>2502.7800000000002</v>
      </c>
      <c r="G28" s="12">
        <f t="shared" si="0"/>
        <v>881.43999999999994</v>
      </c>
      <c r="H28" s="12">
        <f t="shared" si="2"/>
        <v>732.00444000000005</v>
      </c>
      <c r="I28" s="9">
        <f t="shared" si="3"/>
        <v>1.2041457016298971</v>
      </c>
      <c r="K28" s="3">
        <f t="shared" si="4"/>
        <v>0</v>
      </c>
      <c r="L28" s="15">
        <f t="shared" si="5"/>
        <v>2502.7800000000002</v>
      </c>
      <c r="M28" s="16">
        <f t="shared" si="6"/>
        <v>805541.17473970808</v>
      </c>
      <c r="N28" s="16">
        <f t="shared" si="7"/>
        <v>614238.43131140468</v>
      </c>
      <c r="O28" s="16">
        <f t="shared" si="10"/>
        <v>667723.33846129943</v>
      </c>
      <c r="P28" s="43">
        <f t="shared" si="11"/>
        <v>1.0870751558734351</v>
      </c>
    </row>
    <row r="29" spans="1:16">
      <c r="A29" s="8">
        <v>6.4</v>
      </c>
      <c r="B29" s="8">
        <v>400000</v>
      </c>
      <c r="C29" s="11">
        <v>0.6</v>
      </c>
      <c r="D29" s="8">
        <v>5.6</v>
      </c>
      <c r="E29" s="10">
        <v>35045</v>
      </c>
      <c r="F29" s="12">
        <f>(0.2027*A29+1.2055)*1000</f>
        <v>2502.7800000000002</v>
      </c>
      <c r="G29" s="12">
        <f>D29*157.4</f>
        <v>881.43999999999994</v>
      </c>
      <c r="H29" s="12">
        <f>C29*7.751*157.4</f>
        <v>732.00444000000005</v>
      </c>
      <c r="I29" s="9">
        <f>G29/H29</f>
        <v>1.2041457016298971</v>
      </c>
      <c r="K29" s="3">
        <f t="shared" si="4"/>
        <v>40000</v>
      </c>
      <c r="L29" s="15">
        <f t="shared" si="5"/>
        <v>2502.7800000000002</v>
      </c>
      <c r="M29" s="16">
        <f t="shared" si="6"/>
        <v>805541.17473970808</v>
      </c>
      <c r="N29" s="16">
        <f t="shared" si="7"/>
        <v>614238.43131140468</v>
      </c>
      <c r="O29" s="16">
        <f t="shared" si="10"/>
        <v>667723.33846129943</v>
      </c>
      <c r="P29" s="43">
        <f t="shared" si="11"/>
        <v>1.0870751558734351</v>
      </c>
    </row>
    <row r="30" spans="1:16">
      <c r="A30" s="8">
        <v>6.65</v>
      </c>
      <c r="B30" s="8">
        <v>400000</v>
      </c>
      <c r="C30" s="11">
        <v>0.6</v>
      </c>
      <c r="D30" s="8">
        <v>5.6</v>
      </c>
      <c r="E30" s="10">
        <v>35045</v>
      </c>
      <c r="F30" s="12">
        <f>(0.2027*A30+1.2055)*1000</f>
        <v>2553.4549999999999</v>
      </c>
      <c r="G30" s="12">
        <f>D30*157.4</f>
        <v>881.43999999999994</v>
      </c>
      <c r="H30" s="12">
        <f>C30*7.751*157.4</f>
        <v>732.00444000000005</v>
      </c>
      <c r="I30" s="9">
        <f>G30/H30</f>
        <v>1.2041457016298971</v>
      </c>
      <c r="K30" s="3">
        <f t="shared" si="4"/>
        <v>0</v>
      </c>
      <c r="L30" s="15">
        <f t="shared" si="5"/>
        <v>2553.4549999999999</v>
      </c>
      <c r="M30" s="16">
        <f t="shared" si="6"/>
        <v>821851.35742853186</v>
      </c>
      <c r="N30" s="16">
        <f t="shared" si="7"/>
        <v>626675.21461105754</v>
      </c>
      <c r="O30" s="16">
        <f t="shared" si="10"/>
        <v>667723.33846129943</v>
      </c>
      <c r="P30" s="43">
        <f t="shared" si="11"/>
        <v>1.0655014318313485</v>
      </c>
    </row>
    <row r="31" spans="1:16">
      <c r="A31" s="8">
        <v>6.65</v>
      </c>
      <c r="B31" s="8">
        <v>408615</v>
      </c>
      <c r="C31" s="11">
        <v>0.61</v>
      </c>
      <c r="D31" s="8">
        <v>5.7</v>
      </c>
      <c r="E31" s="10">
        <v>35045</v>
      </c>
      <c r="F31" s="12">
        <f t="shared" si="1"/>
        <v>2553.4549999999999</v>
      </c>
      <c r="G31" s="12">
        <f t="shared" si="0"/>
        <v>897.18000000000006</v>
      </c>
      <c r="H31" s="12">
        <f t="shared" si="2"/>
        <v>744.20451400000002</v>
      </c>
      <c r="I31" s="9">
        <f t="shared" si="3"/>
        <v>1.2055557083062789</v>
      </c>
      <c r="K31" s="3">
        <f t="shared" si="4"/>
        <v>8615</v>
      </c>
      <c r="L31" s="15">
        <f t="shared" si="5"/>
        <v>2553.4549999999999</v>
      </c>
      <c r="M31" s="16">
        <f t="shared" si="6"/>
        <v>821851.35742853186</v>
      </c>
      <c r="N31" s="16">
        <f t="shared" si="7"/>
        <v>626675.21461105754</v>
      </c>
      <c r="O31" s="16">
        <f t="shared" si="10"/>
        <v>680154.77133933152</v>
      </c>
      <c r="P31" s="43">
        <f t="shared" si="11"/>
        <v>1.0853385541367959</v>
      </c>
    </row>
    <row r="32" spans="1:16">
      <c r="A32" s="8"/>
      <c r="B32" s="4"/>
      <c r="E32" s="3" t="s">
        <v>12</v>
      </c>
      <c r="F32" s="15">
        <f>MAX(F7:F31)</f>
        <v>2553.4549999999999</v>
      </c>
      <c r="K32" s="3">
        <f>SUM(K8:K31)</f>
        <v>408615</v>
      </c>
      <c r="O32" s="3" t="s">
        <v>12</v>
      </c>
      <c r="P32" s="43">
        <f>MAX(P7:P31)</f>
        <v>1.1029920304794971</v>
      </c>
    </row>
    <row r="33" spans="1:16">
      <c r="O33" s="3" t="s">
        <v>53</v>
      </c>
      <c r="P33" s="43">
        <f>MIN(P7:P19)</f>
        <v>0.99636166281478478</v>
      </c>
    </row>
    <row r="36" spans="1:16">
      <c r="A36" s="3" t="s">
        <v>5</v>
      </c>
      <c r="C36" s="3" t="s">
        <v>13</v>
      </c>
      <c r="D36" s="3" t="s">
        <v>24</v>
      </c>
      <c r="E36" s="3" t="s">
        <v>14</v>
      </c>
      <c r="F36" s="3" t="s">
        <v>55</v>
      </c>
      <c r="G36" s="3" t="s">
        <v>57</v>
      </c>
      <c r="J36" s="3"/>
      <c r="L36" s="13"/>
    </row>
    <row r="37" spans="1:16">
      <c r="A37" s="3">
        <v>1100</v>
      </c>
      <c r="B37" s="3">
        <f>A37</f>
        <v>1100</v>
      </c>
      <c r="C37" s="15">
        <v>1205.5</v>
      </c>
      <c r="D37" s="15">
        <v>388000.49790581595</v>
      </c>
      <c r="E37" s="15">
        <v>295856.77884028893</v>
      </c>
      <c r="F37" s="15">
        <f t="shared" ref="F37:F47" si="12">E37/1000*1.5598+1.525</f>
        <v>463.00240363508271</v>
      </c>
      <c r="G37" s="15">
        <f>E37/1000</f>
        <v>295.85677884028894</v>
      </c>
      <c r="J37" s="3"/>
      <c r="K37" s="13"/>
    </row>
    <row r="38" spans="1:16">
      <c r="A38" s="3">
        <v>10025</v>
      </c>
      <c r="B38" s="3">
        <f t="shared" ref="B38:B47" si="13">SUM(A38:A38)</f>
        <v>10025</v>
      </c>
      <c r="C38" s="15">
        <v>1773.06</v>
      </c>
      <c r="D38" s="15">
        <v>570674.54402064381</v>
      </c>
      <c r="E38" s="15">
        <v>435148.7517964021</v>
      </c>
      <c r="F38" s="15">
        <f t="shared" si="12"/>
        <v>680.27002305202802</v>
      </c>
      <c r="G38" s="15">
        <f t="shared" ref="G38:G47" si="14">E38/1000</f>
        <v>435.14875179640211</v>
      </c>
      <c r="J38" s="3"/>
      <c r="K38" s="13"/>
    </row>
    <row r="39" spans="1:16">
      <c r="A39" s="3">
        <v>34375</v>
      </c>
      <c r="B39" s="3">
        <f t="shared" si="13"/>
        <v>34375</v>
      </c>
      <c r="C39" s="15">
        <v>1823.7349999999999</v>
      </c>
      <c r="D39" s="15">
        <v>586984.72670946771</v>
      </c>
      <c r="E39" s="15">
        <v>447585.53509605507</v>
      </c>
      <c r="F39" s="15">
        <f t="shared" si="12"/>
        <v>699.66891764282673</v>
      </c>
      <c r="G39" s="15">
        <f t="shared" si="14"/>
        <v>447.58553509605508</v>
      </c>
      <c r="J39" s="3"/>
      <c r="K39" s="13"/>
    </row>
    <row r="40" spans="1:16">
      <c r="A40" s="3">
        <v>15734</v>
      </c>
      <c r="B40" s="3">
        <f t="shared" si="13"/>
        <v>15734</v>
      </c>
      <c r="C40" s="15">
        <v>1945.355</v>
      </c>
      <c r="D40" s="15">
        <v>626129.16516264505</v>
      </c>
      <c r="E40" s="15">
        <v>477433.81501522212</v>
      </c>
      <c r="F40" s="15">
        <f t="shared" si="12"/>
        <v>746.22626466074348</v>
      </c>
      <c r="G40" s="15">
        <f t="shared" si="14"/>
        <v>477.43381501522214</v>
      </c>
      <c r="J40" s="3"/>
      <c r="K40" s="13"/>
    </row>
    <row r="41" spans="1:16">
      <c r="A41" s="3">
        <v>59766</v>
      </c>
      <c r="B41" s="3">
        <f t="shared" si="13"/>
        <v>59766</v>
      </c>
      <c r="C41" s="3">
        <v>2036.57</v>
      </c>
      <c r="D41" s="3">
        <v>655487.49400252791</v>
      </c>
      <c r="E41" s="3">
        <v>499820.02495459735</v>
      </c>
      <c r="F41" s="15">
        <f t="shared" si="12"/>
        <v>781.14427492418088</v>
      </c>
      <c r="G41" s="15">
        <f t="shared" si="14"/>
        <v>499.82002495459733</v>
      </c>
      <c r="J41" s="3"/>
      <c r="K41" s="13"/>
    </row>
    <row r="42" spans="1:16">
      <c r="A42" s="3">
        <v>40000</v>
      </c>
      <c r="B42" s="3">
        <f t="shared" si="13"/>
        <v>40000</v>
      </c>
      <c r="C42" s="3">
        <v>2127.7849999999999</v>
      </c>
      <c r="D42" s="3">
        <v>684845.822842411</v>
      </c>
      <c r="E42" s="3">
        <v>522206.23489397269</v>
      </c>
      <c r="F42" s="15">
        <f t="shared" si="12"/>
        <v>816.06228518761861</v>
      </c>
      <c r="G42" s="15">
        <f t="shared" si="14"/>
        <v>522.20623489397269</v>
      </c>
      <c r="J42" s="3"/>
      <c r="K42" s="13"/>
    </row>
    <row r="43" spans="1:16">
      <c r="A43" s="3">
        <v>102000</v>
      </c>
      <c r="B43" s="3">
        <f t="shared" si="13"/>
        <v>102000</v>
      </c>
      <c r="C43" s="3">
        <v>2229.1350000000002</v>
      </c>
      <c r="D43" s="3">
        <v>717466.1882200588</v>
      </c>
      <c r="E43" s="3">
        <v>547079.80149327859</v>
      </c>
      <c r="F43" s="15">
        <f t="shared" si="12"/>
        <v>854.86007436921602</v>
      </c>
      <c r="G43" s="15">
        <f t="shared" si="14"/>
        <v>547.07980149327864</v>
      </c>
      <c r="J43" s="3"/>
      <c r="K43" s="13"/>
    </row>
    <row r="44" spans="1:16">
      <c r="A44" s="3">
        <v>57000</v>
      </c>
      <c r="B44" s="3">
        <f t="shared" si="13"/>
        <v>57000</v>
      </c>
      <c r="C44" s="3">
        <v>2310.2150000000001</v>
      </c>
      <c r="D44" s="3">
        <v>743562.48052217707</v>
      </c>
      <c r="E44" s="3">
        <v>566978.65477272333</v>
      </c>
      <c r="F44" s="15">
        <f t="shared" si="12"/>
        <v>885.89830571449386</v>
      </c>
      <c r="G44" s="15">
        <f t="shared" si="14"/>
        <v>566.9786547727233</v>
      </c>
      <c r="J44" s="3"/>
      <c r="K44" s="13"/>
    </row>
    <row r="45" spans="1:16">
      <c r="A45" s="3">
        <v>40000</v>
      </c>
      <c r="B45" s="3">
        <f t="shared" si="13"/>
        <v>40000</v>
      </c>
      <c r="C45" s="3">
        <v>2421.6999999999998</v>
      </c>
      <c r="D45" s="3">
        <v>779444.88243758969</v>
      </c>
      <c r="E45" s="3">
        <v>594339.57803195983</v>
      </c>
      <c r="F45" s="15">
        <f t="shared" si="12"/>
        <v>928.57587381425094</v>
      </c>
      <c r="G45" s="15">
        <f t="shared" si="14"/>
        <v>594.33957803195983</v>
      </c>
      <c r="J45" s="3"/>
      <c r="K45" s="13"/>
    </row>
    <row r="46" spans="1:16">
      <c r="A46" s="3">
        <v>40000</v>
      </c>
      <c r="B46" s="3">
        <f t="shared" si="13"/>
        <v>40000</v>
      </c>
      <c r="C46" s="3">
        <v>2502.7800000000002</v>
      </c>
      <c r="D46" s="3">
        <v>805541.17473970808</v>
      </c>
      <c r="E46" s="3">
        <v>614238.43131140468</v>
      </c>
      <c r="F46" s="15">
        <f t="shared" si="12"/>
        <v>959.61410515952912</v>
      </c>
      <c r="G46" s="15">
        <f t="shared" si="14"/>
        <v>614.23843131140472</v>
      </c>
      <c r="J46" s="3"/>
      <c r="K46" s="13"/>
    </row>
    <row r="47" spans="1:16">
      <c r="A47" s="3">
        <v>8615</v>
      </c>
      <c r="B47" s="3">
        <f t="shared" si="13"/>
        <v>8615</v>
      </c>
      <c r="C47" s="3">
        <v>2553.4549999999999</v>
      </c>
      <c r="D47" s="3">
        <v>821851.35742853186</v>
      </c>
      <c r="E47" s="3">
        <v>626675.21461105754</v>
      </c>
      <c r="F47" s="15">
        <f t="shared" si="12"/>
        <v>979.01299975032759</v>
      </c>
      <c r="G47" s="15">
        <f t="shared" si="14"/>
        <v>626.67521461105753</v>
      </c>
      <c r="J47" s="3"/>
      <c r="K47" s="13"/>
    </row>
    <row r="48" spans="1:16">
      <c r="B48" s="3">
        <f>SUM(B37:B47)</f>
        <v>408615</v>
      </c>
    </row>
  </sheetData>
  <phoneticPr fontId="0" type="noConversion"/>
  <pageMargins left="0.75" right="0.75" top="1" bottom="1" header="0.5" footer="0.5"/>
  <pageSetup scale="63" orientation="landscape" horizontalDpi="355" verticalDpi="355" r:id="rId1"/>
  <headerFooter alignWithMargins="0"/>
  <drawing r:id="rId2"/>
  <legacyDrawing r:id="rId3"/>
  <oleObjects>
    <mc:AlternateContent xmlns:mc="http://schemas.openxmlformats.org/markup-compatibility/2006">
      <mc:Choice Requires="x14">
        <oleObject progId="Mathcad" shapeId="8193"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8193" r:id="rId4"/>
      </mc:Fallback>
    </mc:AlternateContent>
    <mc:AlternateContent xmlns:mc="http://schemas.openxmlformats.org/markup-compatibility/2006">
      <mc:Choice Requires="x14">
        <oleObject progId="Mathcad" shapeId="8194"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8194" r:id="rId6"/>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1"/>
  <sheetViews>
    <sheetView topLeftCell="D5" workbookViewId="0">
      <selection activeCell="O6" sqref="O6:P21"/>
    </sheetView>
  </sheetViews>
  <sheetFormatPr defaultColWidth="9" defaultRowHeight="13.2"/>
  <cols>
    <col min="1" max="9" width="9" style="3"/>
    <col min="10" max="10" width="9.33203125" style="13" customWidth="1"/>
    <col min="11" max="16384" width="9" style="3"/>
  </cols>
  <sheetData>
    <row r="1" spans="1:16" s="1" customFormat="1">
      <c r="A1" s="1" t="s">
        <v>34</v>
      </c>
      <c r="C1" s="19" t="s">
        <v>10</v>
      </c>
      <c r="D1" s="1" t="s">
        <v>35</v>
      </c>
      <c r="E1" s="1" t="s">
        <v>11</v>
      </c>
      <c r="F1" s="7" t="s">
        <v>20</v>
      </c>
      <c r="G1" s="17">
        <f>D4/(2*D3)</f>
        <v>1485.8075040783035</v>
      </c>
      <c r="H1" s="1" t="s">
        <v>26</v>
      </c>
      <c r="J1" s="13"/>
    </row>
    <row r="2" spans="1:16">
      <c r="C2" s="18" t="s">
        <v>15</v>
      </c>
      <c r="D2" s="3">
        <v>384.9</v>
      </c>
      <c r="E2" s="3" t="s">
        <v>11</v>
      </c>
      <c r="F2" s="18" t="s">
        <v>21</v>
      </c>
      <c r="G2" s="3">
        <f>SQRT(1/(D3*D5))</f>
        <v>8244.4965742557415</v>
      </c>
      <c r="H2" s="3" t="s">
        <v>26</v>
      </c>
    </row>
    <row r="3" spans="1:16">
      <c r="C3" s="18" t="s">
        <v>16</v>
      </c>
      <c r="D3" s="16">
        <v>3.0649999999999999E-6</v>
      </c>
      <c r="E3" s="3" t="s">
        <v>17</v>
      </c>
      <c r="F3" s="18" t="s">
        <v>25</v>
      </c>
      <c r="G3" s="16">
        <v>1.705E-4</v>
      </c>
      <c r="H3" s="3" t="s">
        <v>27</v>
      </c>
    </row>
    <row r="4" spans="1:16">
      <c r="C4" s="18" t="s">
        <v>18</v>
      </c>
      <c r="D4" s="16">
        <v>9.1079999999999998E-3</v>
      </c>
      <c r="E4" s="3" t="s">
        <v>19</v>
      </c>
    </row>
    <row r="5" spans="1:16">
      <c r="C5" s="18" t="s">
        <v>22</v>
      </c>
      <c r="D5" s="16">
        <v>4.7999999999999996E-3</v>
      </c>
      <c r="E5" s="3" t="s">
        <v>23</v>
      </c>
    </row>
    <row r="6" spans="1:16" s="6" customFormat="1" ht="92.4">
      <c r="A6" s="2" t="s">
        <v>0</v>
      </c>
      <c r="B6" s="2" t="s">
        <v>5</v>
      </c>
      <c r="C6" s="2" t="s">
        <v>1</v>
      </c>
      <c r="D6" s="2" t="s">
        <v>2</v>
      </c>
      <c r="E6" s="2" t="s">
        <v>3</v>
      </c>
      <c r="F6" s="2" t="s">
        <v>9</v>
      </c>
      <c r="G6" s="2" t="s">
        <v>7</v>
      </c>
      <c r="H6" s="2" t="s">
        <v>8</v>
      </c>
      <c r="I6" s="2" t="s">
        <v>4</v>
      </c>
      <c r="J6" s="14"/>
      <c r="K6" s="5" t="s">
        <v>5</v>
      </c>
      <c r="L6" s="5" t="s">
        <v>13</v>
      </c>
      <c r="M6" s="5" t="s">
        <v>24</v>
      </c>
      <c r="N6" s="5" t="s">
        <v>14</v>
      </c>
      <c r="O6" s="6" t="s">
        <v>52</v>
      </c>
      <c r="P6" s="6" t="s">
        <v>54</v>
      </c>
    </row>
    <row r="7" spans="1:16">
      <c r="A7" s="2">
        <v>0</v>
      </c>
      <c r="B7" s="8">
        <v>0</v>
      </c>
      <c r="C7" s="5"/>
      <c r="D7" s="9"/>
      <c r="E7" s="10">
        <v>35013</v>
      </c>
      <c r="F7" s="12">
        <f>(0.2027*A7+1.2055)*1000</f>
        <v>1205.5</v>
      </c>
      <c r="G7" s="12">
        <f t="shared" ref="G7:G19" si="0">D7*157.4</f>
        <v>0</v>
      </c>
      <c r="H7" s="12">
        <f>C7*7.751*157.4</f>
        <v>0</v>
      </c>
      <c r="I7" s="9" t="e">
        <f>G7/H7</f>
        <v>#DIV/0!</v>
      </c>
    </row>
    <row r="8" spans="1:16">
      <c r="A8" s="8">
        <v>0</v>
      </c>
      <c r="B8" s="8">
        <v>930</v>
      </c>
      <c r="C8" s="11"/>
      <c r="D8" s="9"/>
      <c r="E8" s="10">
        <v>35013</v>
      </c>
      <c r="F8" s="12">
        <f t="shared" ref="F8:F19" si="1">(0.2027*A8+1.2055)*1000</f>
        <v>1205.5</v>
      </c>
      <c r="G8" s="12">
        <f t="shared" si="0"/>
        <v>0</v>
      </c>
      <c r="H8" s="12">
        <f t="shared" ref="H8:H19" si="2">C8*7.751*157.4</f>
        <v>0</v>
      </c>
      <c r="I8" s="9" t="e">
        <f t="shared" ref="I8:I19" si="3">G8/H8</f>
        <v>#DIV/0!</v>
      </c>
      <c r="K8" s="3">
        <f>B8-B7</f>
        <v>930</v>
      </c>
      <c r="L8" s="15">
        <f>F8</f>
        <v>1205.5</v>
      </c>
      <c r="M8" s="16">
        <f>8*F8/($D$3*SQRT($G$2^2-$G$1^2))</f>
        <v>388000.49790581595</v>
      </c>
      <c r="N8" s="16">
        <f>M8*(EXP(-$G$1*$G$3))*SIN(SQRT($G$2^2-$G$1^2)*$G$3)</f>
        <v>295856.77884028893</v>
      </c>
      <c r="O8" s="16">
        <f>1000*(D8*1000-228.75)*8/64.353</f>
        <v>-28436.902708498441</v>
      </c>
      <c r="P8" s="43" t="str">
        <f>IF(O8/N8&gt;0.5,O8/N8,"")</f>
        <v/>
      </c>
    </row>
    <row r="9" spans="1:16">
      <c r="A9" s="8">
        <v>0</v>
      </c>
      <c r="B9" s="8">
        <v>8201</v>
      </c>
      <c r="C9" s="11"/>
      <c r="D9" s="9"/>
      <c r="E9" s="10">
        <v>35013</v>
      </c>
      <c r="F9" s="12">
        <f t="shared" si="1"/>
        <v>1205.5</v>
      </c>
      <c r="G9" s="12">
        <f t="shared" si="0"/>
        <v>0</v>
      </c>
      <c r="H9" s="12">
        <f t="shared" si="2"/>
        <v>0</v>
      </c>
      <c r="I9" s="9" t="e">
        <f t="shared" si="3"/>
        <v>#DIV/0!</v>
      </c>
      <c r="K9" s="3">
        <f t="shared" ref="K9:K19" si="4">B9-B8</f>
        <v>7271</v>
      </c>
      <c r="L9" s="15">
        <f t="shared" ref="L9:L19" si="5">F9</f>
        <v>1205.5</v>
      </c>
      <c r="M9" s="16">
        <f t="shared" ref="M9:M19" si="6">8*F9/($D$3*SQRT($G$2^2-$G$1^2))</f>
        <v>388000.49790581595</v>
      </c>
      <c r="N9" s="16">
        <f t="shared" ref="N9:N19" si="7">M9*(EXP(-$G$1*$G$3))*SIN(SQRT($G$2^2-$G$1^2)*$G$3)</f>
        <v>295856.77884028893</v>
      </c>
      <c r="O9" s="16">
        <f t="shared" ref="O9:O18" si="8">1000*(D9*1000-228.75)*8/64.353</f>
        <v>-28436.902708498441</v>
      </c>
      <c r="P9" s="43" t="str">
        <f t="shared" ref="P9:P18" si="9">IF(O9/N9&gt;0.5,O9/N9,"")</f>
        <v/>
      </c>
    </row>
    <row r="10" spans="1:16">
      <c r="A10" s="8">
        <v>0</v>
      </c>
      <c r="B10" s="8">
        <v>0</v>
      </c>
      <c r="C10" s="11"/>
      <c r="D10" s="9"/>
      <c r="E10" s="10">
        <v>35014</v>
      </c>
      <c r="F10" s="12">
        <f>(0.2027*A10+1.2055)*1000</f>
        <v>1205.5</v>
      </c>
      <c r="G10" s="12">
        <f>D10*157.4</f>
        <v>0</v>
      </c>
      <c r="H10" s="12">
        <f>C10*7.751*157.4</f>
        <v>0</v>
      </c>
      <c r="I10" s="9" t="e">
        <f>G10/H10</f>
        <v>#DIV/0!</v>
      </c>
      <c r="K10" s="3">
        <v>0</v>
      </c>
      <c r="L10" s="15">
        <f>F10</f>
        <v>1205.5</v>
      </c>
      <c r="M10" s="16">
        <f>8*F10/($D$3*SQRT($G$2^2-$G$1^2))</f>
        <v>388000.49790581595</v>
      </c>
      <c r="N10" s="16">
        <f t="shared" si="7"/>
        <v>295856.77884028893</v>
      </c>
      <c r="O10" s="16">
        <f t="shared" si="8"/>
        <v>-28436.902708498441</v>
      </c>
      <c r="P10" s="43" t="str">
        <f t="shared" si="9"/>
        <v/>
      </c>
    </row>
    <row r="11" spans="1:16">
      <c r="A11" s="8">
        <v>0.4</v>
      </c>
      <c r="B11" s="8">
        <v>0</v>
      </c>
      <c r="C11" s="11"/>
      <c r="D11" s="9"/>
      <c r="E11" s="10">
        <v>35014</v>
      </c>
      <c r="F11" s="12">
        <f t="shared" si="1"/>
        <v>1286.5800000000002</v>
      </c>
      <c r="G11" s="12">
        <f t="shared" si="0"/>
        <v>0</v>
      </c>
      <c r="H11" s="12">
        <f t="shared" si="2"/>
        <v>0</v>
      </c>
      <c r="I11" s="9" t="e">
        <f t="shared" si="3"/>
        <v>#DIV/0!</v>
      </c>
      <c r="K11" s="3">
        <v>0</v>
      </c>
      <c r="L11" s="15">
        <f t="shared" si="5"/>
        <v>1286.5800000000002</v>
      </c>
      <c r="M11" s="16">
        <f t="shared" si="6"/>
        <v>414096.79020793422</v>
      </c>
      <c r="N11" s="16">
        <f t="shared" si="7"/>
        <v>315755.63211973367</v>
      </c>
      <c r="O11" s="16">
        <f t="shared" si="8"/>
        <v>-28436.902708498441</v>
      </c>
      <c r="P11" s="43" t="str">
        <f t="shared" si="9"/>
        <v/>
      </c>
    </row>
    <row r="12" spans="1:16">
      <c r="A12" s="8">
        <v>0.4</v>
      </c>
      <c r="B12" s="8">
        <v>9312</v>
      </c>
      <c r="C12" s="11"/>
      <c r="D12" s="9"/>
      <c r="E12" s="10">
        <v>35014</v>
      </c>
      <c r="F12" s="12">
        <f t="shared" si="1"/>
        <v>1286.5800000000002</v>
      </c>
      <c r="G12" s="12">
        <f t="shared" si="0"/>
        <v>0</v>
      </c>
      <c r="H12" s="12">
        <f t="shared" si="2"/>
        <v>0</v>
      </c>
      <c r="I12" s="9" t="e">
        <f t="shared" si="3"/>
        <v>#DIV/0!</v>
      </c>
      <c r="K12" s="3">
        <f t="shared" si="4"/>
        <v>9312</v>
      </c>
      <c r="L12" s="15">
        <f t="shared" si="5"/>
        <v>1286.5800000000002</v>
      </c>
      <c r="M12" s="16">
        <f t="shared" si="6"/>
        <v>414096.79020793422</v>
      </c>
      <c r="N12" s="16">
        <f t="shared" si="7"/>
        <v>315755.63211973367</v>
      </c>
      <c r="O12" s="16">
        <f t="shared" si="8"/>
        <v>-28436.902708498441</v>
      </c>
      <c r="P12" s="43" t="str">
        <f t="shared" si="9"/>
        <v/>
      </c>
    </row>
    <row r="13" spans="1:16">
      <c r="A13" s="8">
        <v>0.4</v>
      </c>
      <c r="B13" s="8">
        <v>11761</v>
      </c>
      <c r="C13" s="11"/>
      <c r="D13" s="9"/>
      <c r="E13" s="10">
        <v>35014</v>
      </c>
      <c r="F13" s="12">
        <f t="shared" si="1"/>
        <v>1286.5800000000002</v>
      </c>
      <c r="G13" s="12">
        <f>D13*157.4</f>
        <v>0</v>
      </c>
      <c r="H13" s="12">
        <f>C13*7.751*157.4</f>
        <v>0</v>
      </c>
      <c r="I13" s="9" t="e">
        <f>G13/H13</f>
        <v>#DIV/0!</v>
      </c>
      <c r="K13" s="3">
        <f t="shared" si="4"/>
        <v>2449</v>
      </c>
      <c r="L13" s="15">
        <f>F13</f>
        <v>1286.5800000000002</v>
      </c>
      <c r="M13" s="16">
        <f>8*F13/($D$3*SQRT($G$2^2-$G$1^2))</f>
        <v>414096.79020793422</v>
      </c>
      <c r="N13" s="16">
        <f t="shared" si="7"/>
        <v>315755.63211973367</v>
      </c>
      <c r="O13" s="16">
        <f t="shared" si="8"/>
        <v>-28436.902708498441</v>
      </c>
      <c r="P13" s="43" t="str">
        <f t="shared" si="9"/>
        <v/>
      </c>
    </row>
    <row r="14" spans="1:16">
      <c r="A14" s="8">
        <v>1.1000000000000001</v>
      </c>
      <c r="B14" s="8">
        <v>11761</v>
      </c>
      <c r="C14" s="11">
        <v>0.35</v>
      </c>
      <c r="D14" s="9">
        <v>3</v>
      </c>
      <c r="E14" s="10">
        <v>35014</v>
      </c>
      <c r="F14" s="12">
        <f t="shared" si="1"/>
        <v>1428.4699999999998</v>
      </c>
      <c r="G14" s="12">
        <f t="shared" si="0"/>
        <v>472.20000000000005</v>
      </c>
      <c r="H14" s="12">
        <f t="shared" si="2"/>
        <v>427.00259</v>
      </c>
      <c r="I14" s="9">
        <f t="shared" si="3"/>
        <v>1.1058480933335793</v>
      </c>
      <c r="K14" s="3">
        <f t="shared" si="4"/>
        <v>0</v>
      </c>
      <c r="L14" s="15">
        <f t="shared" si="5"/>
        <v>1428.4699999999998</v>
      </c>
      <c r="M14" s="16">
        <f t="shared" si="6"/>
        <v>459765.30173664103</v>
      </c>
      <c r="N14" s="16">
        <f t="shared" si="7"/>
        <v>350578.62535876187</v>
      </c>
      <c r="O14" s="16">
        <f t="shared" si="8"/>
        <v>344506.0836324647</v>
      </c>
      <c r="P14" s="43">
        <f t="shared" si="9"/>
        <v>0.98267851692303576</v>
      </c>
    </row>
    <row r="15" spans="1:16">
      <c r="A15" s="8">
        <v>1.1000000000000001</v>
      </c>
      <c r="B15" s="8">
        <v>43090</v>
      </c>
      <c r="C15" s="11">
        <v>0.35</v>
      </c>
      <c r="D15" s="9">
        <v>3</v>
      </c>
      <c r="E15" s="10">
        <v>35014</v>
      </c>
      <c r="F15" s="12">
        <f t="shared" si="1"/>
        <v>1428.4699999999998</v>
      </c>
      <c r="G15" s="12">
        <f t="shared" si="0"/>
        <v>472.20000000000005</v>
      </c>
      <c r="H15" s="12">
        <f t="shared" si="2"/>
        <v>427.00259</v>
      </c>
      <c r="I15" s="9">
        <f t="shared" si="3"/>
        <v>1.1058480933335793</v>
      </c>
      <c r="K15" s="3">
        <f t="shared" si="4"/>
        <v>31329</v>
      </c>
      <c r="L15" s="15">
        <f t="shared" si="5"/>
        <v>1428.4699999999998</v>
      </c>
      <c r="M15" s="16">
        <f t="shared" si="6"/>
        <v>459765.30173664103</v>
      </c>
      <c r="N15" s="16">
        <f t="shared" si="7"/>
        <v>350578.62535876187</v>
      </c>
      <c r="O15" s="16">
        <f t="shared" si="8"/>
        <v>344506.0836324647</v>
      </c>
      <c r="P15" s="43">
        <f t="shared" si="9"/>
        <v>0.98267851692303576</v>
      </c>
    </row>
    <row r="16" spans="1:16">
      <c r="A16" s="8">
        <v>4.2</v>
      </c>
      <c r="B16" s="8">
        <v>43090</v>
      </c>
      <c r="C16" s="11">
        <v>0.52</v>
      </c>
      <c r="D16" s="9">
        <v>4.5999999999999996</v>
      </c>
      <c r="E16" s="10">
        <v>35015</v>
      </c>
      <c r="F16" s="12">
        <f t="shared" si="1"/>
        <v>2056.84</v>
      </c>
      <c r="G16" s="12">
        <f>D16*157.4</f>
        <v>724.04</v>
      </c>
      <c r="H16" s="12">
        <f>C16*7.751*157.4</f>
        <v>634.40384800000004</v>
      </c>
      <c r="I16" s="9">
        <f>G16/H16</f>
        <v>1.1412919424788859</v>
      </c>
      <c r="K16" s="3">
        <f>B16-B15</f>
        <v>0</v>
      </c>
      <c r="L16" s="15">
        <f>F16</f>
        <v>2056.84</v>
      </c>
      <c r="M16" s="16">
        <f>8*F16/($D$3*SQRT($G$2^2-$G$1^2))</f>
        <v>662011.56707805768</v>
      </c>
      <c r="N16" s="16">
        <f t="shared" si="7"/>
        <v>504794.73827445868</v>
      </c>
      <c r="O16" s="16">
        <f t="shared" si="8"/>
        <v>543409.00968097837</v>
      </c>
      <c r="P16" s="43">
        <f t="shared" si="9"/>
        <v>1.0764949958442811</v>
      </c>
    </row>
    <row r="17" spans="1:16">
      <c r="A17" s="8">
        <v>4.2</v>
      </c>
      <c r="B17" s="8">
        <v>60800</v>
      </c>
      <c r="C17" s="11">
        <v>0.52</v>
      </c>
      <c r="D17" s="8">
        <v>4.5999999999999996</v>
      </c>
      <c r="E17" s="10">
        <v>35015</v>
      </c>
      <c r="F17" s="12">
        <f t="shared" si="1"/>
        <v>2056.84</v>
      </c>
      <c r="G17" s="12">
        <f t="shared" si="0"/>
        <v>724.04</v>
      </c>
      <c r="H17" s="12">
        <f t="shared" si="2"/>
        <v>634.40384800000004</v>
      </c>
      <c r="I17" s="9">
        <f t="shared" si="3"/>
        <v>1.1412919424788859</v>
      </c>
      <c r="K17" s="3">
        <f>B17-B16</f>
        <v>17710</v>
      </c>
      <c r="L17" s="15">
        <f t="shared" si="5"/>
        <v>2056.84</v>
      </c>
      <c r="M17" s="16">
        <f t="shared" si="6"/>
        <v>662011.56707805768</v>
      </c>
      <c r="N17" s="16">
        <f t="shared" si="7"/>
        <v>504794.73827445868</v>
      </c>
      <c r="O17" s="16">
        <f t="shared" si="8"/>
        <v>543409.00968097837</v>
      </c>
      <c r="P17" s="43">
        <f t="shared" si="9"/>
        <v>1.0764949958442811</v>
      </c>
    </row>
    <row r="18" spans="1:16">
      <c r="A18" s="8">
        <v>5.2</v>
      </c>
      <c r="B18" s="8">
        <v>60800</v>
      </c>
      <c r="C18" s="11">
        <v>0.57999999999999996</v>
      </c>
      <c r="D18" s="8">
        <v>5.0999999999999996</v>
      </c>
      <c r="E18" s="10">
        <v>35015</v>
      </c>
      <c r="F18" s="12">
        <f t="shared" si="1"/>
        <v>2259.5400000000004</v>
      </c>
      <c r="G18" s="12">
        <f>D18*157.4</f>
        <v>802.74</v>
      </c>
      <c r="H18" s="12">
        <f>C18*7.751*157.4</f>
        <v>707.60429199999999</v>
      </c>
      <c r="I18" s="9">
        <f>G18/H18</f>
        <v>1.134447612988758</v>
      </c>
      <c r="K18" s="3">
        <f t="shared" si="4"/>
        <v>0</v>
      </c>
      <c r="L18" s="15">
        <f>F18</f>
        <v>2259.5400000000004</v>
      </c>
      <c r="M18" s="16">
        <f>8*F18/($D$3*SQRT($G$2^2-$G$1^2))</f>
        <v>727252.2978333534</v>
      </c>
      <c r="N18" s="16">
        <f t="shared" si="7"/>
        <v>554541.87147307058</v>
      </c>
      <c r="O18" s="16">
        <f t="shared" si="8"/>
        <v>605566.17407113896</v>
      </c>
      <c r="P18" s="43">
        <f t="shared" si="9"/>
        <v>1.0920116319846664</v>
      </c>
    </row>
    <row r="19" spans="1:16">
      <c r="A19" s="8">
        <v>5.2</v>
      </c>
      <c r="B19" s="8">
        <v>71559</v>
      </c>
      <c r="C19" s="11">
        <v>0.57999999999999996</v>
      </c>
      <c r="D19" s="8">
        <v>5.0999999999999996</v>
      </c>
      <c r="E19" s="10">
        <v>35015</v>
      </c>
      <c r="F19" s="12">
        <f t="shared" si="1"/>
        <v>2259.5400000000004</v>
      </c>
      <c r="G19" s="12">
        <f t="shared" si="0"/>
        <v>802.74</v>
      </c>
      <c r="H19" s="12">
        <f t="shared" si="2"/>
        <v>707.60429199999999</v>
      </c>
      <c r="I19" s="9">
        <f t="shared" si="3"/>
        <v>1.134447612988758</v>
      </c>
      <c r="K19" s="3">
        <f t="shared" si="4"/>
        <v>10759</v>
      </c>
      <c r="L19" s="15">
        <f t="shared" si="5"/>
        <v>2259.5400000000004</v>
      </c>
      <c r="M19" s="16">
        <f t="shared" si="6"/>
        <v>727252.2978333534</v>
      </c>
      <c r="N19" s="16">
        <f t="shared" si="7"/>
        <v>554541.87147307058</v>
      </c>
      <c r="O19" s="16">
        <f>1000*(D19*1000-228.75)*8/64.353</f>
        <v>605566.17407113896</v>
      </c>
      <c r="P19" s="43">
        <f>IF(O19/N19&gt;0.5,O19/N19,"")</f>
        <v>1.0920116319846664</v>
      </c>
    </row>
    <row r="20" spans="1:16">
      <c r="A20" s="8"/>
      <c r="B20" s="4"/>
      <c r="E20" s="3" t="s">
        <v>12</v>
      </c>
      <c r="F20" s="15">
        <f>MAX(F7:F19)</f>
        <v>2259.5400000000004</v>
      </c>
      <c r="K20" s="3">
        <f>SUM(K8:K19)</f>
        <v>79760</v>
      </c>
      <c r="O20" s="3" t="s">
        <v>12</v>
      </c>
      <c r="P20" s="43">
        <f>MAX(P7:P19)</f>
        <v>1.0920116319846664</v>
      </c>
    </row>
    <row r="21" spans="1:16">
      <c r="O21" s="3" t="s">
        <v>53</v>
      </c>
      <c r="P21" s="43">
        <f>MIN(P7:P19)</f>
        <v>0.98267851692303576</v>
      </c>
    </row>
    <row r="24" spans="1:16" ht="39.6">
      <c r="A24" s="5" t="s">
        <v>5</v>
      </c>
      <c r="B24" s="5" t="s">
        <v>13</v>
      </c>
      <c r="C24" s="5" t="s">
        <v>24</v>
      </c>
      <c r="D24" s="5" t="s">
        <v>14</v>
      </c>
      <c r="J24" s="3"/>
      <c r="L24" s="13"/>
    </row>
    <row r="25" spans="1:16">
      <c r="J25" s="3"/>
      <c r="M25" s="13"/>
    </row>
    <row r="26" spans="1:16">
      <c r="A26" s="3">
        <v>8201</v>
      </c>
      <c r="B26" s="15">
        <v>1205.5</v>
      </c>
      <c r="C26" s="16">
        <v>388000.49790581595</v>
      </c>
      <c r="D26" s="16">
        <v>295856.77884028893</v>
      </c>
      <c r="J26" s="3"/>
      <c r="K26" s="13"/>
    </row>
    <row r="27" spans="1:16">
      <c r="A27" s="3">
        <v>11761</v>
      </c>
      <c r="B27" s="3">
        <v>1286.58</v>
      </c>
      <c r="C27" s="3">
        <v>414096.79020793422</v>
      </c>
      <c r="D27" s="3">
        <v>315755.63211973367</v>
      </c>
    </row>
    <row r="28" spans="1:16">
      <c r="A28" s="3">
        <v>31329</v>
      </c>
      <c r="B28" s="3">
        <v>1428.47</v>
      </c>
      <c r="C28" s="3">
        <v>459765.30173664103</v>
      </c>
      <c r="D28" s="3">
        <v>350578.62535876187</v>
      </c>
    </row>
    <row r="29" spans="1:16">
      <c r="A29" s="3">
        <v>17710</v>
      </c>
      <c r="B29" s="3">
        <v>2056.84</v>
      </c>
      <c r="C29" s="3">
        <v>662011.56707805768</v>
      </c>
      <c r="D29" s="3">
        <v>504794.73827445868</v>
      </c>
    </row>
    <row r="30" spans="1:16">
      <c r="A30" s="3">
        <v>10759</v>
      </c>
      <c r="B30" s="3">
        <v>2259.54</v>
      </c>
      <c r="C30" s="3">
        <v>727252.2978333534</v>
      </c>
      <c r="D30" s="3">
        <v>554541.87147307058</v>
      </c>
    </row>
    <row r="31" spans="1:16">
      <c r="A31" s="3">
        <f>SUM(A26:A30)</f>
        <v>79760</v>
      </c>
    </row>
  </sheetData>
  <phoneticPr fontId="0" type="noConversion"/>
  <pageMargins left="0.75" right="0.75" top="1" bottom="1" header="0.5" footer="0.5"/>
  <pageSetup scale="83" orientation="landscape" r:id="rId1"/>
  <headerFooter alignWithMargins="0"/>
  <drawing r:id="rId2"/>
  <legacyDrawing r:id="rId3"/>
  <oleObjects>
    <mc:AlternateContent xmlns:mc="http://schemas.openxmlformats.org/markup-compatibility/2006">
      <mc:Choice Requires="x14">
        <oleObject progId="Mathcad" shapeId="7169"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7169" r:id="rId4"/>
      </mc:Fallback>
    </mc:AlternateContent>
    <mc:AlternateContent xmlns:mc="http://schemas.openxmlformats.org/markup-compatibility/2006">
      <mc:Choice Requires="x14">
        <oleObject progId="Mathcad" shapeId="7170"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7170" r:id="rId6"/>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27"/>
  <sheetViews>
    <sheetView topLeftCell="D1" workbookViewId="0">
      <selection activeCell="N8" sqref="N8"/>
    </sheetView>
  </sheetViews>
  <sheetFormatPr defaultColWidth="9" defaultRowHeight="13.2"/>
  <cols>
    <col min="1" max="9" width="9" style="3"/>
    <col min="10" max="10" width="9.33203125" style="13" customWidth="1"/>
    <col min="11" max="16384" width="9" style="3"/>
  </cols>
  <sheetData>
    <row r="1" spans="1:16" s="1" customFormat="1">
      <c r="A1" s="1" t="s">
        <v>33</v>
      </c>
      <c r="C1" s="19" t="s">
        <v>10</v>
      </c>
      <c r="D1" s="1">
        <v>379</v>
      </c>
      <c r="E1" s="1" t="s">
        <v>11</v>
      </c>
      <c r="F1" s="7" t="s">
        <v>20</v>
      </c>
      <c r="G1" s="17">
        <f>D4/(2*D3)</f>
        <v>1485.8075040783035</v>
      </c>
      <c r="H1" s="1" t="s">
        <v>26</v>
      </c>
      <c r="J1" s="13"/>
    </row>
    <row r="2" spans="1:16">
      <c r="C2" s="18" t="s">
        <v>15</v>
      </c>
      <c r="D2" s="3">
        <v>384.9</v>
      </c>
      <c r="E2" s="3" t="s">
        <v>11</v>
      </c>
      <c r="F2" s="18" t="s">
        <v>21</v>
      </c>
      <c r="G2" s="3">
        <f>SQRT(1/(D3*D5))</f>
        <v>8244.4965742557415</v>
      </c>
      <c r="H2" s="3" t="s">
        <v>26</v>
      </c>
    </row>
    <row r="3" spans="1:16">
      <c r="C3" s="18" t="s">
        <v>16</v>
      </c>
      <c r="D3" s="16">
        <v>3.0649999999999999E-6</v>
      </c>
      <c r="E3" s="3" t="s">
        <v>17</v>
      </c>
      <c r="F3" s="18" t="s">
        <v>25</v>
      </c>
      <c r="G3" s="16">
        <v>1.705E-4</v>
      </c>
      <c r="H3" s="3" t="s">
        <v>27</v>
      </c>
    </row>
    <row r="4" spans="1:16">
      <c r="C4" s="18" t="s">
        <v>18</v>
      </c>
      <c r="D4" s="16">
        <v>9.1079999999999998E-3</v>
      </c>
      <c r="E4" s="3" t="s">
        <v>19</v>
      </c>
    </row>
    <row r="5" spans="1:16">
      <c r="C5" s="18" t="s">
        <v>22</v>
      </c>
      <c r="D5" s="16">
        <v>4.7999999999999996E-3</v>
      </c>
      <c r="E5" s="3" t="s">
        <v>23</v>
      </c>
    </row>
    <row r="6" spans="1:16" s="6" customFormat="1" ht="92.4">
      <c r="A6" s="2" t="s">
        <v>0</v>
      </c>
      <c r="B6" s="2" t="s">
        <v>5</v>
      </c>
      <c r="C6" s="2" t="s">
        <v>1</v>
      </c>
      <c r="D6" s="2" t="s">
        <v>2</v>
      </c>
      <c r="E6" s="2" t="s">
        <v>3</v>
      </c>
      <c r="F6" s="2" t="s">
        <v>9</v>
      </c>
      <c r="G6" s="2" t="s">
        <v>7</v>
      </c>
      <c r="H6" s="2" t="s">
        <v>8</v>
      </c>
      <c r="I6" s="2" t="s">
        <v>4</v>
      </c>
      <c r="J6" s="14"/>
      <c r="K6" s="5" t="s">
        <v>5</v>
      </c>
      <c r="L6" s="5" t="s">
        <v>13</v>
      </c>
      <c r="M6" s="5" t="s">
        <v>24</v>
      </c>
      <c r="N6" s="5" t="s">
        <v>14</v>
      </c>
      <c r="O6" s="6" t="s">
        <v>52</v>
      </c>
      <c r="P6" s="6" t="s">
        <v>54</v>
      </c>
    </row>
    <row r="7" spans="1:16">
      <c r="A7" s="2">
        <v>2</v>
      </c>
      <c r="B7" s="8">
        <v>1000</v>
      </c>
      <c r="C7" s="5"/>
      <c r="D7" s="9">
        <v>2.6</v>
      </c>
      <c r="E7" s="10">
        <v>35401</v>
      </c>
      <c r="F7" s="12">
        <f>(0.2027*A7+1.2055)*1000</f>
        <v>1610.9</v>
      </c>
      <c r="G7" s="12">
        <f t="shared" ref="G7:G18" si="0">D7*157.4</f>
        <v>409.24</v>
      </c>
      <c r="H7" s="12">
        <f>C7*7.751*157.4</f>
        <v>0</v>
      </c>
      <c r="I7" s="9" t="e">
        <f>G7/H7</f>
        <v>#DIV/0!</v>
      </c>
    </row>
    <row r="8" spans="1:16">
      <c r="A8" s="2">
        <v>2</v>
      </c>
      <c r="B8" s="8">
        <v>1000</v>
      </c>
      <c r="C8" s="5"/>
      <c r="D8" s="9">
        <v>2.6</v>
      </c>
      <c r="E8" s="10">
        <v>35401</v>
      </c>
      <c r="F8" s="12">
        <f>(0.2027*A8+1.2055)*1000</f>
        <v>1610.9</v>
      </c>
      <c r="G8" s="12">
        <f>D8*157.4</f>
        <v>409.24</v>
      </c>
      <c r="H8" s="12">
        <f>C8*7.751*157.4</f>
        <v>0</v>
      </c>
      <c r="I8" s="9" t="e">
        <f>G8/H8</f>
        <v>#DIV/0!</v>
      </c>
      <c r="K8" s="3">
        <f t="shared" ref="K8:K17" si="1">B8-B7</f>
        <v>0</v>
      </c>
      <c r="L8" s="15">
        <f t="shared" ref="L8:L17" si="2">F8</f>
        <v>1610.9</v>
      </c>
      <c r="M8" s="16">
        <f t="shared" ref="M8:M17" si="3">8*F8/($D$3*SQRT($G$2^2-$G$1^2))</f>
        <v>518481.95941640722</v>
      </c>
      <c r="N8" s="16">
        <f t="shared" ref="N8:N18" si="4">M8*(EXP(-$G$1*$G$3))*SIN(SQRT($G$2^2-$G$1^2)*$G$3)</f>
        <v>395351.04523751262</v>
      </c>
      <c r="O8" s="16">
        <f>1000*(D8*1000-228.75)*8/64.353</f>
        <v>294780.35212033632</v>
      </c>
      <c r="P8" s="43">
        <f>IF(O8/N8&gt;0.5,O8/N8,"")</f>
        <v>0.74561672637856047</v>
      </c>
    </row>
    <row r="9" spans="1:16">
      <c r="A9" s="8">
        <v>3.75</v>
      </c>
      <c r="B9" s="8">
        <v>1000</v>
      </c>
      <c r="C9" s="11">
        <v>0.48</v>
      </c>
      <c r="D9" s="9">
        <v>4.3</v>
      </c>
      <c r="E9" s="10">
        <v>35401</v>
      </c>
      <c r="F9" s="12">
        <f t="shared" ref="F9:F18" si="5">(0.2027*A9+1.2055)*1000</f>
        <v>1965.625</v>
      </c>
      <c r="G9" s="12">
        <f t="shared" si="0"/>
        <v>676.82</v>
      </c>
      <c r="H9" s="12">
        <f t="shared" ref="H9:H18" si="6">C9*7.751*157.4</f>
        <v>585.60355200000004</v>
      </c>
      <c r="I9" s="9">
        <f t="shared" ref="I9:I18" si="7">G9/H9</f>
        <v>1.1557648475465532</v>
      </c>
      <c r="K9" s="3">
        <f t="shared" si="1"/>
        <v>0</v>
      </c>
      <c r="L9" s="15">
        <f t="shared" si="2"/>
        <v>1965.625</v>
      </c>
      <c r="M9" s="16">
        <f t="shared" si="3"/>
        <v>632653.23823817458</v>
      </c>
      <c r="N9" s="16">
        <f t="shared" si="4"/>
        <v>482408.52833508328</v>
      </c>
      <c r="O9" s="16">
        <f t="shared" ref="O9:O18" si="8">1000*(D9*1000-228.75)*8/64.353</f>
        <v>506114.71104688209</v>
      </c>
      <c r="P9" s="43">
        <f t="shared" ref="P9:P18" si="9">IF(O9/N9&gt;0.5,O9/N9,"")</f>
        <v>1.0491413010329957</v>
      </c>
    </row>
    <row r="10" spans="1:16">
      <c r="A10" s="8">
        <v>3.75</v>
      </c>
      <c r="B10" s="8">
        <v>1650</v>
      </c>
      <c r="C10" s="11">
        <v>0.48</v>
      </c>
      <c r="D10" s="9">
        <v>4.3</v>
      </c>
      <c r="E10" s="10">
        <v>35401</v>
      </c>
      <c r="F10" s="12">
        <f t="shared" si="5"/>
        <v>1965.625</v>
      </c>
      <c r="G10" s="12">
        <f t="shared" si="0"/>
        <v>676.82</v>
      </c>
      <c r="H10" s="12">
        <f t="shared" si="6"/>
        <v>585.60355200000004</v>
      </c>
      <c r="I10" s="9">
        <f t="shared" si="7"/>
        <v>1.1557648475465532</v>
      </c>
      <c r="K10" s="3">
        <f t="shared" si="1"/>
        <v>650</v>
      </c>
      <c r="L10" s="15">
        <f t="shared" si="2"/>
        <v>1965.625</v>
      </c>
      <c r="M10" s="16">
        <f t="shared" si="3"/>
        <v>632653.23823817458</v>
      </c>
      <c r="N10" s="16">
        <f t="shared" si="4"/>
        <v>482408.52833508328</v>
      </c>
      <c r="O10" s="16">
        <f t="shared" si="8"/>
        <v>506114.71104688209</v>
      </c>
      <c r="P10" s="43">
        <f t="shared" si="9"/>
        <v>1.0491413010329957</v>
      </c>
    </row>
    <row r="11" spans="1:16">
      <c r="A11" s="8">
        <v>3.75</v>
      </c>
      <c r="B11" s="8">
        <v>1700</v>
      </c>
      <c r="C11" s="11">
        <v>0.48</v>
      </c>
      <c r="D11" s="9">
        <v>4.3</v>
      </c>
      <c r="E11" s="10">
        <v>35401</v>
      </c>
      <c r="F11" s="12">
        <f>(0.2027*A11+1.2055)*1000</f>
        <v>1965.625</v>
      </c>
      <c r="G11" s="12">
        <f>D11*157.4</f>
        <v>676.82</v>
      </c>
      <c r="H11" s="12">
        <f>C11*7.751*157.4</f>
        <v>585.60355200000004</v>
      </c>
      <c r="I11" s="9">
        <f>G11/H11</f>
        <v>1.1557648475465532</v>
      </c>
      <c r="K11" s="3">
        <f t="shared" si="1"/>
        <v>50</v>
      </c>
      <c r="L11" s="15">
        <f t="shared" si="2"/>
        <v>1965.625</v>
      </c>
      <c r="M11" s="16">
        <f t="shared" si="3"/>
        <v>632653.23823817458</v>
      </c>
      <c r="N11" s="16">
        <f t="shared" si="4"/>
        <v>482408.52833508328</v>
      </c>
      <c r="O11" s="16">
        <f t="shared" si="8"/>
        <v>506114.71104688209</v>
      </c>
      <c r="P11" s="43">
        <f t="shared" si="9"/>
        <v>1.0491413010329957</v>
      </c>
    </row>
    <row r="12" spans="1:16">
      <c r="A12" s="8">
        <v>0.4</v>
      </c>
      <c r="B12" s="8">
        <v>1700</v>
      </c>
      <c r="C12" s="11"/>
      <c r="D12" s="9">
        <v>3</v>
      </c>
      <c r="E12" s="10">
        <v>35401</v>
      </c>
      <c r="F12" s="12">
        <f t="shared" si="5"/>
        <v>1286.5800000000002</v>
      </c>
      <c r="G12" s="12">
        <f t="shared" si="0"/>
        <v>472.20000000000005</v>
      </c>
      <c r="H12" s="12">
        <f t="shared" si="6"/>
        <v>0</v>
      </c>
      <c r="I12" s="9" t="e">
        <f t="shared" si="7"/>
        <v>#DIV/0!</v>
      </c>
      <c r="K12" s="3">
        <f t="shared" si="1"/>
        <v>0</v>
      </c>
      <c r="L12" s="15">
        <f t="shared" si="2"/>
        <v>1286.5800000000002</v>
      </c>
      <c r="M12" s="16">
        <f t="shared" si="3"/>
        <v>414096.79020793422</v>
      </c>
      <c r="N12" s="16">
        <f t="shared" si="4"/>
        <v>315755.63211973367</v>
      </c>
      <c r="O12" s="16">
        <f t="shared" si="8"/>
        <v>344506.0836324647</v>
      </c>
      <c r="P12" s="43">
        <f t="shared" si="9"/>
        <v>1.0910528541319222</v>
      </c>
    </row>
    <row r="13" spans="1:16">
      <c r="A13" s="8">
        <v>0.4</v>
      </c>
      <c r="B13" s="8">
        <v>2133</v>
      </c>
      <c r="C13" s="11"/>
      <c r="D13" s="9">
        <v>3</v>
      </c>
      <c r="E13" s="10">
        <v>35401</v>
      </c>
      <c r="F13" s="12">
        <f>(0.2027*A13+1.2055)*1000</f>
        <v>1286.5800000000002</v>
      </c>
      <c r="G13" s="12">
        <f>D13*157.4</f>
        <v>472.20000000000005</v>
      </c>
      <c r="H13" s="12">
        <f>C13*7.751*157.4</f>
        <v>0</v>
      </c>
      <c r="I13" s="9" t="e">
        <f>G13/H13</f>
        <v>#DIV/0!</v>
      </c>
      <c r="K13" s="3">
        <f t="shared" si="1"/>
        <v>433</v>
      </c>
      <c r="L13" s="15">
        <f t="shared" si="2"/>
        <v>1286.5800000000002</v>
      </c>
      <c r="M13" s="16">
        <f t="shared" si="3"/>
        <v>414096.79020793422</v>
      </c>
      <c r="N13" s="16">
        <f t="shared" si="4"/>
        <v>315755.63211973367</v>
      </c>
      <c r="O13" s="16">
        <f t="shared" si="8"/>
        <v>344506.0836324647</v>
      </c>
      <c r="P13" s="43">
        <f t="shared" si="9"/>
        <v>1.0910528541319222</v>
      </c>
    </row>
    <row r="14" spans="1:16">
      <c r="A14" s="8">
        <v>3.75</v>
      </c>
      <c r="B14" s="8">
        <v>2133</v>
      </c>
      <c r="C14" s="11">
        <v>0.48</v>
      </c>
      <c r="D14" s="9">
        <v>4.3</v>
      </c>
      <c r="E14" s="10">
        <v>35401</v>
      </c>
      <c r="F14" s="12">
        <f t="shared" si="5"/>
        <v>1965.625</v>
      </c>
      <c r="G14" s="12">
        <f t="shared" si="0"/>
        <v>676.82</v>
      </c>
      <c r="H14" s="12">
        <f t="shared" si="6"/>
        <v>585.60355200000004</v>
      </c>
      <c r="I14" s="9">
        <f t="shared" si="7"/>
        <v>1.1557648475465532</v>
      </c>
      <c r="K14" s="3">
        <f t="shared" si="1"/>
        <v>0</v>
      </c>
      <c r="L14" s="15">
        <f t="shared" si="2"/>
        <v>1965.625</v>
      </c>
      <c r="M14" s="16">
        <f t="shared" si="3"/>
        <v>632653.23823817458</v>
      </c>
      <c r="N14" s="16">
        <f t="shared" si="4"/>
        <v>482408.52833508328</v>
      </c>
      <c r="O14" s="16">
        <f t="shared" si="8"/>
        <v>506114.71104688209</v>
      </c>
      <c r="P14" s="43">
        <f t="shared" si="9"/>
        <v>1.0491413010329957</v>
      </c>
    </row>
    <row r="15" spans="1:16">
      <c r="A15" s="8">
        <v>3.75</v>
      </c>
      <c r="B15" s="8">
        <v>27500</v>
      </c>
      <c r="C15" s="11">
        <v>0.48</v>
      </c>
      <c r="D15" s="9">
        <v>4.3</v>
      </c>
      <c r="E15" s="10">
        <v>35402</v>
      </c>
      <c r="F15" s="12">
        <f t="shared" si="5"/>
        <v>1965.625</v>
      </c>
      <c r="G15" s="12">
        <f t="shared" si="0"/>
        <v>676.82</v>
      </c>
      <c r="H15" s="12">
        <f t="shared" si="6"/>
        <v>585.60355200000004</v>
      </c>
      <c r="I15" s="9">
        <f t="shared" si="7"/>
        <v>1.1557648475465532</v>
      </c>
      <c r="K15" s="3">
        <f t="shared" si="1"/>
        <v>25367</v>
      </c>
      <c r="L15" s="15">
        <f t="shared" si="2"/>
        <v>1965.625</v>
      </c>
      <c r="M15" s="16">
        <f t="shared" si="3"/>
        <v>632653.23823817458</v>
      </c>
      <c r="N15" s="16">
        <f t="shared" si="4"/>
        <v>482408.52833508328</v>
      </c>
      <c r="O15" s="16">
        <f t="shared" si="8"/>
        <v>506114.71104688209</v>
      </c>
      <c r="P15" s="43">
        <f t="shared" si="9"/>
        <v>1.0491413010329957</v>
      </c>
    </row>
    <row r="16" spans="1:16">
      <c r="A16" s="8">
        <v>3.75</v>
      </c>
      <c r="B16" s="8">
        <v>46700</v>
      </c>
      <c r="C16" s="11">
        <v>0.48</v>
      </c>
      <c r="D16" s="9">
        <v>4.3</v>
      </c>
      <c r="E16" s="10">
        <v>35403</v>
      </c>
      <c r="F16" s="12">
        <f>(0.2027*A16+1.2055)*1000</f>
        <v>1965.625</v>
      </c>
      <c r="G16" s="12">
        <f>D16*157.4</f>
        <v>676.82</v>
      </c>
      <c r="H16" s="12">
        <f>C16*7.751*157.4</f>
        <v>585.60355200000004</v>
      </c>
      <c r="I16" s="9">
        <f>G16/H16</f>
        <v>1.1557648475465532</v>
      </c>
      <c r="K16" s="3">
        <f t="shared" si="1"/>
        <v>19200</v>
      </c>
      <c r="L16" s="15">
        <f t="shared" si="2"/>
        <v>1965.625</v>
      </c>
      <c r="M16" s="16">
        <f t="shared" si="3"/>
        <v>632653.23823817458</v>
      </c>
      <c r="N16" s="16">
        <f t="shared" si="4"/>
        <v>482408.52833508328</v>
      </c>
      <c r="O16" s="16">
        <f t="shared" si="8"/>
        <v>506114.71104688209</v>
      </c>
      <c r="P16" s="43">
        <f t="shared" si="9"/>
        <v>1.0491413010329957</v>
      </c>
    </row>
    <row r="17" spans="1:16">
      <c r="A17" s="8">
        <v>4.5</v>
      </c>
      <c r="B17" s="8">
        <v>46700</v>
      </c>
      <c r="C17" s="11">
        <v>0.53</v>
      </c>
      <c r="D17" s="9">
        <v>4.7</v>
      </c>
      <c r="E17" s="10">
        <v>35403</v>
      </c>
      <c r="F17" s="12">
        <f t="shared" si="5"/>
        <v>2117.65</v>
      </c>
      <c r="G17" s="12">
        <f t="shared" si="0"/>
        <v>739.78000000000009</v>
      </c>
      <c r="H17" s="12">
        <f t="shared" si="6"/>
        <v>646.60392200000013</v>
      </c>
      <c r="I17" s="9">
        <f t="shared" si="7"/>
        <v>1.144100700335684</v>
      </c>
      <c r="K17" s="3">
        <f t="shared" si="1"/>
        <v>0</v>
      </c>
      <c r="L17" s="15">
        <f t="shared" si="2"/>
        <v>2117.65</v>
      </c>
      <c r="M17" s="16">
        <f t="shared" si="3"/>
        <v>681583.78630464629</v>
      </c>
      <c r="N17" s="16">
        <f t="shared" si="4"/>
        <v>519718.87823404215</v>
      </c>
      <c r="O17" s="16">
        <f t="shared" si="8"/>
        <v>555840.44255901047</v>
      </c>
      <c r="P17" s="43">
        <f t="shared" si="9"/>
        <v>1.0695021209306581</v>
      </c>
    </row>
    <row r="18" spans="1:16">
      <c r="A18" s="8">
        <v>4.5</v>
      </c>
      <c r="B18" s="8">
        <v>100000</v>
      </c>
      <c r="C18" s="11">
        <v>0.53</v>
      </c>
      <c r="D18" s="8">
        <v>4.7</v>
      </c>
      <c r="E18" s="10">
        <v>35405</v>
      </c>
      <c r="F18" s="12">
        <f t="shared" si="5"/>
        <v>2117.65</v>
      </c>
      <c r="G18" s="12">
        <f t="shared" si="0"/>
        <v>739.78000000000009</v>
      </c>
      <c r="H18" s="12">
        <f t="shared" si="6"/>
        <v>646.60392200000013</v>
      </c>
      <c r="I18" s="9">
        <f t="shared" si="7"/>
        <v>1.144100700335684</v>
      </c>
      <c r="K18" s="3">
        <f>B18-B17</f>
        <v>53300</v>
      </c>
      <c r="L18" s="15">
        <f>F18</f>
        <v>2117.65</v>
      </c>
      <c r="M18" s="16">
        <f>8*F18/($D$3*SQRT($G$2^2-$G$1^2))</f>
        <v>681583.78630464629</v>
      </c>
      <c r="N18" s="16">
        <f t="shared" si="4"/>
        <v>519718.87823404215</v>
      </c>
      <c r="O18" s="16">
        <f t="shared" si="8"/>
        <v>555840.44255901047</v>
      </c>
      <c r="P18" s="43">
        <f t="shared" si="9"/>
        <v>1.0695021209306581</v>
      </c>
    </row>
    <row r="19" spans="1:16">
      <c r="A19" s="8"/>
      <c r="B19" s="4"/>
      <c r="E19" s="3" t="s">
        <v>12</v>
      </c>
      <c r="F19" s="15">
        <f>MAX(F7:F18)</f>
        <v>2117.65</v>
      </c>
      <c r="K19" s="3">
        <f>SUM(K8:K18)</f>
        <v>99000</v>
      </c>
      <c r="O19" s="3" t="s">
        <v>12</v>
      </c>
      <c r="P19" s="43">
        <f>MAX(P7:P18)</f>
        <v>1.0910528541319222</v>
      </c>
    </row>
    <row r="20" spans="1:16">
      <c r="O20" s="3" t="s">
        <v>53</v>
      </c>
      <c r="P20" s="43">
        <f>MIN(P7:P18)</f>
        <v>0.74561672637856047</v>
      </c>
    </row>
    <row r="23" spans="1:16">
      <c r="A23" s="3" t="s">
        <v>5</v>
      </c>
      <c r="B23" s="3" t="s">
        <v>13</v>
      </c>
      <c r="C23" s="3" t="s">
        <v>24</v>
      </c>
      <c r="D23" s="3" t="s">
        <v>14</v>
      </c>
      <c r="J23" s="3"/>
      <c r="K23" s="13"/>
    </row>
    <row r="24" spans="1:16">
      <c r="A24" s="3">
        <v>433</v>
      </c>
      <c r="B24" s="3">
        <v>1286.58</v>
      </c>
      <c r="C24" s="3">
        <v>414096.79020793422</v>
      </c>
      <c r="D24" s="3">
        <v>315755.63211973367</v>
      </c>
      <c r="J24" s="3"/>
      <c r="L24" s="13"/>
    </row>
    <row r="25" spans="1:16">
      <c r="A25" s="3">
        <v>1000</v>
      </c>
      <c r="B25" s="15">
        <v>1610.9</v>
      </c>
      <c r="C25" s="15">
        <v>518481.95941640722</v>
      </c>
      <c r="D25" s="15">
        <v>395351.04523751262</v>
      </c>
    </row>
    <row r="26" spans="1:16">
      <c r="A26" s="3">
        <v>45267</v>
      </c>
      <c r="B26" s="3">
        <v>1965.625</v>
      </c>
      <c r="C26" s="3">
        <v>632653.23823817458</v>
      </c>
      <c r="D26" s="3">
        <v>482408.52833508328</v>
      </c>
    </row>
    <row r="27" spans="1:16">
      <c r="A27" s="3">
        <v>53300</v>
      </c>
      <c r="B27" s="3">
        <v>2117.65</v>
      </c>
      <c r="C27" s="3">
        <v>681583.78630464629</v>
      </c>
      <c r="D27" s="3">
        <v>519718.87823404215</v>
      </c>
    </row>
  </sheetData>
  <phoneticPr fontId="0" type="noConversion"/>
  <pageMargins left="0.75" right="0.75" top="1" bottom="1" header="0.5" footer="0.5"/>
  <pageSetup scale="83" orientation="landscape" horizontalDpi="355" verticalDpi="355" r:id="rId1"/>
  <headerFooter alignWithMargins="0"/>
  <drawing r:id="rId2"/>
  <legacyDrawing r:id="rId3"/>
  <oleObjects>
    <mc:AlternateContent xmlns:mc="http://schemas.openxmlformats.org/markup-compatibility/2006">
      <mc:Choice Requires="x14">
        <oleObject progId="Mathcad" shapeId="6145"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6145" r:id="rId4"/>
      </mc:Fallback>
    </mc:AlternateContent>
    <mc:AlternateContent xmlns:mc="http://schemas.openxmlformats.org/markup-compatibility/2006">
      <mc:Choice Requires="x14">
        <oleObject progId="Mathcad" shapeId="6146"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6146" r:id="rId6"/>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4"/>
  <sheetViews>
    <sheetView topLeftCell="D6" workbookViewId="0">
      <selection activeCell="O6" sqref="O6:P28"/>
    </sheetView>
  </sheetViews>
  <sheetFormatPr defaultColWidth="9" defaultRowHeight="13.2"/>
  <cols>
    <col min="1" max="9" width="9" style="3"/>
    <col min="10" max="10" width="9.33203125" style="13" customWidth="1"/>
    <col min="11" max="16384" width="9" style="3"/>
  </cols>
  <sheetData>
    <row r="1" spans="1:16" s="1" customFormat="1">
      <c r="A1" s="1" t="s">
        <v>29</v>
      </c>
      <c r="C1" s="19" t="s">
        <v>10</v>
      </c>
      <c r="D1" s="1">
        <v>382</v>
      </c>
      <c r="E1" s="1" t="s">
        <v>11</v>
      </c>
      <c r="F1" s="7" t="s">
        <v>20</v>
      </c>
      <c r="G1" s="17">
        <f>D4/(2*D3)</f>
        <v>1485.8075040783035</v>
      </c>
      <c r="H1" s="1" t="s">
        <v>26</v>
      </c>
      <c r="J1" s="13"/>
    </row>
    <row r="2" spans="1:16">
      <c r="C2" s="18" t="s">
        <v>15</v>
      </c>
      <c r="D2" s="3">
        <v>384.9</v>
      </c>
      <c r="E2" s="3" t="s">
        <v>11</v>
      </c>
      <c r="F2" s="18" t="s">
        <v>21</v>
      </c>
      <c r="G2" s="3">
        <f>SQRT(1/(D3*D5))</f>
        <v>8244.4965742557415</v>
      </c>
      <c r="H2" s="3" t="s">
        <v>26</v>
      </c>
    </row>
    <row r="3" spans="1:16">
      <c r="C3" s="18" t="s">
        <v>16</v>
      </c>
      <c r="D3" s="16">
        <v>3.0649999999999999E-6</v>
      </c>
      <c r="E3" s="3" t="s">
        <v>17</v>
      </c>
      <c r="F3" s="18" t="s">
        <v>25</v>
      </c>
      <c r="G3" s="16">
        <v>1.705E-4</v>
      </c>
      <c r="H3" s="3" t="s">
        <v>27</v>
      </c>
    </row>
    <row r="4" spans="1:16">
      <c r="C4" s="18" t="s">
        <v>18</v>
      </c>
      <c r="D4" s="16">
        <v>9.1079999999999998E-3</v>
      </c>
      <c r="E4" s="3" t="s">
        <v>19</v>
      </c>
    </row>
    <row r="5" spans="1:16">
      <c r="C5" s="18" t="s">
        <v>22</v>
      </c>
      <c r="D5" s="16">
        <v>4.7999999999999996E-3</v>
      </c>
      <c r="E5" s="3" t="s">
        <v>23</v>
      </c>
    </row>
    <row r="6" spans="1:16" s="6" customFormat="1" ht="92.4">
      <c r="A6" s="2" t="s">
        <v>0</v>
      </c>
      <c r="B6" s="2" t="s">
        <v>5</v>
      </c>
      <c r="C6" s="2" t="s">
        <v>1</v>
      </c>
      <c r="D6" s="2" t="s">
        <v>2</v>
      </c>
      <c r="E6" s="2" t="s">
        <v>3</v>
      </c>
      <c r="F6" s="2" t="s">
        <v>9</v>
      </c>
      <c r="G6" s="2" t="s">
        <v>7</v>
      </c>
      <c r="H6" s="2" t="s">
        <v>8</v>
      </c>
      <c r="I6" s="2" t="s">
        <v>4</v>
      </c>
      <c r="J6" s="14"/>
      <c r="K6" s="5" t="s">
        <v>5</v>
      </c>
      <c r="L6" s="5" t="s">
        <v>13</v>
      </c>
      <c r="M6" s="5" t="s">
        <v>24</v>
      </c>
      <c r="N6" s="5" t="s">
        <v>14</v>
      </c>
      <c r="O6" s="6" t="s">
        <v>52</v>
      </c>
      <c r="P6" s="6" t="s">
        <v>54</v>
      </c>
    </row>
    <row r="7" spans="1:16">
      <c r="A7" s="2">
        <v>0</v>
      </c>
      <c r="B7" s="8">
        <v>0</v>
      </c>
      <c r="C7" s="5">
        <v>0.34</v>
      </c>
      <c r="D7" s="9">
        <v>2.6</v>
      </c>
      <c r="E7" s="10">
        <v>35775</v>
      </c>
      <c r="F7" s="12">
        <f>(0.2027*A7+1.2055)*1000</f>
        <v>1205.5</v>
      </c>
      <c r="G7" s="12">
        <f>D7*157.4</f>
        <v>409.24</v>
      </c>
      <c r="H7" s="12">
        <f>C7*7.751*157.4</f>
        <v>414.80251600000003</v>
      </c>
      <c r="I7" s="9">
        <f>G7/H7</f>
        <v>0.98658996562113421</v>
      </c>
      <c r="L7" s="15">
        <f>F7</f>
        <v>1205.5</v>
      </c>
      <c r="M7" s="16">
        <f>8*F7/($D$3*SQRT($G$2^2-$G$1^2))</f>
        <v>388000.49790581595</v>
      </c>
      <c r="N7" s="16">
        <f t="shared" ref="N7:N25" si="0">M7*(EXP(-$G$1*$G$3))*SIN(SQRT($G$2^2-$G$1^2)*$G$3)</f>
        <v>295856.77884028893</v>
      </c>
    </row>
    <row r="8" spans="1:16">
      <c r="A8" s="8">
        <v>0</v>
      </c>
      <c r="B8" s="8">
        <v>710</v>
      </c>
      <c r="C8" s="11">
        <v>0.34</v>
      </c>
      <c r="D8" s="9">
        <v>2.6</v>
      </c>
      <c r="E8" s="10">
        <v>35775</v>
      </c>
      <c r="F8" s="12">
        <f t="shared" ref="F8:F24" si="1">(0.2027*A8+1.2055)*1000</f>
        <v>1205.5</v>
      </c>
      <c r="G8" s="12">
        <f t="shared" ref="G8:G24" si="2">D8*157.4</f>
        <v>409.24</v>
      </c>
      <c r="H8" s="12">
        <f t="shared" ref="H8:H24" si="3">C8*7.751*157.4</f>
        <v>414.80251600000003</v>
      </c>
      <c r="I8" s="9">
        <f t="shared" ref="I8:I24" si="4">G8/H8</f>
        <v>0.98658996562113421</v>
      </c>
      <c r="K8" s="3">
        <f>B8-B7</f>
        <v>710</v>
      </c>
      <c r="L8" s="15">
        <f>F8</f>
        <v>1205.5</v>
      </c>
      <c r="M8" s="16">
        <f>8*F8/($D$3*SQRT($G$2^2-$G$1^2))</f>
        <v>388000.49790581595</v>
      </c>
      <c r="N8" s="16">
        <f t="shared" si="0"/>
        <v>295856.77884028893</v>
      </c>
      <c r="O8" s="16">
        <f>1000*(D8*1000-228.75)*8/64.353</f>
        <v>294780.35212033632</v>
      </c>
      <c r="P8" s="43">
        <f>IF(O8/N8&gt;0.5,O8/N8,"")</f>
        <v>0.99636166281478478</v>
      </c>
    </row>
    <row r="9" spans="1:16">
      <c r="A9" s="8">
        <v>0</v>
      </c>
      <c r="B9" s="8">
        <v>1623</v>
      </c>
      <c r="C9" s="11">
        <v>0.34</v>
      </c>
      <c r="D9" s="9">
        <v>2.6</v>
      </c>
      <c r="E9" s="10">
        <v>35775</v>
      </c>
      <c r="F9" s="12">
        <f t="shared" si="1"/>
        <v>1205.5</v>
      </c>
      <c r="G9" s="12">
        <f t="shared" si="2"/>
        <v>409.24</v>
      </c>
      <c r="H9" s="12">
        <f t="shared" si="3"/>
        <v>414.80251600000003</v>
      </c>
      <c r="I9" s="9">
        <f t="shared" si="4"/>
        <v>0.98658996562113421</v>
      </c>
      <c r="K9" s="3">
        <f t="shared" ref="K9:K25" si="5">B9-B8</f>
        <v>913</v>
      </c>
      <c r="L9" s="15">
        <f t="shared" ref="L9:L25" si="6">F9</f>
        <v>1205.5</v>
      </c>
      <c r="M9" s="16">
        <f t="shared" ref="M9:M25" si="7">8*F9/($D$3*SQRT($G$2^2-$G$1^2))</f>
        <v>388000.49790581595</v>
      </c>
      <c r="N9" s="16">
        <f t="shared" si="0"/>
        <v>295856.77884028893</v>
      </c>
      <c r="O9" s="16">
        <f t="shared" ref="O9:O21" si="8">1000*(D9*1000-228.75)*8/64.353</f>
        <v>294780.35212033632</v>
      </c>
      <c r="P9" s="43">
        <f t="shared" ref="P9:P21" si="9">IF(O9/N9&gt;0.5,O9/N9,"")</f>
        <v>0.99636166281478478</v>
      </c>
    </row>
    <row r="10" spans="1:16">
      <c r="A10" s="8">
        <v>2.8</v>
      </c>
      <c r="B10" s="8">
        <v>1623</v>
      </c>
      <c r="C10" s="11">
        <v>0.52</v>
      </c>
      <c r="D10" s="9">
        <v>3.92</v>
      </c>
      <c r="E10" s="10">
        <v>35775</v>
      </c>
      <c r="F10" s="12">
        <f t="shared" si="1"/>
        <v>1773.0600000000002</v>
      </c>
      <c r="G10" s="12">
        <f t="shared" si="2"/>
        <v>617.00800000000004</v>
      </c>
      <c r="H10" s="12">
        <f t="shared" si="3"/>
        <v>634.40384800000004</v>
      </c>
      <c r="I10" s="9">
        <f t="shared" si="4"/>
        <v>0.97257922054722468</v>
      </c>
      <c r="K10" s="3">
        <f t="shared" si="5"/>
        <v>0</v>
      </c>
      <c r="L10" s="15">
        <f t="shared" si="6"/>
        <v>1773.0600000000002</v>
      </c>
      <c r="M10" s="16">
        <f t="shared" si="7"/>
        <v>570674.54402064381</v>
      </c>
      <c r="N10" s="16">
        <f t="shared" si="0"/>
        <v>435148.7517964021</v>
      </c>
      <c r="O10" s="16">
        <f t="shared" si="8"/>
        <v>458875.2661103601</v>
      </c>
      <c r="P10" s="43">
        <f t="shared" si="9"/>
        <v>1.0545250657758043</v>
      </c>
    </row>
    <row r="11" spans="1:16">
      <c r="A11" s="8">
        <v>2.8</v>
      </c>
      <c r="B11" s="8">
        <v>27420</v>
      </c>
      <c r="C11" s="11">
        <v>0.52</v>
      </c>
      <c r="D11" s="9">
        <v>3.92</v>
      </c>
      <c r="E11" s="10">
        <v>35776</v>
      </c>
      <c r="F11" s="12">
        <f t="shared" si="1"/>
        <v>1773.0600000000002</v>
      </c>
      <c r="G11" s="12">
        <f t="shared" si="2"/>
        <v>617.00800000000004</v>
      </c>
      <c r="H11" s="12">
        <f t="shared" si="3"/>
        <v>634.40384800000004</v>
      </c>
      <c r="I11" s="9">
        <f t="shared" si="4"/>
        <v>0.97257922054722468</v>
      </c>
      <c r="K11" s="3">
        <f t="shared" si="5"/>
        <v>25797</v>
      </c>
      <c r="L11" s="15">
        <f t="shared" si="6"/>
        <v>1773.0600000000002</v>
      </c>
      <c r="M11" s="16">
        <f t="shared" si="7"/>
        <v>570674.54402064381</v>
      </c>
      <c r="N11" s="16">
        <f t="shared" si="0"/>
        <v>435148.7517964021</v>
      </c>
      <c r="O11" s="16">
        <f t="shared" si="8"/>
        <v>458875.2661103601</v>
      </c>
      <c r="P11" s="43">
        <f t="shared" si="9"/>
        <v>1.0545250657758043</v>
      </c>
    </row>
    <row r="12" spans="1:16">
      <c r="A12" s="8">
        <v>2.8</v>
      </c>
      <c r="B12" s="8">
        <v>31200</v>
      </c>
      <c r="C12" s="11">
        <v>0.52</v>
      </c>
      <c r="D12" s="9">
        <v>3.92</v>
      </c>
      <c r="E12" s="10">
        <v>37602</v>
      </c>
      <c r="F12" s="12">
        <f t="shared" si="1"/>
        <v>1773.0600000000002</v>
      </c>
      <c r="G12" s="12">
        <f t="shared" si="2"/>
        <v>617.00800000000004</v>
      </c>
      <c r="H12" s="12">
        <f t="shared" si="3"/>
        <v>634.40384800000004</v>
      </c>
      <c r="I12" s="9">
        <f t="shared" si="4"/>
        <v>0.97257922054722468</v>
      </c>
      <c r="K12" s="3">
        <f t="shared" si="5"/>
        <v>3780</v>
      </c>
      <c r="L12" s="15">
        <f t="shared" si="6"/>
        <v>1773.0600000000002</v>
      </c>
      <c r="M12" s="16">
        <f t="shared" si="7"/>
        <v>570674.54402064381</v>
      </c>
      <c r="N12" s="16">
        <f t="shared" si="0"/>
        <v>435148.7517964021</v>
      </c>
      <c r="O12" s="16">
        <f t="shared" si="8"/>
        <v>458875.2661103601</v>
      </c>
      <c r="P12" s="43">
        <f t="shared" si="9"/>
        <v>1.0545250657758043</v>
      </c>
    </row>
    <row r="13" spans="1:16">
      <c r="A13" s="8">
        <v>5.15</v>
      </c>
      <c r="B13" s="8">
        <v>31200</v>
      </c>
      <c r="C13" s="11">
        <v>0.66</v>
      </c>
      <c r="D13" s="9">
        <v>4.96</v>
      </c>
      <c r="E13" s="10">
        <v>35776</v>
      </c>
      <c r="F13" s="12">
        <f t="shared" si="1"/>
        <v>2249.4050000000002</v>
      </c>
      <c r="G13" s="12">
        <f t="shared" si="2"/>
        <v>780.70400000000006</v>
      </c>
      <c r="H13" s="12">
        <f t="shared" si="3"/>
        <v>805.20488399999999</v>
      </c>
      <c r="I13" s="9">
        <f t="shared" si="4"/>
        <v>0.96957186365004722</v>
      </c>
      <c r="K13" s="3">
        <f t="shared" si="5"/>
        <v>0</v>
      </c>
      <c r="L13" s="15">
        <f t="shared" si="6"/>
        <v>2249.4050000000002</v>
      </c>
      <c r="M13" s="16">
        <f t="shared" si="7"/>
        <v>723990.26129558845</v>
      </c>
      <c r="N13" s="16">
        <f t="shared" si="0"/>
        <v>552054.51481313992</v>
      </c>
      <c r="O13" s="16">
        <f t="shared" si="8"/>
        <v>588162.16804189398</v>
      </c>
      <c r="P13" s="43">
        <f t="shared" si="9"/>
        <v>1.0654059558610363</v>
      </c>
    </row>
    <row r="14" spans="1:16">
      <c r="A14" s="8">
        <v>5.15</v>
      </c>
      <c r="B14" s="8">
        <v>33500</v>
      </c>
      <c r="C14" s="11">
        <v>0.66</v>
      </c>
      <c r="D14" s="9">
        <v>4.96</v>
      </c>
      <c r="E14" s="10">
        <v>35779</v>
      </c>
      <c r="F14" s="12">
        <f t="shared" si="1"/>
        <v>2249.4050000000002</v>
      </c>
      <c r="G14" s="12">
        <f t="shared" si="2"/>
        <v>780.70400000000006</v>
      </c>
      <c r="H14" s="12">
        <f t="shared" si="3"/>
        <v>805.20488399999999</v>
      </c>
      <c r="I14" s="9">
        <f t="shared" si="4"/>
        <v>0.96957186365004722</v>
      </c>
      <c r="K14" s="3">
        <f t="shared" si="5"/>
        <v>2300</v>
      </c>
      <c r="L14" s="15">
        <f t="shared" si="6"/>
        <v>2249.4050000000002</v>
      </c>
      <c r="M14" s="16">
        <f t="shared" si="7"/>
        <v>723990.26129558845</v>
      </c>
      <c r="N14" s="16">
        <f t="shared" si="0"/>
        <v>552054.51481313992</v>
      </c>
      <c r="O14" s="16">
        <f t="shared" si="8"/>
        <v>588162.16804189398</v>
      </c>
      <c r="P14" s="43">
        <f t="shared" si="9"/>
        <v>1.0654059558610363</v>
      </c>
    </row>
    <row r="15" spans="1:16">
      <c r="A15" s="8">
        <v>0</v>
      </c>
      <c r="B15" s="8">
        <v>33500</v>
      </c>
      <c r="C15" s="11">
        <v>0.33600000000000002</v>
      </c>
      <c r="D15" s="9">
        <v>2.64</v>
      </c>
      <c r="E15" s="10">
        <v>35779</v>
      </c>
      <c r="F15" s="12">
        <f t="shared" si="1"/>
        <v>1205.5</v>
      </c>
      <c r="G15" s="12">
        <f t="shared" si="2"/>
        <v>415.53600000000006</v>
      </c>
      <c r="H15" s="12">
        <f t="shared" si="3"/>
        <v>409.92248640000008</v>
      </c>
      <c r="I15" s="9">
        <f t="shared" si="4"/>
        <v>1.0136940855557808</v>
      </c>
      <c r="K15" s="3">
        <f t="shared" si="5"/>
        <v>0</v>
      </c>
      <c r="L15" s="15">
        <f t="shared" si="6"/>
        <v>1205.5</v>
      </c>
      <c r="M15" s="16">
        <f t="shared" si="7"/>
        <v>388000.49790581595</v>
      </c>
      <c r="N15" s="16">
        <f t="shared" si="0"/>
        <v>295856.77884028893</v>
      </c>
      <c r="O15" s="16">
        <f t="shared" si="8"/>
        <v>299752.92527154915</v>
      </c>
      <c r="P15" s="43">
        <f t="shared" si="9"/>
        <v>1.0131690287663258</v>
      </c>
    </row>
    <row r="16" spans="1:16">
      <c r="A16" s="8">
        <v>0</v>
      </c>
      <c r="B16" s="8">
        <v>33800</v>
      </c>
      <c r="C16" s="11">
        <v>0.33600000000000002</v>
      </c>
      <c r="D16" s="9">
        <v>2.64</v>
      </c>
      <c r="E16" s="10">
        <v>35779</v>
      </c>
      <c r="F16" s="12">
        <f t="shared" si="1"/>
        <v>1205.5</v>
      </c>
      <c r="G16" s="12">
        <f t="shared" si="2"/>
        <v>415.53600000000006</v>
      </c>
      <c r="H16" s="12">
        <f t="shared" si="3"/>
        <v>409.92248640000008</v>
      </c>
      <c r="I16" s="9">
        <f t="shared" si="4"/>
        <v>1.0136940855557808</v>
      </c>
      <c r="K16" s="3">
        <f t="shared" si="5"/>
        <v>300</v>
      </c>
      <c r="L16" s="15">
        <f t="shared" si="6"/>
        <v>1205.5</v>
      </c>
      <c r="M16" s="16">
        <f t="shared" si="7"/>
        <v>388000.49790581595</v>
      </c>
      <c r="N16" s="16">
        <f t="shared" si="0"/>
        <v>295856.77884028893</v>
      </c>
      <c r="O16" s="16">
        <f t="shared" si="8"/>
        <v>299752.92527154915</v>
      </c>
      <c r="P16" s="43">
        <f t="shared" si="9"/>
        <v>1.0131690287663258</v>
      </c>
    </row>
    <row r="17" spans="1:16">
      <c r="A17" s="8">
        <v>2.8</v>
      </c>
      <c r="B17" s="8">
        <v>33800</v>
      </c>
      <c r="C17" s="11">
        <v>0.52</v>
      </c>
      <c r="D17" s="9">
        <v>3.92</v>
      </c>
      <c r="E17" s="10">
        <v>35779</v>
      </c>
      <c r="F17" s="12">
        <f t="shared" si="1"/>
        <v>1773.0600000000002</v>
      </c>
      <c r="G17" s="12">
        <f t="shared" si="2"/>
        <v>617.00800000000004</v>
      </c>
      <c r="H17" s="12">
        <f t="shared" si="3"/>
        <v>634.40384800000004</v>
      </c>
      <c r="I17" s="9">
        <f t="shared" si="4"/>
        <v>0.97257922054722468</v>
      </c>
      <c r="K17" s="3">
        <f t="shared" si="5"/>
        <v>0</v>
      </c>
      <c r="L17" s="15">
        <f t="shared" si="6"/>
        <v>1773.0600000000002</v>
      </c>
      <c r="M17" s="16">
        <f t="shared" si="7"/>
        <v>570674.54402064381</v>
      </c>
      <c r="N17" s="16">
        <f t="shared" si="0"/>
        <v>435148.7517964021</v>
      </c>
      <c r="O17" s="16">
        <f t="shared" si="8"/>
        <v>458875.2661103601</v>
      </c>
      <c r="P17" s="43">
        <f t="shared" si="9"/>
        <v>1.0545250657758043</v>
      </c>
    </row>
    <row r="18" spans="1:16">
      <c r="A18" s="8">
        <v>2.8</v>
      </c>
      <c r="B18" s="8">
        <v>39300</v>
      </c>
      <c r="C18" s="11">
        <v>0.52</v>
      </c>
      <c r="D18" s="9">
        <v>3.92</v>
      </c>
      <c r="E18" s="10">
        <v>35779</v>
      </c>
      <c r="F18" s="12">
        <f t="shared" si="1"/>
        <v>1773.0600000000002</v>
      </c>
      <c r="G18" s="12">
        <f t="shared" si="2"/>
        <v>617.00800000000004</v>
      </c>
      <c r="H18" s="12">
        <f t="shared" si="3"/>
        <v>634.40384800000004</v>
      </c>
      <c r="I18" s="9">
        <f t="shared" si="4"/>
        <v>0.97257922054722468</v>
      </c>
      <c r="K18" s="3">
        <f t="shared" si="5"/>
        <v>5500</v>
      </c>
      <c r="L18" s="15">
        <f t="shared" si="6"/>
        <v>1773.0600000000002</v>
      </c>
      <c r="M18" s="16">
        <f t="shared" si="7"/>
        <v>570674.54402064381</v>
      </c>
      <c r="N18" s="16">
        <f t="shared" si="0"/>
        <v>435148.7517964021</v>
      </c>
      <c r="O18" s="16">
        <f t="shared" si="8"/>
        <v>458875.2661103601</v>
      </c>
      <c r="P18" s="43">
        <f t="shared" si="9"/>
        <v>1.0545250657758043</v>
      </c>
    </row>
    <row r="19" spans="1:16">
      <c r="A19" s="8">
        <v>5.15</v>
      </c>
      <c r="B19" s="8">
        <v>39300</v>
      </c>
      <c r="C19" s="11">
        <v>0.65600000000000003</v>
      </c>
      <c r="D19" s="9">
        <v>4.96</v>
      </c>
      <c r="E19" s="10">
        <v>35779</v>
      </c>
      <c r="F19" s="12">
        <f t="shared" si="1"/>
        <v>2249.4050000000002</v>
      </c>
      <c r="G19" s="12">
        <f t="shared" si="2"/>
        <v>780.70400000000006</v>
      </c>
      <c r="H19" s="12">
        <f t="shared" si="3"/>
        <v>800.32485440000016</v>
      </c>
      <c r="I19" s="9">
        <f t="shared" si="4"/>
        <v>0.97548388720888879</v>
      </c>
      <c r="K19" s="3">
        <f t="shared" si="5"/>
        <v>0</v>
      </c>
      <c r="L19" s="15">
        <f t="shared" si="6"/>
        <v>2249.4050000000002</v>
      </c>
      <c r="M19" s="16">
        <f t="shared" si="7"/>
        <v>723990.26129558845</v>
      </c>
      <c r="N19" s="16">
        <f t="shared" si="0"/>
        <v>552054.51481313992</v>
      </c>
      <c r="O19" s="16">
        <f t="shared" si="8"/>
        <v>588162.16804189398</v>
      </c>
      <c r="P19" s="43">
        <f t="shared" si="9"/>
        <v>1.0654059558610363</v>
      </c>
    </row>
    <row r="20" spans="1:16">
      <c r="A20" s="8">
        <v>5.15</v>
      </c>
      <c r="B20" s="8">
        <v>40500</v>
      </c>
      <c r="C20" s="11">
        <v>0.65600000000000003</v>
      </c>
      <c r="D20" s="9">
        <v>4.96</v>
      </c>
      <c r="E20" s="10">
        <v>35780</v>
      </c>
      <c r="F20" s="12">
        <f t="shared" si="1"/>
        <v>2249.4050000000002</v>
      </c>
      <c r="G20" s="12">
        <f t="shared" si="2"/>
        <v>780.70400000000006</v>
      </c>
      <c r="H20" s="12">
        <f t="shared" si="3"/>
        <v>800.32485440000016</v>
      </c>
      <c r="I20" s="9">
        <f t="shared" si="4"/>
        <v>0.97548388720888879</v>
      </c>
      <c r="K20" s="3">
        <f t="shared" si="5"/>
        <v>1200</v>
      </c>
      <c r="L20" s="15">
        <f t="shared" si="6"/>
        <v>2249.4050000000002</v>
      </c>
      <c r="M20" s="16">
        <f t="shared" si="7"/>
        <v>723990.26129558845</v>
      </c>
      <c r="N20" s="16">
        <f t="shared" si="0"/>
        <v>552054.51481313992</v>
      </c>
      <c r="O20" s="16">
        <f t="shared" si="8"/>
        <v>588162.16804189398</v>
      </c>
      <c r="P20" s="43">
        <f t="shared" si="9"/>
        <v>1.0654059558610363</v>
      </c>
    </row>
    <row r="21" spans="1:16">
      <c r="A21" s="8">
        <v>2.8</v>
      </c>
      <c r="B21" s="8">
        <v>40500</v>
      </c>
      <c r="C21" s="11">
        <v>0.52</v>
      </c>
      <c r="D21" s="9">
        <v>3.92</v>
      </c>
      <c r="E21" s="10">
        <v>35780</v>
      </c>
      <c r="F21" s="12">
        <f t="shared" si="1"/>
        <v>1773.0600000000002</v>
      </c>
      <c r="G21" s="12">
        <f t="shared" si="2"/>
        <v>617.00800000000004</v>
      </c>
      <c r="H21" s="12">
        <f t="shared" si="3"/>
        <v>634.40384800000004</v>
      </c>
      <c r="I21" s="9">
        <f t="shared" si="4"/>
        <v>0.97257922054722468</v>
      </c>
      <c r="K21" s="3">
        <f t="shared" si="5"/>
        <v>0</v>
      </c>
      <c r="L21" s="15">
        <f t="shared" si="6"/>
        <v>1773.0600000000002</v>
      </c>
      <c r="M21" s="16">
        <f t="shared" si="7"/>
        <v>570674.54402064381</v>
      </c>
      <c r="N21" s="16">
        <f t="shared" si="0"/>
        <v>435148.7517964021</v>
      </c>
      <c r="O21" s="16">
        <f t="shared" si="8"/>
        <v>458875.2661103601</v>
      </c>
      <c r="P21" s="43">
        <f t="shared" si="9"/>
        <v>1.0545250657758043</v>
      </c>
    </row>
    <row r="22" spans="1:16">
      <c r="A22" s="8">
        <v>2.8</v>
      </c>
      <c r="B22" s="8">
        <v>92300</v>
      </c>
      <c r="C22" s="11">
        <v>0.52</v>
      </c>
      <c r="D22" s="9">
        <v>3.92</v>
      </c>
      <c r="E22" s="10">
        <v>35782</v>
      </c>
      <c r="F22" s="12">
        <f t="shared" si="1"/>
        <v>1773.0600000000002</v>
      </c>
      <c r="G22" s="12">
        <f t="shared" si="2"/>
        <v>617.00800000000004</v>
      </c>
      <c r="H22" s="12">
        <f t="shared" si="3"/>
        <v>634.40384800000004</v>
      </c>
      <c r="I22" s="9">
        <f t="shared" si="4"/>
        <v>0.97257922054722468</v>
      </c>
      <c r="K22" s="3">
        <f t="shared" si="5"/>
        <v>51800</v>
      </c>
      <c r="L22" s="15">
        <f t="shared" si="6"/>
        <v>1773.0600000000002</v>
      </c>
      <c r="M22" s="16">
        <f t="shared" si="7"/>
        <v>570674.54402064381</v>
      </c>
      <c r="N22" s="16">
        <f t="shared" si="0"/>
        <v>435148.7517964021</v>
      </c>
      <c r="O22" s="16">
        <f>1000*(D22*1000-228.75)*8/64.353</f>
        <v>458875.2661103601</v>
      </c>
      <c r="P22" s="43">
        <f>IF(O22/N22&gt;0.5,O22/N22,"")</f>
        <v>1.0545250657758043</v>
      </c>
    </row>
    <row r="23" spans="1:16">
      <c r="A23" s="8">
        <v>5.15</v>
      </c>
      <c r="B23" s="8">
        <v>92300</v>
      </c>
      <c r="C23" s="8">
        <v>0.64800000000000002</v>
      </c>
      <c r="D23" s="8">
        <v>4.88</v>
      </c>
      <c r="E23" s="10">
        <v>35782</v>
      </c>
      <c r="F23" s="12">
        <f>(0.2027*A23+1.2055)*1000</f>
        <v>2249.4050000000002</v>
      </c>
      <c r="G23" s="12">
        <f>D23*157.4</f>
        <v>768.11199999999997</v>
      </c>
      <c r="H23" s="12">
        <f>C23*7.751*157.4</f>
        <v>790.56479520000005</v>
      </c>
      <c r="I23" s="9">
        <f>G23/H23</f>
        <v>0.97159904496592231</v>
      </c>
      <c r="K23" s="3">
        <f t="shared" si="5"/>
        <v>0</v>
      </c>
      <c r="L23" s="15">
        <f t="shared" si="6"/>
        <v>2249.4050000000002</v>
      </c>
      <c r="M23" s="16">
        <f t="shared" si="7"/>
        <v>723990.26129558845</v>
      </c>
      <c r="N23" s="16">
        <f t="shared" si="0"/>
        <v>552054.51481313992</v>
      </c>
      <c r="O23" s="16">
        <f>1000*(D23*1000-228.75)*8/64.353</f>
        <v>578217.02173946833</v>
      </c>
      <c r="P23" s="43">
        <f>IF(O23/N23&gt;0.5,O23/N23,"")</f>
        <v>1.0473911655902024</v>
      </c>
    </row>
    <row r="24" spans="1:16">
      <c r="A24" s="8">
        <v>5.15</v>
      </c>
      <c r="B24" s="8">
        <v>187023</v>
      </c>
      <c r="C24" s="8">
        <v>0.64800000000000002</v>
      </c>
      <c r="D24" s="8">
        <v>4.88</v>
      </c>
      <c r="E24" s="10">
        <v>35782</v>
      </c>
      <c r="F24" s="12">
        <f t="shared" si="1"/>
        <v>2249.4050000000002</v>
      </c>
      <c r="G24" s="12">
        <f t="shared" si="2"/>
        <v>768.11199999999997</v>
      </c>
      <c r="H24" s="12">
        <f t="shared" si="3"/>
        <v>790.56479520000005</v>
      </c>
      <c r="I24" s="9">
        <f t="shared" si="4"/>
        <v>0.97159904496592231</v>
      </c>
      <c r="K24" s="3">
        <f t="shared" si="5"/>
        <v>94723</v>
      </c>
      <c r="L24" s="15">
        <f t="shared" si="6"/>
        <v>2249.4050000000002</v>
      </c>
      <c r="M24" s="16">
        <f t="shared" si="7"/>
        <v>723990.26129558845</v>
      </c>
      <c r="N24" s="16">
        <f t="shared" si="0"/>
        <v>552054.51481313992</v>
      </c>
      <c r="O24" s="16">
        <f>1000*(D24*1000-228.75)*8/64.353</f>
        <v>578217.02173946833</v>
      </c>
      <c r="P24" s="43">
        <f>IF(O24/N24&gt;0.5,O24/N24,"")</f>
        <v>1.0473911655902024</v>
      </c>
    </row>
    <row r="25" spans="1:16">
      <c r="A25" s="8">
        <v>5.15</v>
      </c>
      <c r="B25" s="8">
        <v>198950</v>
      </c>
      <c r="C25" s="8">
        <v>0.64800000000000002</v>
      </c>
      <c r="D25" s="8">
        <v>4.88</v>
      </c>
      <c r="E25" s="10">
        <v>35782</v>
      </c>
      <c r="F25" s="12">
        <f>(0.2027*A25+1.2055)*1000</f>
        <v>2249.4050000000002</v>
      </c>
      <c r="G25" s="12">
        <f>D25*157.4</f>
        <v>768.11199999999997</v>
      </c>
      <c r="H25" s="12">
        <f>C25*7.751*157.4</f>
        <v>790.56479520000005</v>
      </c>
      <c r="I25" s="9">
        <f>G25/H25</f>
        <v>0.97159904496592231</v>
      </c>
      <c r="K25" s="3">
        <f t="shared" si="5"/>
        <v>11927</v>
      </c>
      <c r="L25" s="15">
        <f t="shared" si="6"/>
        <v>2249.4050000000002</v>
      </c>
      <c r="M25" s="16">
        <f t="shared" si="7"/>
        <v>723990.26129558845</v>
      </c>
      <c r="N25" s="16">
        <f t="shared" si="0"/>
        <v>552054.51481313992</v>
      </c>
      <c r="O25" s="16">
        <f>1000*(D25*1000-228.75)*8/64.353</f>
        <v>578217.02173946833</v>
      </c>
      <c r="P25" s="43">
        <f>IF(O25/N25&gt;0.5,O25/N25,"")</f>
        <v>1.0473911655902024</v>
      </c>
    </row>
    <row r="26" spans="1:16">
      <c r="A26" s="8"/>
      <c r="B26" s="4"/>
      <c r="E26" s="3" t="s">
        <v>12</v>
      </c>
      <c r="F26" s="15">
        <f>MAX(F7:F25)</f>
        <v>2249.4050000000002</v>
      </c>
      <c r="K26" s="3">
        <f>SUM(K8:K25)</f>
        <v>198950</v>
      </c>
      <c r="O26" s="16"/>
      <c r="P26" s="43"/>
    </row>
    <row r="27" spans="1:16">
      <c r="O27" s="3" t="s">
        <v>12</v>
      </c>
      <c r="P27" s="43">
        <f>MAX(P7:P25)</f>
        <v>1.0654059558610363</v>
      </c>
    </row>
    <row r="28" spans="1:16">
      <c r="O28" s="3" t="s">
        <v>53</v>
      </c>
      <c r="P28" s="43">
        <f>MIN(P7:P25)</f>
        <v>0.99636166281478478</v>
      </c>
    </row>
    <row r="30" spans="1:16">
      <c r="A30" s="3" t="s">
        <v>5</v>
      </c>
      <c r="B30" s="3" t="s">
        <v>13</v>
      </c>
      <c r="C30" s="3" t="s">
        <v>24</v>
      </c>
      <c r="D30" s="3" t="s">
        <v>14</v>
      </c>
      <c r="J30" s="3"/>
      <c r="K30" s="13"/>
    </row>
    <row r="31" spans="1:16">
      <c r="A31" s="3">
        <v>1923</v>
      </c>
      <c r="B31" s="3">
        <v>1205.5</v>
      </c>
      <c r="C31" s="3">
        <v>388000.49790581595</v>
      </c>
      <c r="D31" s="3">
        <v>295856.77884028893</v>
      </c>
    </row>
    <row r="32" spans="1:16">
      <c r="A32" s="3">
        <v>86877</v>
      </c>
      <c r="B32" s="3">
        <v>1773.06</v>
      </c>
      <c r="C32" s="3">
        <v>570674.54402064381</v>
      </c>
      <c r="D32" s="3">
        <v>435148.7517964021</v>
      </c>
    </row>
    <row r="33" spans="1:4">
      <c r="A33" s="3">
        <v>110150</v>
      </c>
      <c r="B33" s="3">
        <v>2249.4050000000002</v>
      </c>
      <c r="C33" s="3">
        <v>723990.26129558845</v>
      </c>
      <c r="D33" s="3">
        <v>552054.51481313992</v>
      </c>
    </row>
    <row r="34" spans="1:4">
      <c r="A34" s="3">
        <f>SUM(A31:A33)</f>
        <v>198950</v>
      </c>
    </row>
  </sheetData>
  <phoneticPr fontId="0" type="noConversion"/>
  <pageMargins left="0.75" right="0.75" top="1" bottom="1" header="0.5" footer="0.5"/>
  <pageSetup scale="83" orientation="landscape" horizontalDpi="355" verticalDpi="355" r:id="rId1"/>
  <headerFooter alignWithMargins="0"/>
  <drawing r:id="rId2"/>
  <legacyDrawing r:id="rId3"/>
  <oleObjects>
    <mc:AlternateContent xmlns:mc="http://schemas.openxmlformats.org/markup-compatibility/2006">
      <mc:Choice Requires="x14">
        <oleObject progId="Mathcad" shapeId="5121" r:id="rId4">
          <objectPr defaultSize="0" r:id="rId5">
            <anchor moveWithCells="1">
              <from>
                <xdr:col>8</xdr:col>
                <xdr:colOff>160020</xdr:colOff>
                <xdr:row>0</xdr:row>
                <xdr:rowOff>144780</xdr:rowOff>
              </from>
              <to>
                <xdr:col>9</xdr:col>
                <xdr:colOff>281940</xdr:colOff>
                <xdr:row>3</xdr:row>
                <xdr:rowOff>0</xdr:rowOff>
              </to>
            </anchor>
          </objectPr>
        </oleObject>
      </mc:Choice>
      <mc:Fallback>
        <oleObject progId="Mathcad" shapeId="5121" r:id="rId4"/>
      </mc:Fallback>
    </mc:AlternateContent>
    <mc:AlternateContent xmlns:mc="http://schemas.openxmlformats.org/markup-compatibility/2006">
      <mc:Choice Requires="x14">
        <oleObject progId="Mathcad" shapeId="5122" r:id="rId6">
          <objectPr defaultSize="0" r:id="rId7">
            <anchor moveWithCells="1">
              <from>
                <xdr:col>9</xdr:col>
                <xdr:colOff>525780</xdr:colOff>
                <xdr:row>1</xdr:row>
                <xdr:rowOff>38100</xdr:rowOff>
              </from>
              <to>
                <xdr:col>12</xdr:col>
                <xdr:colOff>53340</xdr:colOff>
                <xdr:row>2</xdr:row>
                <xdr:rowOff>129540</xdr:rowOff>
              </to>
            </anchor>
          </objectPr>
        </oleObject>
      </mc:Choice>
      <mc:Fallback>
        <oleObject progId="Mathcad" shapeId="5122"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Coil slope intercepts</vt:lpstr>
      <vt:lpstr>Lens 16</vt:lpstr>
      <vt:lpstr>Lens 18</vt:lpstr>
      <vt:lpstr>Lens 17</vt:lpstr>
      <vt:lpstr>Lens 21</vt:lpstr>
      <vt:lpstr>Lens 20</vt:lpstr>
      <vt:lpstr>Lens 22</vt:lpstr>
      <vt:lpstr>Lens 23</vt:lpstr>
      <vt:lpstr>Lens 24</vt:lpstr>
      <vt:lpstr>Lens 25</vt:lpstr>
      <vt:lpstr>Lens 24 retest</vt:lpstr>
      <vt:lpstr>Lens 27</vt:lpstr>
      <vt:lpstr>Lens 28</vt:lpstr>
      <vt:lpstr>'Lens 16'!Print_Area</vt:lpstr>
      <vt:lpstr>'Lens 17'!Print_Area</vt:lpstr>
      <vt:lpstr>'Lens 18'!Print_Area</vt:lpstr>
      <vt:lpstr>'Lens 20'!Print_Area</vt:lpstr>
      <vt:lpstr>'Lens 21'!Print_Area</vt:lpstr>
      <vt:lpstr>'Lens 22'!Print_Area</vt:lpstr>
      <vt:lpstr>'Lens 23'!Print_Area</vt:lpstr>
      <vt:lpstr>'Lens 24'!Print_Area</vt:lpstr>
      <vt:lpstr>'Lens 24 retest'!Print_Area</vt:lpstr>
      <vt:lpstr>'Lens 25'!Print_Area</vt:lpstr>
      <vt:lpstr>'Lens 27'!Print_Area</vt:lpstr>
      <vt:lpstr>'Lens 28'!Print_Area</vt:lpstr>
    </vt:vector>
  </TitlesOfParts>
  <Company>Fermilab Beams Division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F Leveling</dc:creator>
  <cp:lastModifiedBy>Aniket Gupta</cp:lastModifiedBy>
  <cp:lastPrinted>2002-12-12T18:43:17Z</cp:lastPrinted>
  <dcterms:created xsi:type="dcterms:W3CDTF">2002-11-22T15:54:21Z</dcterms:created>
  <dcterms:modified xsi:type="dcterms:W3CDTF">2024-02-03T22:23:05Z</dcterms:modified>
</cp:coreProperties>
</file>