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homework\original\"/>
    </mc:Choice>
  </mc:AlternateContent>
  <xr:revisionPtr revIDLastSave="0" documentId="8_{9263C41E-ACB4-4165-AA16-A0C0ACDA244D}" xr6:coauthVersionLast="47" xr6:coauthVersionMax="47" xr10:uidLastSave="{00000000-0000-0000-0000-000000000000}"/>
  <bookViews>
    <workbookView xWindow="3348" yWindow="3348" windowWidth="17280" windowHeight="8880"/>
  </bookViews>
  <sheets>
    <sheet name="CBA" sheetId="1" r:id="rId1"/>
    <sheet name="Individ. Hh. Analysis" sheetId="2" r:id="rId2"/>
  </sheets>
  <definedNames>
    <definedName name="_xlnm.Print_Area" localSheetId="0">CBA!$AB$17:$AI$31</definedName>
    <definedName name="_xlnm.Print_Area" localSheetId="1">'Individ. Hh. Analysis'!$A$15:$E$114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1" l="1"/>
  <c r="C5" i="1" s="1"/>
  <c r="G6" i="1"/>
  <c r="AA17" i="1" s="1"/>
  <c r="H8" i="1"/>
  <c r="C8" i="1" s="1"/>
  <c r="I8" i="1"/>
  <c r="J8" i="1"/>
  <c r="K8" i="1"/>
  <c r="L8" i="1"/>
  <c r="M8" i="1"/>
  <c r="N8" i="1"/>
  <c r="O8" i="1"/>
  <c r="P8" i="1"/>
  <c r="Q8" i="1"/>
  <c r="R8" i="1"/>
  <c r="S8" i="1"/>
  <c r="T8" i="1"/>
  <c r="U8" i="1"/>
  <c r="V8" i="1"/>
  <c r="W8" i="1"/>
  <c r="X8" i="1"/>
  <c r="Y8" i="1"/>
  <c r="Z8" i="1"/>
  <c r="AA8" i="1"/>
  <c r="H9" i="1"/>
  <c r="C9" i="1" s="1"/>
  <c r="I9" i="1"/>
  <c r="I18" i="1" s="1"/>
  <c r="I20" i="1" s="1"/>
  <c r="H10" i="1"/>
  <c r="C10" i="1" s="1"/>
  <c r="I10" i="1"/>
  <c r="Q10" i="1"/>
  <c r="H11" i="1"/>
  <c r="C11" i="1" s="1"/>
  <c r="I11" i="1"/>
  <c r="I28" i="1" s="1"/>
  <c r="J11" i="1"/>
  <c r="J28" i="1" s="1"/>
  <c r="K11" i="1"/>
  <c r="L11" i="1"/>
  <c r="L28" i="1" s="1"/>
  <c r="M11" i="1"/>
  <c r="N11" i="1"/>
  <c r="O11" i="1"/>
  <c r="P11" i="1"/>
  <c r="P28" i="1" s="1"/>
  <c r="P30" i="1" s="1"/>
  <c r="Q11" i="1"/>
  <c r="Q28" i="1" s="1"/>
  <c r="R11" i="1"/>
  <c r="R28" i="1" s="1"/>
  <c r="S11" i="1"/>
  <c r="T11" i="1"/>
  <c r="T28" i="1" s="1"/>
  <c r="U11" i="1"/>
  <c r="V11" i="1"/>
  <c r="W11" i="1"/>
  <c r="X11" i="1"/>
  <c r="X28" i="1" s="1"/>
  <c r="X30" i="1" s="1"/>
  <c r="Y11" i="1"/>
  <c r="Y28" i="1" s="1"/>
  <c r="Z11" i="1"/>
  <c r="Z28" i="1" s="1"/>
  <c r="AA11" i="1"/>
  <c r="H12" i="1"/>
  <c r="I12" i="1"/>
  <c r="J12" i="1"/>
  <c r="K12" i="1"/>
  <c r="L12" i="1"/>
  <c r="M12" i="1"/>
  <c r="N12" i="1"/>
  <c r="O12" i="1"/>
  <c r="P12" i="1"/>
  <c r="Q12" i="1"/>
  <c r="R12" i="1"/>
  <c r="S12" i="1"/>
  <c r="T12" i="1"/>
  <c r="T18" i="1" s="1"/>
  <c r="U12" i="1"/>
  <c r="V12" i="1"/>
  <c r="W12" i="1"/>
  <c r="X12" i="1"/>
  <c r="Y12" i="1"/>
  <c r="Z12" i="1"/>
  <c r="AA12" i="1"/>
  <c r="H13" i="1"/>
  <c r="C13" i="1" s="1"/>
  <c r="I13" i="1"/>
  <c r="J13" i="1"/>
  <c r="K13" i="1"/>
  <c r="K18" i="1" s="1"/>
  <c r="L13" i="1"/>
  <c r="M13" i="1"/>
  <c r="N13" i="1"/>
  <c r="O13" i="1"/>
  <c r="O18" i="1" s="1"/>
  <c r="P13" i="1"/>
  <c r="P18" i="1" s="1"/>
  <c r="Q13" i="1"/>
  <c r="R13" i="1"/>
  <c r="S13" i="1"/>
  <c r="S18" i="1" s="1"/>
  <c r="T13" i="1"/>
  <c r="U13" i="1"/>
  <c r="V13" i="1"/>
  <c r="W13" i="1"/>
  <c r="W18" i="1" s="1"/>
  <c r="X13" i="1"/>
  <c r="X18" i="1" s="1"/>
  <c r="Y13" i="1"/>
  <c r="Z13" i="1"/>
  <c r="AA13" i="1"/>
  <c r="AA18" i="1" s="1"/>
  <c r="H14" i="1"/>
  <c r="I14" i="1"/>
  <c r="J14" i="1"/>
  <c r="K14" i="1"/>
  <c r="L14" i="1"/>
  <c r="L18" i="1" s="1"/>
  <c r="M14" i="1"/>
  <c r="M18" i="1" s="1"/>
  <c r="N14" i="1"/>
  <c r="O14" i="1"/>
  <c r="P14" i="1"/>
  <c r="Q14" i="1"/>
  <c r="R14" i="1"/>
  <c r="S14" i="1"/>
  <c r="T14" i="1"/>
  <c r="U14" i="1"/>
  <c r="U18" i="1" s="1"/>
  <c r="V14" i="1"/>
  <c r="W14" i="1"/>
  <c r="X14" i="1"/>
  <c r="Y14" i="1"/>
  <c r="Z14" i="1"/>
  <c r="AA14" i="1"/>
  <c r="J15" i="1"/>
  <c r="K15" i="1"/>
  <c r="L15" i="1"/>
  <c r="H16" i="1"/>
  <c r="I16" i="1"/>
  <c r="J16" i="1"/>
  <c r="K16" i="1"/>
  <c r="L16" i="1"/>
  <c r="N18" i="1"/>
  <c r="V18" i="1"/>
  <c r="H19" i="1"/>
  <c r="I19" i="1"/>
  <c r="J19" i="1"/>
  <c r="K19" i="1" s="1"/>
  <c r="L19" i="1" s="1"/>
  <c r="M19" i="1" s="1"/>
  <c r="N19" i="1" s="1"/>
  <c r="O19" i="1" s="1"/>
  <c r="P19" i="1" s="1"/>
  <c r="Q19" i="1" s="1"/>
  <c r="R19" i="1" s="1"/>
  <c r="S19" i="1" s="1"/>
  <c r="T19" i="1" s="1"/>
  <c r="U19" i="1" s="1"/>
  <c r="V19" i="1" s="1"/>
  <c r="W19" i="1" s="1"/>
  <c r="X19" i="1" s="1"/>
  <c r="Y19" i="1" s="1"/>
  <c r="Z19" i="1" s="1"/>
  <c r="AA19" i="1" s="1"/>
  <c r="H23" i="1"/>
  <c r="I23" i="1"/>
  <c r="J23" i="1"/>
  <c r="K23" i="1"/>
  <c r="L23" i="1"/>
  <c r="M23" i="1"/>
  <c r="M30" i="1" s="1"/>
  <c r="N23" i="1"/>
  <c r="N30" i="1" s="1"/>
  <c r="O23" i="1"/>
  <c r="O30" i="1" s="1"/>
  <c r="P23" i="1"/>
  <c r="Q23" i="1"/>
  <c r="R23" i="1"/>
  <c r="S23" i="1"/>
  <c r="T23" i="1"/>
  <c r="U23" i="1"/>
  <c r="U30" i="1" s="1"/>
  <c r="V23" i="1"/>
  <c r="V30" i="1" s="1"/>
  <c r="W23" i="1"/>
  <c r="W30" i="1" s="1"/>
  <c r="X23" i="1"/>
  <c r="Y23" i="1"/>
  <c r="Z23" i="1"/>
  <c r="AA23" i="1"/>
  <c r="H24" i="1"/>
  <c r="C24" i="1" s="1"/>
  <c r="I24" i="1"/>
  <c r="J24" i="1"/>
  <c r="K24" i="1"/>
  <c r="L24" i="1"/>
  <c r="M24" i="1"/>
  <c r="N24" i="1"/>
  <c r="O24" i="1"/>
  <c r="P24" i="1"/>
  <c r="Q24" i="1"/>
  <c r="R24" i="1"/>
  <c r="S24" i="1"/>
  <c r="T24" i="1"/>
  <c r="U24" i="1"/>
  <c r="V24" i="1"/>
  <c r="W24" i="1"/>
  <c r="X24" i="1"/>
  <c r="Y24" i="1"/>
  <c r="Z24" i="1"/>
  <c r="AA24" i="1"/>
  <c r="H25" i="1"/>
  <c r="I25" i="1"/>
  <c r="J25" i="1"/>
  <c r="K25" i="1"/>
  <c r="L25" i="1"/>
  <c r="C25" i="1" s="1"/>
  <c r="M25" i="1"/>
  <c r="N25" i="1"/>
  <c r="O25" i="1"/>
  <c r="P25" i="1"/>
  <c r="Q25" i="1"/>
  <c r="R25" i="1"/>
  <c r="S25" i="1"/>
  <c r="T25" i="1"/>
  <c r="U25" i="1"/>
  <c r="V25" i="1"/>
  <c r="W25" i="1"/>
  <c r="X25" i="1"/>
  <c r="Y25" i="1"/>
  <c r="Z25" i="1"/>
  <c r="AA25" i="1"/>
  <c r="H26" i="1"/>
  <c r="C26" i="1" s="1"/>
  <c r="I26" i="1"/>
  <c r="J26" i="1"/>
  <c r="K26" i="1"/>
  <c r="L26" i="1"/>
  <c r="M26" i="1"/>
  <c r="N26" i="1"/>
  <c r="O26" i="1"/>
  <c r="P26" i="1"/>
  <c r="Q26" i="1"/>
  <c r="R26" i="1"/>
  <c r="S26" i="1"/>
  <c r="T26" i="1"/>
  <c r="U26" i="1"/>
  <c r="V26" i="1"/>
  <c r="W26" i="1"/>
  <c r="X26" i="1"/>
  <c r="Y26" i="1"/>
  <c r="Z26" i="1"/>
  <c r="AA26" i="1"/>
  <c r="H27" i="1"/>
  <c r="C27" i="1" s="1"/>
  <c r="I27" i="1"/>
  <c r="J27" i="1"/>
  <c r="K27" i="1"/>
  <c r="L27" i="1"/>
  <c r="M27" i="1"/>
  <c r="N27" i="1"/>
  <c r="O27" i="1"/>
  <c r="P27" i="1"/>
  <c r="Q27" i="1"/>
  <c r="R27" i="1"/>
  <c r="S27" i="1"/>
  <c r="T27" i="1"/>
  <c r="U27" i="1"/>
  <c r="V27" i="1"/>
  <c r="W27" i="1"/>
  <c r="X27" i="1"/>
  <c r="Y27" i="1"/>
  <c r="Z27" i="1"/>
  <c r="AA27" i="1"/>
  <c r="M28" i="1"/>
  <c r="N28" i="1"/>
  <c r="O28" i="1"/>
  <c r="U28" i="1"/>
  <c r="V28" i="1"/>
  <c r="W28" i="1"/>
  <c r="G30" i="1"/>
  <c r="G32" i="1" s="1"/>
  <c r="H31" i="1"/>
  <c r="I31" i="1"/>
  <c r="J31" i="1"/>
  <c r="K31" i="1"/>
  <c r="L31" i="1"/>
  <c r="M31" i="1" s="1"/>
  <c r="N31" i="1" s="1"/>
  <c r="O31" i="1" s="1"/>
  <c r="P31" i="1" s="1"/>
  <c r="Q31" i="1" s="1"/>
  <c r="R31" i="1" s="1"/>
  <c r="S31" i="1" s="1"/>
  <c r="T31" i="1" s="1"/>
  <c r="U31" i="1" s="1"/>
  <c r="V31" i="1" s="1"/>
  <c r="W31" i="1" s="1"/>
  <c r="X31" i="1" s="1"/>
  <c r="Y31" i="1" s="1"/>
  <c r="Z31" i="1" s="1"/>
  <c r="AA31" i="1" s="1"/>
  <c r="T3" i="2"/>
  <c r="T13" i="2" s="1"/>
  <c r="W3" i="2"/>
  <c r="X3" i="2"/>
  <c r="X13" i="2" s="1"/>
  <c r="AE3" i="2"/>
  <c r="AE13" i="2" s="1"/>
  <c r="C112" i="2" s="1"/>
  <c r="C113" i="2" s="1"/>
  <c r="W5" i="2"/>
  <c r="W6" i="2"/>
  <c r="AA6" i="2"/>
  <c r="W7" i="2"/>
  <c r="AE7" i="2"/>
  <c r="T8" i="2"/>
  <c r="W8" i="2"/>
  <c r="AE8" i="2"/>
  <c r="T9" i="2"/>
  <c r="W9" i="2"/>
  <c r="AA9" i="2"/>
  <c r="T10" i="2"/>
  <c r="X10" i="2"/>
  <c r="AE10" i="2"/>
  <c r="K11" i="2"/>
  <c r="T11" i="2"/>
  <c r="W11" i="2"/>
  <c r="AA11" i="2"/>
  <c r="V13" i="2"/>
  <c r="Y13" i="2"/>
  <c r="C74" i="2" s="1"/>
  <c r="C75" i="2" s="1"/>
  <c r="C76" i="2" s="1"/>
  <c r="C77" i="2" s="1"/>
  <c r="Z13" i="2"/>
  <c r="AB13" i="2"/>
  <c r="AC13" i="2"/>
  <c r="C86" i="2" s="1"/>
  <c r="C87" i="2" s="1"/>
  <c r="C88" i="2" s="1"/>
  <c r="AD13" i="2"/>
  <c r="C34" i="2"/>
  <c r="C35" i="2"/>
  <c r="C37" i="2"/>
  <c r="C40" i="2" s="1"/>
  <c r="C38" i="2"/>
  <c r="C41" i="2" s="1"/>
  <c r="C47" i="2"/>
  <c r="C48" i="2"/>
  <c r="C50" i="2"/>
  <c r="C51" i="2"/>
  <c r="C54" i="2" s="1"/>
  <c r="C53" i="2"/>
  <c r="C60" i="2"/>
  <c r="C61" i="2"/>
  <c r="C63" i="2"/>
  <c r="C64" i="2"/>
  <c r="C66" i="2"/>
  <c r="C70" i="2" s="1"/>
  <c r="C67" i="2"/>
  <c r="C81" i="2"/>
  <c r="C82" i="2"/>
  <c r="C83" i="2"/>
  <c r="C92" i="2"/>
  <c r="C93" i="2"/>
  <c r="C94" i="2"/>
  <c r="C101" i="2"/>
  <c r="C102" i="2"/>
  <c r="C103" i="2"/>
  <c r="C104" i="2"/>
  <c r="C105" i="2"/>
  <c r="C106" i="2"/>
  <c r="C107" i="2"/>
  <c r="C108" i="2"/>
  <c r="C44" i="2" l="1"/>
  <c r="Z30" i="1"/>
  <c r="Z32" i="1" s="1"/>
  <c r="R30" i="1"/>
  <c r="R32" i="1" s="1"/>
  <c r="J30" i="1"/>
  <c r="J32" i="1" s="1"/>
  <c r="V32" i="1"/>
  <c r="N32" i="1"/>
  <c r="AA20" i="1"/>
  <c r="S20" i="1"/>
  <c r="K20" i="1"/>
  <c r="W32" i="1"/>
  <c r="M32" i="1"/>
  <c r="O32" i="1"/>
  <c r="U32" i="1"/>
  <c r="C57" i="2"/>
  <c r="T30" i="1"/>
  <c r="T32" i="1" s="1"/>
  <c r="L30" i="1"/>
  <c r="L32" i="1" s="1"/>
  <c r="V20" i="1"/>
  <c r="U20" i="1"/>
  <c r="M20" i="1"/>
  <c r="N20" i="1"/>
  <c r="L20" i="1"/>
  <c r="P20" i="1"/>
  <c r="T20" i="1"/>
  <c r="X32" i="1"/>
  <c r="P32" i="1"/>
  <c r="X20" i="1"/>
  <c r="W20" i="1"/>
  <c r="O20" i="1"/>
  <c r="Y30" i="1"/>
  <c r="Y32" i="1" s="1"/>
  <c r="Q30" i="1"/>
  <c r="Q32" i="1" s="1"/>
  <c r="I30" i="1"/>
  <c r="I32" i="1" s="1"/>
  <c r="AA28" i="1"/>
  <c r="AA30" i="1" s="1"/>
  <c r="AA32" i="1" s="1"/>
  <c r="S28" i="1"/>
  <c r="S30" i="1" s="1"/>
  <c r="S32" i="1" s="1"/>
  <c r="K28" i="1"/>
  <c r="K30" i="1" s="1"/>
  <c r="Z18" i="1"/>
  <c r="Z20" i="1" s="1"/>
  <c r="R18" i="1"/>
  <c r="R20" i="1" s="1"/>
  <c r="J18" i="1"/>
  <c r="J20" i="1" s="1"/>
  <c r="C6" i="1"/>
  <c r="Y18" i="1"/>
  <c r="Y20" i="1" s="1"/>
  <c r="Q18" i="1"/>
  <c r="Q20" i="1" s="1"/>
  <c r="H18" i="1"/>
  <c r="H20" i="1" s="1"/>
  <c r="C23" i="1"/>
  <c r="H28" i="1"/>
  <c r="H30" i="1" s="1"/>
  <c r="H32" i="1" s="1"/>
  <c r="G18" i="1"/>
  <c r="AA29" i="1"/>
  <c r="K32" i="1" l="1"/>
  <c r="C30" i="1"/>
  <c r="C18" i="1"/>
  <c r="G20" i="1"/>
  <c r="G36" i="1" l="1"/>
  <c r="C20" i="1"/>
  <c r="C36" i="1" s="1"/>
  <c r="G35" i="1"/>
  <c r="C32" i="1"/>
  <c r="C35" i="1" s="1"/>
  <c r="C38" i="1" l="1"/>
  <c r="C39" i="1"/>
  <c r="G39" i="1"/>
  <c r="G38" i="1"/>
</calcChain>
</file>

<file path=xl/sharedStrings.xml><?xml version="1.0" encoding="utf-8"?>
<sst xmlns="http://schemas.openxmlformats.org/spreadsheetml/2006/main" count="292" uniqueCount="205">
  <si>
    <t>Saving on Kerosene oil</t>
  </si>
  <si>
    <t>Saving on batteries</t>
  </si>
  <si>
    <t>Total costs</t>
  </si>
  <si>
    <t>DF @ 12%</t>
  </si>
  <si>
    <t>Present value of costs</t>
  </si>
  <si>
    <t>Total benefits</t>
  </si>
  <si>
    <t>Present value of benefits</t>
  </si>
  <si>
    <t>Household</t>
  </si>
  <si>
    <t>Impact on w'load of males</t>
  </si>
  <si>
    <t>Impact on w'load of females</t>
  </si>
  <si>
    <t>Washing clothes</t>
  </si>
  <si>
    <t>Butter churning</t>
  </si>
  <si>
    <t>Activities now doing in evening not doing before</t>
  </si>
  <si>
    <t>Handicrafts</t>
  </si>
  <si>
    <t>Education</t>
  </si>
  <si>
    <t>Socialising</t>
  </si>
  <si>
    <t>Impact on Education of Children</t>
  </si>
  <si>
    <t>Fuels using before</t>
  </si>
  <si>
    <t>Cooking</t>
  </si>
  <si>
    <t>Heating</t>
  </si>
  <si>
    <t>Lighting</t>
  </si>
  <si>
    <t>Radio</t>
  </si>
  <si>
    <t>Fuels using today</t>
  </si>
  <si>
    <t>K. Oil</t>
  </si>
  <si>
    <t>Liquid Gas</t>
  </si>
  <si>
    <t>Quantities used 'today' per month</t>
  </si>
  <si>
    <t>Quantities used 'before' month</t>
  </si>
  <si>
    <t>Average size of bill per month</t>
  </si>
  <si>
    <t>No. of tube lights</t>
  </si>
  <si>
    <t>No. of Energy Savers</t>
  </si>
  <si>
    <t>Cost of wiring house</t>
  </si>
  <si>
    <t>When wired?</t>
  </si>
  <si>
    <t>What electrical appliances</t>
  </si>
  <si>
    <t>B. Churner</t>
  </si>
  <si>
    <t>Iron</t>
  </si>
  <si>
    <t>TV</t>
  </si>
  <si>
    <t>W. Machine</t>
  </si>
  <si>
    <t>Fan</t>
  </si>
  <si>
    <t>cutting wood</t>
  </si>
  <si>
    <t>more studying - more light</t>
  </si>
  <si>
    <t>wood</t>
  </si>
  <si>
    <t>wood/gas</t>
  </si>
  <si>
    <t>kerosene</t>
  </si>
  <si>
    <t>electricity</t>
  </si>
  <si>
    <t>cells</t>
  </si>
  <si>
    <t>More economical than other fuels?</t>
  </si>
  <si>
    <t>Yes</t>
  </si>
  <si>
    <t>No</t>
  </si>
  <si>
    <t>Other</t>
  </si>
  <si>
    <t>Reduced risk of theft (animals and humans</t>
  </si>
  <si>
    <t>Cleaning lanterns</t>
  </si>
  <si>
    <t>studying longer</t>
  </si>
  <si>
    <t>Advantages - handicrafts, studying</t>
  </si>
  <si>
    <t>no children</t>
  </si>
  <si>
    <t>Handicrafts and education</t>
  </si>
  <si>
    <t>playing games</t>
  </si>
  <si>
    <t>more homework - less strain on eyes</t>
  </si>
  <si>
    <t>H. rod</t>
  </si>
  <si>
    <t>education, reduced expend. On K. oil</t>
  </si>
  <si>
    <t>Ironing</t>
  </si>
  <si>
    <t>2-3 hours extra study time</t>
  </si>
  <si>
    <t>less kerosene use</t>
  </si>
  <si>
    <t>cell</t>
  </si>
  <si>
    <t>education, handicrafts</t>
  </si>
  <si>
    <t>Fridge</t>
  </si>
  <si>
    <t>Juicer</t>
  </si>
  <si>
    <t>AKRSP contribution</t>
  </si>
  <si>
    <t>Community contribution</t>
  </si>
  <si>
    <t>Construction:</t>
  </si>
  <si>
    <t>Cost of Tube lights</t>
  </si>
  <si>
    <t>Cost of Household Wiring</t>
  </si>
  <si>
    <t>Fuelwood (maunds)</t>
  </si>
  <si>
    <t>Battery (Rs. in year 2000 prices)</t>
  </si>
  <si>
    <t>Battery (in year 2000 prices)</t>
  </si>
  <si>
    <t>Liquid Gas (kg)</t>
  </si>
  <si>
    <t>Rs. 27 per kg???</t>
  </si>
  <si>
    <t>Rs. 60 per gallon</t>
  </si>
  <si>
    <t>4.5 litres in 1 gallon</t>
  </si>
  <si>
    <t>Analysis:</t>
  </si>
  <si>
    <t>No major impact on workload of men.</t>
  </si>
  <si>
    <t>(a) Workload:</t>
  </si>
  <si>
    <t>(b) How spending the evenings?</t>
  </si>
  <si>
    <t>Education/reading, socialising, listening to the radio, making handicrafts are all activities that they are now doing more of.</t>
  </si>
  <si>
    <t>© Impact on Education</t>
  </si>
  <si>
    <t>75% of households said that their children were spending longer hours studying during the evenings and that the strain on the eyes had reduced.</t>
  </si>
  <si>
    <t>(d) Fuel-use before</t>
  </si>
  <si>
    <t>Before the project 100% of households were using wood for cooking and heating. 100% of households were using kerosene oil for lighting and batteries for their radios.</t>
  </si>
  <si>
    <t>(e) Fuel-use after</t>
  </si>
  <si>
    <t>After the project 100% of households are still using wood for heating and cooking. Electricity has however totally replaced the use of kerosene oil (for lighting) and batteries (for radios.)</t>
  </si>
  <si>
    <t>(f) Fuel saving</t>
  </si>
  <si>
    <t>The use of kerosene oil has reduced:</t>
  </si>
  <si>
    <t>Average consumption per hh. per annum 'today':</t>
  </si>
  <si>
    <t>K. Oil (litres)</t>
  </si>
  <si>
    <t xml:space="preserve">Average consumption per hh. per annum before: </t>
  </si>
  <si>
    <t>Average cosumption p.a. for the whole village before</t>
  </si>
  <si>
    <t>Average cosumption p.a. for the whole village today</t>
  </si>
  <si>
    <t>Value of consumption p.a. for the whole village before</t>
  </si>
  <si>
    <t>Value of consumption p.a. for the whole village today</t>
  </si>
  <si>
    <t>Value of K. oil per gallon is Rs. 50</t>
  </si>
  <si>
    <t>Value of savings on K. oil p.a. for the village as a whole is</t>
  </si>
  <si>
    <t>The use of batteries</t>
  </si>
  <si>
    <t>Average cosumption (pairs) p.a. for the whole village before</t>
  </si>
  <si>
    <t>Average cosumption (pairs) p.a. for the whole village today</t>
  </si>
  <si>
    <t>Value of 1 pair of batteries is Rs. 18</t>
  </si>
  <si>
    <t>Value of savings on batteries p.a. for the village as a whole is</t>
  </si>
  <si>
    <t>The use of firewood</t>
  </si>
  <si>
    <t>Value of firewood per maund is Rs. 70</t>
  </si>
  <si>
    <t>Value of savings on firewood p.a. for the village as a whole is</t>
  </si>
  <si>
    <t xml:space="preserve">Average consumption (maunds) per hh. per annum before: </t>
  </si>
  <si>
    <t>Average consumption (maunds) per hh. per annum 'today':</t>
  </si>
  <si>
    <t>Average cosumption (maunds) p.a. for the whole village before</t>
  </si>
  <si>
    <t>Average cosumption (maunds) p.a. for the whole village today</t>
  </si>
  <si>
    <t>Use of Liquid Gas</t>
  </si>
  <si>
    <t>0 kg of gas used before the project</t>
  </si>
  <si>
    <t>Current average consumption per month per hh.</t>
  </si>
  <si>
    <t>Current average consumption per annum per hh.</t>
  </si>
  <si>
    <t>Current average consumption per annum for the village as a whole</t>
  </si>
  <si>
    <t>Value of consumption per annum for the village as a whole</t>
  </si>
  <si>
    <t>Rs. 35 per Kg of gas</t>
  </si>
  <si>
    <t>(g) Electricity bill</t>
  </si>
  <si>
    <t>Average size of bill per month per hh.</t>
  </si>
  <si>
    <t>Average size of bill per annum per hh.</t>
  </si>
  <si>
    <t>Average annual electricity bill for the whole village</t>
  </si>
  <si>
    <t>(h) Bulbs and tube lights</t>
  </si>
  <si>
    <t>Average no. of tube lights per hh</t>
  </si>
  <si>
    <t>Average no. of tube lights for the whole village</t>
  </si>
  <si>
    <t>Average no. of energy saving bulbs per hh</t>
  </si>
  <si>
    <t>Average no. of energy saving bulbs for the whole village</t>
  </si>
  <si>
    <t>Tube light costs Rs. 50 and has to be changed 6 times per annum.</t>
  </si>
  <si>
    <t>Average value of tube lights in the village as a whole p.a.</t>
  </si>
  <si>
    <t>Average value of energy saving bulbs in the village as a whole p.a.</t>
  </si>
  <si>
    <t>Energy saving bulbs cost Rs. 15 and has to be changed 1 times per annum.</t>
  </si>
  <si>
    <t>(I) More economical?</t>
  </si>
  <si>
    <t>100% of hh's said that it is more economical than using the previous sources of fuel.</t>
  </si>
  <si>
    <t>(j) Household appliances</t>
  </si>
  <si>
    <t>Butter churner</t>
  </si>
  <si>
    <t>Heating rod</t>
  </si>
  <si>
    <t>Washing machine</t>
  </si>
  <si>
    <t>(k) Wiring costs</t>
  </si>
  <si>
    <t>Average cost of wiring for the whole village</t>
  </si>
  <si>
    <t>Average cost of wiring per hh</t>
  </si>
  <si>
    <t>Cost of Energy Saving bulbs</t>
  </si>
  <si>
    <t>Regarding impact on women's time, time is reduced in activities including: washing of clothes, butter churning, cleaning lanterns</t>
  </si>
  <si>
    <t xml:space="preserve">Average consumption (pairs) per hh. per month before: </t>
  </si>
  <si>
    <t>Average consumption (pairs) per hh. per month 'today':</t>
  </si>
  <si>
    <t>Average connection charges per household equal Rs. 500. Assume half the households connected in year one and the remainder in year two.</t>
  </si>
  <si>
    <t>Average cost of wiring per household is Rs. 4297. Assume that wiring is done in the first two years after project construction</t>
  </si>
  <si>
    <t>NPV</t>
  </si>
  <si>
    <t xml:space="preserve">One pair batteries valued at Rs. 18. Average consumption per month per hh. before construction was 7.44 pairs. Average current consumption per month per hh. Is 0.78 pairs </t>
  </si>
  <si>
    <t>Present value of Benefits</t>
  </si>
  <si>
    <t>Present value of Costs</t>
  </si>
  <si>
    <t>B/C Ratio</t>
  </si>
  <si>
    <t>Each hh. now makes Rs. 300 per month profit from the sale of handicrafts</t>
  </si>
  <si>
    <t>Each hh. has an average of 4.22 energy-saving bulbs that have to be replaced every 1 month and cost Rs. 15</t>
  </si>
  <si>
    <t xml:space="preserve">Kerosene oil valued at Rs. 13 per liter. Average consumption p.a. per household before project was 164 litres. Current average consumption p.a. per household is 26 litres </t>
  </si>
  <si>
    <t>Value of time saved washing clothes</t>
  </si>
  <si>
    <t>Value of time saved butter churning</t>
  </si>
  <si>
    <t>20 hh's have access to butter churners: before spending 7 hours per week churning butter, now only spend 1 hours. Therefore time saving of 6 hours per week for these 20 hh's at Rs. 60 per day</t>
  </si>
  <si>
    <t>11 hh's have access to w. machines: before spending 14 hours per week washing, now only spend 4 hours. Therefore time saving of 10 hours per week for these 11 hh's at Rs. 60 per day</t>
  </si>
  <si>
    <t>Assumptions:</t>
  </si>
  <si>
    <t>Summation of costs and benefits over the period of analysis (20 years)</t>
  </si>
  <si>
    <t>Benefits:</t>
  </si>
  <si>
    <t>Costs:</t>
  </si>
  <si>
    <t>AKRSP contribution to construction</t>
  </si>
  <si>
    <t>Community contribution to construction</t>
  </si>
  <si>
    <t>Cost of household Wiring</t>
  </si>
  <si>
    <t>Cost of tube lights</t>
  </si>
  <si>
    <t>Cost of energy-saving bulbs</t>
  </si>
  <si>
    <t>Assumed maintenance costs for these studies = Rs. 55,200 p.a.. This includes Chowkidar (Rs. 12,00p.m.), Operator (Rs.1,800 p.m.), maintenance and large repairs and supplies (Rs.1,000 p.m.), and channel maintanance (Rs. 600 p.m.)</t>
  </si>
  <si>
    <t>This figure has been adjusted for this particular MHU i.e. no chowkidar, Operator receives Rs. 1,200 p.m.and large repairs average Rs. 1,500 p.m.</t>
  </si>
  <si>
    <t>Average electricity bill p.a. per household is Rs. 675. Average bill for the village as a whole p.a. is Rs. 675 * 30 households</t>
  </si>
  <si>
    <t>a</t>
  </si>
  <si>
    <t>b</t>
  </si>
  <si>
    <t>Major flood damage to power channel after year 10 costing Rs. 25,000</t>
  </si>
  <si>
    <t>Assume that community has to replace 5 poles after 10 years costing Rs. 500 per pole</t>
  </si>
  <si>
    <t>c</t>
  </si>
  <si>
    <t>d</t>
  </si>
  <si>
    <t>e</t>
  </si>
  <si>
    <t>f</t>
  </si>
  <si>
    <t>In year 7 there is refurbishment of turbine and generator - costs are Rs. 50,000</t>
  </si>
  <si>
    <t>25% of the houses need re-wiring at the cost of Rs (4297*30) in year 10</t>
  </si>
  <si>
    <t>Operation &amp; Maintenance costs</t>
  </si>
  <si>
    <t>Connection costs</t>
  </si>
  <si>
    <t>Profits from the sale of handicrafts attributed to Electricity</t>
  </si>
  <si>
    <t xml:space="preserve">Communtiy contribution was Rs. 21,780 in 1993. Equivalent to Rs. 21,780 in year 2000 prices. </t>
  </si>
  <si>
    <t xml:space="preserve">Cost-Benefit Analysis of a MHU </t>
  </si>
  <si>
    <t>S#</t>
  </si>
  <si>
    <t>Description</t>
  </si>
  <si>
    <t>Sensitivity tests:</t>
  </si>
  <si>
    <t>A damage to the head works in the year 10 costing Rs. 10,000</t>
  </si>
  <si>
    <t>Replacement of part of penstock pipe costing Rs. 5,000 after the year 10</t>
  </si>
  <si>
    <t>AKRSP contributed Rs. 240,000 in 1993. Equivalent to Rs. 240,000/0.4825 in year 2000 prices. This  cost also includes the supervision cost amounting to 5% of the total cost of the project.</t>
  </si>
  <si>
    <t>Each hh. has an average of 5.67 tube lights (the whole unit) that have to be replaced once a year at a cost of Rs 170.</t>
  </si>
  <si>
    <t>cost of tubelight unit replacement (excluding the bulb)</t>
  </si>
  <si>
    <t xml:space="preserve">The costs associated with recycling tubelights and bulbs is transportaiton and labour. Cost of transportation is Rs 1000 per year for two round trips and Rs 120 for the labour (2 days per year). </t>
  </si>
  <si>
    <t>The benefits associated with recycling is the scrap value of the bulbs and the tubelights at the rate of 10% of the actual values of the bulbs and tubes.</t>
  </si>
  <si>
    <t>cost of transportation and labour for recycling</t>
  </si>
  <si>
    <t>benefits from selling off the scrap (bulbs and tubes)</t>
  </si>
  <si>
    <t>The marke value of a butter churner is Rs. 700 per unit.</t>
  </si>
  <si>
    <t>The market value of washing machine is Rs. 3000 per unit.</t>
  </si>
  <si>
    <t>cost of 11 washing machines @ Rs 3000</t>
  </si>
  <si>
    <t>cost of 20 butter churners @ Rs 700</t>
  </si>
  <si>
    <t>cost of environmental clean up in year 2020</t>
  </si>
  <si>
    <t>scrap value (2% of total cost of the project)</t>
  </si>
  <si>
    <t>MICROHYDEL BEST CASE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</si>
</sst>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8" formatCode="0.00000"/>
    <numFmt numFmtId="179" formatCode="0.000"/>
    <numFmt numFmtId="180" formatCode="#,##0.0000"/>
  </numFmts>
  <fonts count="9" x14ac:knownFonts="1">
    <font>
      <sz val="10"/>
      <name val="Arial"/>
    </font>
    <font>
      <b/>
      <sz val="10"/>
      <name val="Arial"/>
      <family val="2"/>
    </font>
    <font>
      <sz val="10"/>
      <name val="Arial"/>
      <family val="2"/>
    </font>
    <font>
      <b/>
      <sz val="12"/>
      <name val="Arial"/>
      <family val="2"/>
    </font>
    <font>
      <b/>
      <sz val="14"/>
      <name val="Arial"/>
      <family val="2"/>
    </font>
    <font>
      <sz val="10"/>
      <color indexed="10"/>
      <name val="Arial"/>
      <family val="2"/>
    </font>
    <font>
      <sz val="10"/>
      <color indexed="12"/>
      <name val="Arial"/>
      <family val="2"/>
    </font>
    <font>
      <b/>
      <sz val="10"/>
      <color indexed="8"/>
      <name val="Arial"/>
      <family val="2"/>
    </font>
    <font>
      <b/>
      <sz val="14"/>
      <color indexed="10"/>
      <name val="Arial"/>
      <family val="2"/>
    </font>
  </fonts>
  <fills count="6">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18"/>
        <bgColor indexed="64"/>
      </patternFill>
    </fill>
    <fill>
      <patternFill patternType="solid">
        <fgColor indexed="3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0">
    <xf numFmtId="0" fontId="0" fillId="0" borderId="0" xfId="0"/>
    <xf numFmtId="0" fontId="1" fillId="2" borderId="1" xfId="0" applyFont="1" applyFill="1" applyBorder="1"/>
    <xf numFmtId="0" fontId="1" fillId="0" borderId="1" xfId="0" applyFont="1" applyBorder="1"/>
    <xf numFmtId="0" fontId="0" fillId="2" borderId="1" xfId="0" applyFill="1" applyBorder="1"/>
    <xf numFmtId="0" fontId="0" fillId="0" borderId="1" xfId="0" applyBorder="1"/>
    <xf numFmtId="0" fontId="2" fillId="2" borderId="1" xfId="0" applyFont="1" applyFill="1" applyBorder="1"/>
    <xf numFmtId="0" fontId="2" fillId="0" borderId="1" xfId="0" applyFont="1" applyBorder="1"/>
    <xf numFmtId="1" fontId="1" fillId="2" borderId="1" xfId="0" applyNumberFormat="1" applyFont="1" applyFill="1" applyBorder="1"/>
    <xf numFmtId="1" fontId="2" fillId="2" borderId="1" xfId="0" applyNumberFormat="1" applyFont="1" applyFill="1" applyBorder="1"/>
    <xf numFmtId="1" fontId="0" fillId="2" borderId="1" xfId="0" applyNumberFormat="1" applyFill="1" applyBorder="1"/>
    <xf numFmtId="2" fontId="1" fillId="2" borderId="1" xfId="0" applyNumberFormat="1" applyFont="1" applyFill="1" applyBorder="1"/>
    <xf numFmtId="2" fontId="2" fillId="2" borderId="1" xfId="0" applyNumberFormat="1" applyFont="1" applyFill="1" applyBorder="1"/>
    <xf numFmtId="2" fontId="0" fillId="2" borderId="1" xfId="0" applyNumberFormat="1" applyFill="1" applyBorder="1"/>
    <xf numFmtId="0" fontId="0" fillId="0" borderId="1" xfId="0" applyFill="1" applyBorder="1"/>
    <xf numFmtId="1" fontId="0" fillId="0" borderId="1" xfId="0" applyNumberFormat="1" applyBorder="1" applyAlignment="1">
      <alignment horizontal="center"/>
    </xf>
    <xf numFmtId="1" fontId="1" fillId="0" borderId="1" xfId="0" applyNumberFormat="1" applyFont="1" applyBorder="1" applyAlignment="1">
      <alignment horizontal="left"/>
    </xf>
    <xf numFmtId="1" fontId="0" fillId="0" borderId="1" xfId="0" applyNumberFormat="1" applyBorder="1" applyAlignment="1">
      <alignment horizontal="left"/>
    </xf>
    <xf numFmtId="1" fontId="0" fillId="3" borderId="1" xfId="0" applyNumberFormat="1" applyFill="1" applyBorder="1" applyAlignment="1">
      <alignment horizontal="center"/>
    </xf>
    <xf numFmtId="1" fontId="1" fillId="3" borderId="1" xfId="0" applyNumberFormat="1" applyFont="1" applyFill="1" applyBorder="1" applyAlignment="1">
      <alignment horizontal="center"/>
    </xf>
    <xf numFmtId="178" fontId="0" fillId="3" borderId="1" xfId="0" applyNumberFormat="1" applyFill="1" applyBorder="1" applyAlignment="1">
      <alignment horizontal="center"/>
    </xf>
    <xf numFmtId="179" fontId="0" fillId="3" borderId="1" xfId="0" applyNumberFormat="1" applyFill="1" applyBorder="1" applyAlignment="1">
      <alignment horizontal="center"/>
    </xf>
    <xf numFmtId="1" fontId="0" fillId="4" borderId="1" xfId="0" applyNumberFormat="1" applyFill="1" applyBorder="1" applyAlignment="1">
      <alignment horizontal="center"/>
    </xf>
    <xf numFmtId="178" fontId="0" fillId="4" borderId="1" xfId="0" applyNumberFormat="1" applyFill="1" applyBorder="1" applyAlignment="1">
      <alignment horizontal="center"/>
    </xf>
    <xf numFmtId="3" fontId="0" fillId="0" borderId="1" xfId="0" applyNumberFormat="1" applyBorder="1" applyAlignment="1">
      <alignment horizontal="center"/>
    </xf>
    <xf numFmtId="1" fontId="0" fillId="0" borderId="1" xfId="0" applyNumberFormat="1" applyFill="1" applyBorder="1" applyAlignment="1">
      <alignment horizontal="center"/>
    </xf>
    <xf numFmtId="3" fontId="0" fillId="0" borderId="1" xfId="0" applyNumberFormat="1" applyFill="1" applyBorder="1" applyAlignment="1">
      <alignment horizontal="center"/>
    </xf>
    <xf numFmtId="3" fontId="1" fillId="0" borderId="1" xfId="0" applyNumberFormat="1" applyFont="1" applyFill="1" applyBorder="1" applyAlignment="1">
      <alignment horizontal="center"/>
    </xf>
    <xf numFmtId="1" fontId="1" fillId="0" borderId="1" xfId="0" applyNumberFormat="1" applyFont="1" applyFill="1" applyBorder="1" applyAlignment="1">
      <alignment horizontal="left"/>
    </xf>
    <xf numFmtId="178" fontId="0" fillId="0" borderId="1" xfId="0" applyNumberFormat="1" applyFill="1" applyBorder="1" applyAlignment="1">
      <alignment horizontal="center"/>
    </xf>
    <xf numFmtId="1" fontId="1" fillId="0" borderId="1" xfId="0" applyNumberFormat="1" applyFont="1" applyFill="1" applyBorder="1" applyAlignment="1">
      <alignment horizontal="center"/>
    </xf>
    <xf numFmtId="3" fontId="3" fillId="0" borderId="1" xfId="0" applyNumberFormat="1" applyFont="1" applyFill="1" applyBorder="1" applyAlignment="1">
      <alignment horizontal="center"/>
    </xf>
    <xf numFmtId="1" fontId="3" fillId="0" borderId="1" xfId="0" applyNumberFormat="1" applyFont="1" applyFill="1" applyBorder="1" applyAlignment="1">
      <alignment horizontal="left"/>
    </xf>
    <xf numFmtId="178" fontId="1" fillId="0" borderId="1" xfId="0" applyNumberFormat="1" applyFont="1" applyFill="1" applyBorder="1" applyAlignment="1">
      <alignment horizontal="center"/>
    </xf>
    <xf numFmtId="1" fontId="1" fillId="2" borderId="1" xfId="0" applyNumberFormat="1" applyFont="1" applyFill="1" applyBorder="1" applyAlignment="1">
      <alignment horizontal="center"/>
    </xf>
    <xf numFmtId="3" fontId="1" fillId="2" borderId="1" xfId="0" applyNumberFormat="1" applyFont="1" applyFill="1" applyBorder="1" applyAlignment="1">
      <alignment horizontal="center"/>
    </xf>
    <xf numFmtId="1" fontId="5" fillId="0" borderId="1" xfId="0" applyNumberFormat="1" applyFont="1" applyFill="1" applyBorder="1" applyAlignment="1">
      <alignment horizontal="center"/>
    </xf>
    <xf numFmtId="1" fontId="2" fillId="0" borderId="1" xfId="0" applyNumberFormat="1" applyFont="1" applyFill="1" applyBorder="1" applyAlignment="1">
      <alignment horizontal="center"/>
    </xf>
    <xf numFmtId="1" fontId="4" fillId="0" borderId="1" xfId="0" applyNumberFormat="1" applyFont="1" applyBorder="1" applyAlignment="1">
      <alignment horizontal="center"/>
    </xf>
    <xf numFmtId="1" fontId="4" fillId="0" borderId="1" xfId="0" applyNumberFormat="1" applyFont="1" applyBorder="1" applyAlignment="1">
      <alignment horizontal="left"/>
    </xf>
    <xf numFmtId="3" fontId="4" fillId="0" borderId="1" xfId="0" applyNumberFormat="1" applyFont="1" applyBorder="1" applyAlignment="1">
      <alignment horizontal="center"/>
    </xf>
    <xf numFmtId="1" fontId="4" fillId="5" borderId="1" xfId="0" applyNumberFormat="1" applyFont="1" applyFill="1" applyBorder="1" applyAlignment="1">
      <alignment horizontal="left"/>
    </xf>
    <xf numFmtId="1" fontId="6" fillId="0" borderId="1" xfId="0" applyNumberFormat="1" applyFont="1" applyFill="1" applyBorder="1" applyAlignment="1">
      <alignment horizontal="center"/>
    </xf>
    <xf numFmtId="1" fontId="7" fillId="2" borderId="1" xfId="0" applyNumberFormat="1" applyFont="1" applyFill="1" applyBorder="1" applyAlignment="1">
      <alignment horizontal="center"/>
    </xf>
    <xf numFmtId="1" fontId="0" fillId="4" borderId="2" xfId="0" applyNumberFormat="1" applyFill="1" applyBorder="1" applyAlignment="1">
      <alignment horizontal="center"/>
    </xf>
    <xf numFmtId="1" fontId="4" fillId="4" borderId="2" xfId="0" applyNumberFormat="1" applyFont="1" applyFill="1" applyBorder="1" applyAlignment="1">
      <alignment horizontal="center"/>
    </xf>
    <xf numFmtId="1" fontId="0" fillId="0" borderId="3" xfId="0" applyNumberFormat="1" applyBorder="1" applyAlignment="1">
      <alignment horizontal="center"/>
    </xf>
    <xf numFmtId="1" fontId="0" fillId="0" borderId="0" xfId="0" applyNumberFormat="1" applyBorder="1" applyAlignment="1">
      <alignment horizontal="center"/>
    </xf>
    <xf numFmtId="1" fontId="4" fillId="0" borderId="0" xfId="0" applyNumberFormat="1" applyFont="1" applyBorder="1" applyAlignment="1">
      <alignment horizontal="center"/>
    </xf>
    <xf numFmtId="1" fontId="4" fillId="0" borderId="0" xfId="0" applyNumberFormat="1" applyFont="1" applyBorder="1" applyAlignment="1">
      <alignment horizontal="left"/>
    </xf>
    <xf numFmtId="1" fontId="0" fillId="0" borderId="0" xfId="0" applyNumberFormat="1" applyBorder="1" applyAlignment="1">
      <alignment horizontal="left"/>
    </xf>
    <xf numFmtId="1" fontId="0" fillId="0" borderId="4" xfId="0" applyNumberFormat="1" applyBorder="1" applyAlignment="1">
      <alignment horizontal="center"/>
    </xf>
    <xf numFmtId="1" fontId="1" fillId="3" borderId="4" xfId="0" applyNumberFormat="1" applyFont="1" applyFill="1" applyBorder="1" applyAlignment="1">
      <alignment horizontal="center"/>
    </xf>
    <xf numFmtId="1" fontId="0" fillId="3" borderId="4" xfId="0" applyNumberFormat="1" applyFill="1" applyBorder="1" applyAlignment="1">
      <alignment horizontal="center"/>
    </xf>
    <xf numFmtId="1" fontId="8" fillId="0" borderId="1" xfId="0" applyNumberFormat="1" applyFont="1" applyBorder="1" applyAlignment="1">
      <alignment horizontal="left"/>
    </xf>
    <xf numFmtId="1" fontId="3" fillId="0" borderId="1" xfId="0" applyNumberFormat="1" applyFont="1" applyBorder="1" applyAlignment="1">
      <alignment horizontal="center"/>
    </xf>
    <xf numFmtId="1" fontId="3" fillId="0" borderId="1" xfId="0" applyNumberFormat="1" applyFont="1" applyBorder="1" applyAlignment="1">
      <alignment horizontal="justify"/>
    </xf>
    <xf numFmtId="1" fontId="3" fillId="0" borderId="1" xfId="0" applyNumberFormat="1" applyFont="1" applyBorder="1" applyAlignment="1">
      <alignment horizontal="left"/>
    </xf>
    <xf numFmtId="3" fontId="3" fillId="0" borderId="1" xfId="0" applyNumberFormat="1" applyFont="1" applyBorder="1" applyAlignment="1">
      <alignment horizontal="center"/>
    </xf>
    <xf numFmtId="1" fontId="3" fillId="4" borderId="2" xfId="0" applyNumberFormat="1" applyFont="1" applyFill="1" applyBorder="1" applyAlignment="1">
      <alignment horizontal="center"/>
    </xf>
    <xf numFmtId="1" fontId="3" fillId="0" borderId="0" xfId="0" applyNumberFormat="1" applyFont="1" applyBorder="1" applyAlignment="1">
      <alignment horizontal="center"/>
    </xf>
    <xf numFmtId="1" fontId="3" fillId="0" borderId="0" xfId="0" applyNumberFormat="1" applyFont="1" applyBorder="1" applyAlignment="1">
      <alignment horizontal="left"/>
    </xf>
    <xf numFmtId="180" fontId="1" fillId="2" borderId="1" xfId="0" applyNumberFormat="1" applyFont="1" applyFill="1" applyBorder="1" applyAlignment="1">
      <alignment horizontal="center"/>
    </xf>
    <xf numFmtId="0" fontId="1" fillId="0" borderId="2"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2" borderId="2"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2" fontId="1" fillId="2" borderId="1" xfId="0" applyNumberFormat="1" applyFont="1" applyFill="1" applyBorder="1" applyAlignment="1">
      <alignment horizontal="center"/>
    </xf>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31435027843526"/>
          <c:y val="0.12547913633067309"/>
          <c:w val="0.8014954301175029"/>
          <c:h val="0.53233572988770406"/>
        </c:manualLayout>
      </c:layout>
      <c:lineChart>
        <c:grouping val="standard"/>
        <c:varyColors val="0"/>
        <c:ser>
          <c:idx val="0"/>
          <c:order val="0"/>
          <c:tx>
            <c:v>PV of costs</c:v>
          </c:tx>
          <c:spPr>
            <a:ln w="12700">
              <a:solidFill>
                <a:srgbClr val="000080"/>
              </a:solidFill>
              <a:prstDash val="solid"/>
            </a:ln>
          </c:spPr>
          <c:marker>
            <c:symbol val="diamond"/>
            <c:size val="5"/>
            <c:spPr>
              <a:solidFill>
                <a:srgbClr val="000080"/>
              </a:solidFill>
              <a:ln>
                <a:solidFill>
                  <a:srgbClr val="000080"/>
                </a:solidFill>
                <a:prstDash val="solid"/>
              </a:ln>
            </c:spPr>
          </c:marker>
          <c:val>
            <c:numRef>
              <c:f>CBA!$G$20:$AA$20</c:f>
              <c:numCache>
                <c:formatCode>0</c:formatCode>
                <c:ptCount val="21"/>
                <c:pt idx="0">
                  <c:v>542549.22279792745</c:v>
                </c:pt>
                <c:pt idx="1">
                  <c:v>187493.75</c:v>
                </c:pt>
                <c:pt idx="2">
                  <c:v>166847.09821428571</c:v>
                </c:pt>
                <c:pt idx="3">
                  <c:v>105156.99025145771</c:v>
                </c:pt>
                <c:pt idx="4">
                  <c:v>98148.140992685323</c:v>
                </c:pt>
                <c:pt idx="5">
                  <c:v>82638.912413145372</c:v>
                </c:pt>
                <c:pt idx="6">
                  <c:v>68515.779565778503</c:v>
                </c:pt>
                <c:pt idx="7">
                  <c:v>61174.803183730808</c:v>
                </c:pt>
                <c:pt idx="8">
                  <c:v>54620.35998547393</c:v>
                </c:pt>
                <c:pt idx="9">
                  <c:v>48768.178558458865</c:v>
                </c:pt>
                <c:pt idx="10">
                  <c:v>83648.807852881131</c:v>
                </c:pt>
                <c:pt idx="11">
                  <c:v>38877.693366118343</c:v>
                </c:pt>
                <c:pt idx="12">
                  <c:v>34712.226219748525</c:v>
                </c:pt>
                <c:pt idx="13">
                  <c:v>30993.059124775467</c:v>
                </c:pt>
                <c:pt idx="14">
                  <c:v>27672.374218549521</c:v>
                </c:pt>
                <c:pt idx="15">
                  <c:v>24707.476980847783</c:v>
                </c:pt>
                <c:pt idx="16">
                  <c:v>22060.247304328379</c:v>
                </c:pt>
                <c:pt idx="17">
                  <c:v>19696.649378864622</c:v>
                </c:pt>
                <c:pt idx="18">
                  <c:v>17586.294088271981</c:v>
                </c:pt>
                <c:pt idx="19">
                  <c:v>15702.048293099982</c:v>
                </c:pt>
                <c:pt idx="20">
                  <c:v>19644.118258432405</c:v>
                </c:pt>
              </c:numCache>
            </c:numRef>
          </c:val>
          <c:smooth val="0"/>
          <c:extLst>
            <c:ext xmlns:c16="http://schemas.microsoft.com/office/drawing/2014/chart" uri="{C3380CC4-5D6E-409C-BE32-E72D297353CC}">
              <c16:uniqueId val="{00000000-5FD7-467F-A8FC-F43E80005DBB}"/>
            </c:ext>
          </c:extLst>
        </c:ser>
        <c:ser>
          <c:idx val="12"/>
          <c:order val="1"/>
          <c:tx>
            <c:v>PV of benefits</c:v>
          </c:tx>
          <c:spPr>
            <a:ln w="12700">
              <a:solidFill>
                <a:srgbClr val="99CCFF"/>
              </a:solidFill>
              <a:prstDash val="solid"/>
            </a:ln>
          </c:spPr>
          <c:marker>
            <c:symbol val="x"/>
            <c:size val="5"/>
            <c:spPr>
              <a:noFill/>
              <a:ln>
                <a:solidFill>
                  <a:srgbClr val="99CCFF"/>
                </a:solidFill>
                <a:prstDash val="solid"/>
              </a:ln>
            </c:spPr>
          </c:marker>
          <c:val>
            <c:numRef>
              <c:f>CBA!$G$32:$AA$32</c:f>
              <c:numCache>
                <c:formatCode>0</c:formatCode>
                <c:ptCount val="21"/>
                <c:pt idx="0">
                  <c:v>0</c:v>
                </c:pt>
                <c:pt idx="1">
                  <c:v>269695.17857142852</c:v>
                </c:pt>
                <c:pt idx="2">
                  <c:v>240799.2665816326</c:v>
                </c:pt>
                <c:pt idx="3">
                  <c:v>214999.34516217196</c:v>
                </c:pt>
                <c:pt idx="4">
                  <c:v>191963.70103765355</c:v>
                </c:pt>
                <c:pt idx="5">
                  <c:v>171396.16164076209</c:v>
                </c:pt>
                <c:pt idx="6">
                  <c:v>153032.28717925187</c:v>
                </c:pt>
                <c:pt idx="7">
                  <c:v>136635.97069576057</c:v>
                </c:pt>
                <c:pt idx="8">
                  <c:v>121996.40240692908</c:v>
                </c:pt>
                <c:pt idx="9">
                  <c:v>108925.35929190095</c:v>
                </c:pt>
                <c:pt idx="10">
                  <c:v>97254.785082054412</c:v>
                </c:pt>
                <c:pt idx="11">
                  <c:v>86834.629537548579</c:v>
                </c:pt>
                <c:pt idx="12">
                  <c:v>77530.919229954088</c:v>
                </c:pt>
                <c:pt idx="13">
                  <c:v>69224.035026744721</c:v>
                </c:pt>
                <c:pt idx="14">
                  <c:v>61807.17413102206</c:v>
                </c:pt>
                <c:pt idx="15">
                  <c:v>55184.976902698269</c:v>
                </c:pt>
                <c:pt idx="16">
                  <c:v>49272.300805980594</c:v>
                </c:pt>
                <c:pt idx="17">
                  <c:v>43993.125719625525</c:v>
                </c:pt>
                <c:pt idx="18">
                  <c:v>39279.576535379929</c:v>
                </c:pt>
                <c:pt idx="19">
                  <c:v>35071.050478017794</c:v>
                </c:pt>
                <c:pt idx="20">
                  <c:v>32438.324383291652</c:v>
                </c:pt>
              </c:numCache>
            </c:numRef>
          </c:val>
          <c:smooth val="0"/>
          <c:extLst>
            <c:ext xmlns:c16="http://schemas.microsoft.com/office/drawing/2014/chart" uri="{C3380CC4-5D6E-409C-BE32-E72D297353CC}">
              <c16:uniqueId val="{00000001-5FD7-467F-A8FC-F43E80005DBB}"/>
            </c:ext>
          </c:extLst>
        </c:ser>
        <c:dLbls>
          <c:showLegendKey val="0"/>
          <c:showVal val="0"/>
          <c:showCatName val="0"/>
          <c:showSerName val="0"/>
          <c:showPercent val="0"/>
          <c:showBubbleSize val="0"/>
        </c:dLbls>
        <c:marker val="1"/>
        <c:smooth val="0"/>
        <c:axId val="1192829520"/>
        <c:axId val="1"/>
      </c:lineChart>
      <c:catAx>
        <c:axId val="1192829520"/>
        <c:scaling>
          <c:orientation val="minMax"/>
        </c:scaling>
        <c:delete val="0"/>
        <c:axPos val="b"/>
        <c:numFmt formatCode="General" sourceLinked="1"/>
        <c:majorTickMark val="out"/>
        <c:minorTickMark val="none"/>
        <c:tickLblPos val="nextTo"/>
        <c:spPr>
          <a:ln w="3175">
            <a:solidFill>
              <a:srgbClr val="000000"/>
            </a:solidFill>
            <a:prstDash val="solid"/>
          </a:ln>
        </c:spPr>
        <c:txPr>
          <a:bodyPr rot="-120000" vert="horz"/>
          <a:lstStyle/>
          <a:p>
            <a:pPr>
              <a:defRPr sz="10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192829520"/>
        <c:crosses val="autoZero"/>
        <c:crossBetween val="between"/>
      </c:valAx>
      <c:spPr>
        <a:solidFill>
          <a:srgbClr val="C0C0C0"/>
        </a:solidFill>
        <a:ln w="12700">
          <a:solidFill>
            <a:srgbClr val="808080"/>
          </a:solidFill>
          <a:prstDash val="solid"/>
        </a:ln>
      </c:spPr>
    </c:plotArea>
    <c:legend>
      <c:legendPos val="b"/>
      <c:layout>
        <c:manualLayout>
          <c:xMode val="edge"/>
          <c:yMode val="edge"/>
          <c:x val="0.30147993242951943"/>
          <c:y val="0.85553956589095292"/>
          <c:w val="0.52207500493892389"/>
          <c:h val="0.10646714597754081"/>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27</xdr:col>
      <xdr:colOff>373380</xdr:colOff>
      <xdr:row>18</xdr:row>
      <xdr:rowOff>129540</xdr:rowOff>
    </xdr:from>
    <xdr:to>
      <xdr:col>34</xdr:col>
      <xdr:colOff>144780</xdr:colOff>
      <xdr:row>30</xdr:row>
      <xdr:rowOff>91440</xdr:rowOff>
    </xdr:to>
    <xdr:graphicFrame macro="">
      <xdr:nvGraphicFramePr>
        <xdr:cNvPr id="1026" name="Chart 2">
          <a:extLst>
            <a:ext uri="{FF2B5EF4-FFF2-40B4-BE49-F238E27FC236}">
              <a16:creationId xmlns:a16="http://schemas.microsoft.com/office/drawing/2014/main" id="{712B38AA-74EF-6AAC-7ADE-A0D623567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I99"/>
  <sheetViews>
    <sheetView tabSelected="1" topLeftCell="Y15" workbookViewId="0">
      <selection activeCell="AB17" sqref="AB17:AI31"/>
    </sheetView>
  </sheetViews>
  <sheetFormatPr defaultColWidth="9.109375" defaultRowHeight="13.2" x14ac:dyDescent="0.25"/>
  <cols>
    <col min="1" max="1" width="6" style="14" customWidth="1"/>
    <col min="2" max="2" width="108.44140625" style="14" customWidth="1"/>
    <col min="3" max="3" width="81.109375" style="23" customWidth="1"/>
    <col min="4" max="4" width="7" style="21" customWidth="1"/>
    <col min="5" max="5" width="5.6640625" style="14" customWidth="1"/>
    <col min="6" max="6" width="49" style="14" customWidth="1"/>
    <col min="7" max="8" width="16" style="14" customWidth="1"/>
    <col min="9" max="9" width="17.6640625" style="14" bestFit="1" customWidth="1"/>
    <col min="10" max="10" width="13.33203125" style="14" customWidth="1"/>
    <col min="11" max="11" width="16.44140625" style="14" customWidth="1"/>
    <col min="12" max="12" width="9.109375" style="14"/>
    <col min="13" max="13" width="12.6640625" style="14" customWidth="1"/>
    <col min="14" max="17" width="9.109375" style="14"/>
    <col min="18" max="18" width="10.109375" style="14" customWidth="1"/>
    <col min="19" max="16384" width="9.109375" style="14"/>
  </cols>
  <sheetData>
    <row r="1" spans="1:27" ht="17.399999999999999" x14ac:dyDescent="0.3">
      <c r="A1" s="24"/>
      <c r="B1" s="40" t="s">
        <v>185</v>
      </c>
      <c r="C1" s="25"/>
    </row>
    <row r="2" spans="1:27" ht="15.6" x14ac:dyDescent="0.3">
      <c r="A2" s="24"/>
      <c r="B2" s="24"/>
      <c r="C2" s="30" t="s">
        <v>160</v>
      </c>
      <c r="E2" s="42" t="s">
        <v>186</v>
      </c>
      <c r="F2" s="42" t="s">
        <v>187</v>
      </c>
      <c r="G2" s="42">
        <v>2000</v>
      </c>
      <c r="H2" s="42">
        <v>2001</v>
      </c>
      <c r="I2" s="42">
        <v>2002</v>
      </c>
      <c r="J2" s="42">
        <v>2003</v>
      </c>
      <c r="K2" s="42">
        <v>2004</v>
      </c>
      <c r="L2" s="42">
        <v>2005</v>
      </c>
      <c r="M2" s="42">
        <v>2006</v>
      </c>
      <c r="N2" s="42">
        <v>2007</v>
      </c>
      <c r="O2" s="42">
        <v>2008</v>
      </c>
      <c r="P2" s="42">
        <v>2009</v>
      </c>
      <c r="Q2" s="42">
        <v>2010</v>
      </c>
      <c r="R2" s="42">
        <v>2011</v>
      </c>
      <c r="S2" s="42">
        <v>2012</v>
      </c>
      <c r="T2" s="42">
        <v>2013</v>
      </c>
      <c r="U2" s="42">
        <v>2014</v>
      </c>
      <c r="V2" s="42">
        <v>2015</v>
      </c>
      <c r="W2" s="42">
        <v>2016</v>
      </c>
      <c r="X2" s="42">
        <v>2017</v>
      </c>
      <c r="Y2" s="42">
        <v>2018</v>
      </c>
      <c r="Z2" s="42">
        <v>2019</v>
      </c>
      <c r="AA2" s="42">
        <v>2020</v>
      </c>
    </row>
    <row r="3" spans="1:27" ht="15.6" x14ac:dyDescent="0.3">
      <c r="A3" s="24" t="s">
        <v>186</v>
      </c>
      <c r="B3" s="31" t="s">
        <v>162</v>
      </c>
      <c r="C3" s="25"/>
    </row>
    <row r="4" spans="1:27" x14ac:dyDescent="0.25">
      <c r="A4" s="24"/>
      <c r="B4" s="27"/>
      <c r="C4" s="25"/>
      <c r="F4" s="15" t="s">
        <v>68</v>
      </c>
    </row>
    <row r="5" spans="1:27" x14ac:dyDescent="0.25">
      <c r="A5" s="24">
        <v>1</v>
      </c>
      <c r="B5" s="41" t="s">
        <v>163</v>
      </c>
      <c r="C5" s="25">
        <f>SUM(G5:AA5)</f>
        <v>497409.32642487047</v>
      </c>
      <c r="E5" s="14">
        <v>1</v>
      </c>
      <c r="F5" s="14" t="s">
        <v>66</v>
      </c>
      <c r="G5" s="14">
        <f>240000/0.4825</f>
        <v>497409.32642487047</v>
      </c>
    </row>
    <row r="6" spans="1:27" x14ac:dyDescent="0.25">
      <c r="A6" s="24">
        <v>2</v>
      </c>
      <c r="B6" s="24" t="s">
        <v>164</v>
      </c>
      <c r="C6" s="25">
        <f t="shared" ref="C6:C32" si="0">SUM(G6:AA6)</f>
        <v>45139.896373056996</v>
      </c>
      <c r="E6" s="14">
        <v>2</v>
      </c>
      <c r="F6" s="14" t="s">
        <v>67</v>
      </c>
      <c r="G6" s="14">
        <f>21780/0.4825</f>
        <v>45139.896373056996</v>
      </c>
    </row>
    <row r="7" spans="1:27" x14ac:dyDescent="0.25">
      <c r="A7" s="24"/>
      <c r="B7" s="24"/>
      <c r="C7" s="25"/>
    </row>
    <row r="8" spans="1:27" x14ac:dyDescent="0.25">
      <c r="A8" s="24">
        <v>3</v>
      </c>
      <c r="B8" s="35" t="s">
        <v>181</v>
      </c>
      <c r="C8" s="25">
        <f t="shared" si="0"/>
        <v>884500</v>
      </c>
      <c r="E8" s="14">
        <v>3</v>
      </c>
      <c r="F8" s="14" t="s">
        <v>181</v>
      </c>
      <c r="H8" s="14">
        <f>55200-(1200*12)-(600*12)+(500*12)</f>
        <v>39600</v>
      </c>
      <c r="I8" s="14">
        <f t="shared" ref="I8:AA8" si="1">55200-(1200*12)-(600*12)+(500*12)</f>
        <v>39600</v>
      </c>
      <c r="J8" s="14">
        <f t="shared" si="1"/>
        <v>39600</v>
      </c>
      <c r="K8" s="14">
        <f t="shared" si="1"/>
        <v>39600</v>
      </c>
      <c r="L8" s="14">
        <f t="shared" si="1"/>
        <v>39600</v>
      </c>
      <c r="M8" s="14">
        <f t="shared" si="1"/>
        <v>39600</v>
      </c>
      <c r="N8" s="14">
        <f t="shared" si="1"/>
        <v>39600</v>
      </c>
      <c r="O8" s="14">
        <f t="shared" si="1"/>
        <v>39600</v>
      </c>
      <c r="P8" s="14">
        <f t="shared" si="1"/>
        <v>39600</v>
      </c>
      <c r="Q8" s="14">
        <f>55200-(1200*12)-(600*12)+(500*12)+10000+25000+(500*5)+50000+5000</f>
        <v>132100</v>
      </c>
      <c r="R8" s="14">
        <f t="shared" si="1"/>
        <v>39600</v>
      </c>
      <c r="S8" s="14">
        <f t="shared" si="1"/>
        <v>39600</v>
      </c>
      <c r="T8" s="14">
        <f t="shared" si="1"/>
        <v>39600</v>
      </c>
      <c r="U8" s="14">
        <f t="shared" si="1"/>
        <v>39600</v>
      </c>
      <c r="V8" s="14">
        <f t="shared" si="1"/>
        <v>39600</v>
      </c>
      <c r="W8" s="14">
        <f t="shared" si="1"/>
        <v>39600</v>
      </c>
      <c r="X8" s="14">
        <f t="shared" si="1"/>
        <v>39600</v>
      </c>
      <c r="Y8" s="14">
        <f t="shared" si="1"/>
        <v>39600</v>
      </c>
      <c r="Z8" s="14">
        <f t="shared" si="1"/>
        <v>39600</v>
      </c>
      <c r="AA8" s="14">
        <f t="shared" si="1"/>
        <v>39600</v>
      </c>
    </row>
    <row r="9" spans="1:27" x14ac:dyDescent="0.25">
      <c r="A9" s="24">
        <v>4</v>
      </c>
      <c r="B9" s="24" t="s">
        <v>182</v>
      </c>
      <c r="C9" s="25">
        <f t="shared" si="0"/>
        <v>15000</v>
      </c>
      <c r="E9" s="14">
        <v>4</v>
      </c>
      <c r="F9" s="14" t="s">
        <v>182</v>
      </c>
      <c r="H9" s="14">
        <f>500*15</f>
        <v>7500</v>
      </c>
      <c r="I9" s="14">
        <f>500*15</f>
        <v>7500</v>
      </c>
    </row>
    <row r="10" spans="1:27" x14ac:dyDescent="0.25">
      <c r="A10" s="24">
        <v>6</v>
      </c>
      <c r="B10" s="24" t="s">
        <v>165</v>
      </c>
      <c r="C10" s="25">
        <f t="shared" si="0"/>
        <v>160972.5</v>
      </c>
      <c r="E10" s="14">
        <v>6</v>
      </c>
      <c r="F10" s="14" t="s">
        <v>70</v>
      </c>
      <c r="H10" s="14">
        <f>4297*15</f>
        <v>64455</v>
      </c>
      <c r="I10" s="14">
        <f>4297*15</f>
        <v>64455</v>
      </c>
      <c r="Q10" s="14">
        <f>4275*7.5</f>
        <v>32062.5</v>
      </c>
    </row>
    <row r="11" spans="1:27" x14ac:dyDescent="0.25">
      <c r="A11" s="24">
        <v>7</v>
      </c>
      <c r="B11" s="35" t="s">
        <v>166</v>
      </c>
      <c r="C11" s="25">
        <f t="shared" si="0"/>
        <v>1020600</v>
      </c>
      <c r="E11" s="14">
        <v>7</v>
      </c>
      <c r="F11" s="14" t="s">
        <v>69</v>
      </c>
      <c r="H11" s="14">
        <f>5.67*30*50*6</f>
        <v>51030</v>
      </c>
      <c r="I11" s="14">
        <f t="shared" ref="I11:AA11" si="2">5.67*30*50*6</f>
        <v>51030</v>
      </c>
      <c r="J11" s="14">
        <f t="shared" si="2"/>
        <v>51030</v>
      </c>
      <c r="K11" s="14">
        <f t="shared" si="2"/>
        <v>51030</v>
      </c>
      <c r="L11" s="14">
        <f t="shared" si="2"/>
        <v>51030</v>
      </c>
      <c r="M11" s="14">
        <f t="shared" si="2"/>
        <v>51030</v>
      </c>
      <c r="N11" s="14">
        <f t="shared" si="2"/>
        <v>51030</v>
      </c>
      <c r="O11" s="14">
        <f t="shared" si="2"/>
        <v>51030</v>
      </c>
      <c r="P11" s="14">
        <f t="shared" si="2"/>
        <v>51030</v>
      </c>
      <c r="Q11" s="14">
        <f t="shared" si="2"/>
        <v>51030</v>
      </c>
      <c r="R11" s="14">
        <f t="shared" si="2"/>
        <v>51030</v>
      </c>
      <c r="S11" s="14">
        <f t="shared" si="2"/>
        <v>51030</v>
      </c>
      <c r="T11" s="14">
        <f t="shared" si="2"/>
        <v>51030</v>
      </c>
      <c r="U11" s="14">
        <f t="shared" si="2"/>
        <v>51030</v>
      </c>
      <c r="V11" s="14">
        <f t="shared" si="2"/>
        <v>51030</v>
      </c>
      <c r="W11" s="14">
        <f t="shared" si="2"/>
        <v>51030</v>
      </c>
      <c r="X11" s="14">
        <f t="shared" si="2"/>
        <v>51030</v>
      </c>
      <c r="Y11" s="14">
        <f t="shared" si="2"/>
        <v>51030</v>
      </c>
      <c r="Z11" s="14">
        <f t="shared" si="2"/>
        <v>51030</v>
      </c>
      <c r="AA11" s="14">
        <f t="shared" si="2"/>
        <v>51030</v>
      </c>
    </row>
    <row r="12" spans="1:27" x14ac:dyDescent="0.25">
      <c r="A12" s="24"/>
      <c r="B12" s="35"/>
      <c r="C12" s="25"/>
      <c r="E12" s="14">
        <v>8</v>
      </c>
      <c r="F12" s="14" t="s">
        <v>193</v>
      </c>
      <c r="H12" s="14">
        <f>5.75*1*30*120</f>
        <v>20700</v>
      </c>
      <c r="I12" s="14">
        <f t="shared" ref="I12:AA12" si="3">5.75*1*30*120</f>
        <v>20700</v>
      </c>
      <c r="J12" s="14">
        <f t="shared" si="3"/>
        <v>20700</v>
      </c>
      <c r="K12" s="14">
        <f t="shared" si="3"/>
        <v>20700</v>
      </c>
      <c r="L12" s="14">
        <f t="shared" si="3"/>
        <v>20700</v>
      </c>
      <c r="M12" s="14">
        <f t="shared" si="3"/>
        <v>20700</v>
      </c>
      <c r="N12" s="14">
        <f t="shared" si="3"/>
        <v>20700</v>
      </c>
      <c r="O12" s="14">
        <f t="shared" si="3"/>
        <v>20700</v>
      </c>
      <c r="P12" s="14">
        <f t="shared" si="3"/>
        <v>20700</v>
      </c>
      <c r="Q12" s="14">
        <f t="shared" si="3"/>
        <v>20700</v>
      </c>
      <c r="R12" s="14">
        <f t="shared" si="3"/>
        <v>20700</v>
      </c>
      <c r="S12" s="14">
        <f t="shared" si="3"/>
        <v>20700</v>
      </c>
      <c r="T12" s="14">
        <f t="shared" si="3"/>
        <v>20700</v>
      </c>
      <c r="U12" s="14">
        <f t="shared" si="3"/>
        <v>20700</v>
      </c>
      <c r="V12" s="14">
        <f t="shared" si="3"/>
        <v>20700</v>
      </c>
      <c r="W12" s="14">
        <f t="shared" si="3"/>
        <v>20700</v>
      </c>
      <c r="X12" s="14">
        <f t="shared" si="3"/>
        <v>20700</v>
      </c>
      <c r="Y12" s="14">
        <f t="shared" si="3"/>
        <v>20700</v>
      </c>
      <c r="Z12" s="14">
        <f t="shared" si="3"/>
        <v>20700</v>
      </c>
      <c r="AA12" s="14">
        <f t="shared" si="3"/>
        <v>20700</v>
      </c>
    </row>
    <row r="13" spans="1:27" x14ac:dyDescent="0.25">
      <c r="A13" s="24">
        <v>8</v>
      </c>
      <c r="B13" s="35" t="s">
        <v>167</v>
      </c>
      <c r="C13" s="25">
        <f t="shared" si="0"/>
        <v>455759.99999999994</v>
      </c>
      <c r="E13" s="14">
        <v>9</v>
      </c>
      <c r="F13" s="14" t="s">
        <v>141</v>
      </c>
      <c r="H13" s="14">
        <f>4.22*30*12*15</f>
        <v>22787.999999999996</v>
      </c>
      <c r="I13" s="14">
        <f t="shared" ref="I13:AA13" si="4">4.22*30*12*15</f>
        <v>22787.999999999996</v>
      </c>
      <c r="J13" s="14">
        <f t="shared" si="4"/>
        <v>22787.999999999996</v>
      </c>
      <c r="K13" s="14">
        <f t="shared" si="4"/>
        <v>22787.999999999996</v>
      </c>
      <c r="L13" s="14">
        <f t="shared" si="4"/>
        <v>22787.999999999996</v>
      </c>
      <c r="M13" s="14">
        <f t="shared" si="4"/>
        <v>22787.999999999996</v>
      </c>
      <c r="N13" s="14">
        <f t="shared" si="4"/>
        <v>22787.999999999996</v>
      </c>
      <c r="O13" s="14">
        <f t="shared" si="4"/>
        <v>22787.999999999996</v>
      </c>
      <c r="P13" s="14">
        <f t="shared" si="4"/>
        <v>22787.999999999996</v>
      </c>
      <c r="Q13" s="14">
        <f t="shared" si="4"/>
        <v>22787.999999999996</v>
      </c>
      <c r="R13" s="14">
        <f t="shared" si="4"/>
        <v>22787.999999999996</v>
      </c>
      <c r="S13" s="14">
        <f t="shared" si="4"/>
        <v>22787.999999999996</v>
      </c>
      <c r="T13" s="14">
        <f t="shared" si="4"/>
        <v>22787.999999999996</v>
      </c>
      <c r="U13" s="14">
        <f t="shared" si="4"/>
        <v>22787.999999999996</v>
      </c>
      <c r="V13" s="14">
        <f t="shared" si="4"/>
        <v>22787.999999999996</v>
      </c>
      <c r="W13" s="14">
        <f t="shared" si="4"/>
        <v>22787.999999999996</v>
      </c>
      <c r="X13" s="14">
        <f t="shared" si="4"/>
        <v>22787.999999999996</v>
      </c>
      <c r="Y13" s="14">
        <f t="shared" si="4"/>
        <v>22787.999999999996</v>
      </c>
      <c r="Z13" s="14">
        <f t="shared" si="4"/>
        <v>22787.999999999996</v>
      </c>
      <c r="AA13" s="14">
        <f t="shared" si="4"/>
        <v>22787.999999999996</v>
      </c>
    </row>
    <row r="14" spans="1:27" x14ac:dyDescent="0.25">
      <c r="A14" s="24"/>
      <c r="B14" s="24"/>
      <c r="C14" s="25"/>
      <c r="E14" s="14">
        <v>10</v>
      </c>
      <c r="F14" s="14" t="s">
        <v>196</v>
      </c>
      <c r="H14" s="14">
        <f>(500*2)+(60*2)</f>
        <v>1120</v>
      </c>
      <c r="I14" s="14">
        <f t="shared" ref="I14:AA14" si="5">(500*2)+(60*2)</f>
        <v>1120</v>
      </c>
      <c r="J14" s="14">
        <f t="shared" si="5"/>
        <v>1120</v>
      </c>
      <c r="K14" s="14">
        <f t="shared" si="5"/>
        <v>1120</v>
      </c>
      <c r="L14" s="14">
        <f t="shared" si="5"/>
        <v>1120</v>
      </c>
      <c r="M14" s="14">
        <f t="shared" si="5"/>
        <v>1120</v>
      </c>
      <c r="N14" s="14">
        <f t="shared" si="5"/>
        <v>1120</v>
      </c>
      <c r="O14" s="14">
        <f t="shared" si="5"/>
        <v>1120</v>
      </c>
      <c r="P14" s="14">
        <f t="shared" si="5"/>
        <v>1120</v>
      </c>
      <c r="Q14" s="14">
        <f t="shared" si="5"/>
        <v>1120</v>
      </c>
      <c r="R14" s="14">
        <f t="shared" si="5"/>
        <v>1120</v>
      </c>
      <c r="S14" s="14">
        <f t="shared" si="5"/>
        <v>1120</v>
      </c>
      <c r="T14" s="14">
        <f t="shared" si="5"/>
        <v>1120</v>
      </c>
      <c r="U14" s="14">
        <f t="shared" si="5"/>
        <v>1120</v>
      </c>
      <c r="V14" s="14">
        <f t="shared" si="5"/>
        <v>1120</v>
      </c>
      <c r="W14" s="14">
        <f t="shared" si="5"/>
        <v>1120</v>
      </c>
      <c r="X14" s="14">
        <f t="shared" si="5"/>
        <v>1120</v>
      </c>
      <c r="Y14" s="14">
        <f t="shared" si="5"/>
        <v>1120</v>
      </c>
      <c r="Z14" s="14">
        <f t="shared" si="5"/>
        <v>1120</v>
      </c>
      <c r="AA14" s="14">
        <f t="shared" si="5"/>
        <v>1120</v>
      </c>
    </row>
    <row r="15" spans="1:27" x14ac:dyDescent="0.25">
      <c r="A15" s="24"/>
      <c r="B15" s="24"/>
      <c r="C15" s="25"/>
      <c r="E15" s="14">
        <v>11</v>
      </c>
      <c r="F15" s="14" t="s">
        <v>200</v>
      </c>
      <c r="J15" s="14">
        <f>3*3000</f>
        <v>9000</v>
      </c>
      <c r="K15" s="14">
        <f>5*3000</f>
        <v>15000</v>
      </c>
      <c r="L15" s="14">
        <f>3*3000</f>
        <v>9000</v>
      </c>
    </row>
    <row r="16" spans="1:27" x14ac:dyDescent="0.25">
      <c r="A16" s="24"/>
      <c r="B16" s="24"/>
      <c r="C16" s="25"/>
      <c r="E16" s="14">
        <v>12</v>
      </c>
      <c r="F16" s="14" t="s">
        <v>201</v>
      </c>
      <c r="H16" s="14">
        <f>4*700</f>
        <v>2800</v>
      </c>
      <c r="I16" s="14">
        <f>3*700</f>
        <v>2100</v>
      </c>
      <c r="J16" s="14">
        <f>5*700</f>
        <v>3500</v>
      </c>
      <c r="K16" s="14">
        <f>6*700</f>
        <v>4200</v>
      </c>
      <c r="L16" s="14">
        <f>2*700</f>
        <v>1400</v>
      </c>
    </row>
    <row r="17" spans="1:31" x14ac:dyDescent="0.25">
      <c r="A17" s="24"/>
      <c r="B17" s="24"/>
      <c r="C17" s="25"/>
      <c r="E17" s="14">
        <v>13</v>
      </c>
      <c r="F17" s="14" t="s">
        <v>202</v>
      </c>
      <c r="AA17" s="14">
        <f>0.1*G5+0.1*G6</f>
        <v>54254.92227979275</v>
      </c>
    </row>
    <row r="18" spans="1:31" s="17" customFormat="1" x14ac:dyDescent="0.25">
      <c r="A18" s="24"/>
      <c r="B18" s="29" t="s">
        <v>2</v>
      </c>
      <c r="C18" s="26">
        <f t="shared" si="0"/>
        <v>3617036.6450777203</v>
      </c>
      <c r="D18" s="21"/>
      <c r="F18" s="17" t="s">
        <v>2</v>
      </c>
      <c r="G18" s="17">
        <f>SUM(G5:G17)</f>
        <v>542549.22279792745</v>
      </c>
      <c r="H18" s="17">
        <f t="shared" ref="H18:AA18" si="6">SUM(H5:H17)</f>
        <v>209993</v>
      </c>
      <c r="I18" s="17">
        <f t="shared" si="6"/>
        <v>209293</v>
      </c>
      <c r="J18" s="17">
        <f t="shared" si="6"/>
        <v>147738</v>
      </c>
      <c r="K18" s="17">
        <f t="shared" si="6"/>
        <v>154438</v>
      </c>
      <c r="L18" s="17">
        <f t="shared" si="6"/>
        <v>145638</v>
      </c>
      <c r="M18" s="17">
        <f t="shared" si="6"/>
        <v>135238</v>
      </c>
      <c r="N18" s="17">
        <f t="shared" si="6"/>
        <v>135238</v>
      </c>
      <c r="O18" s="17">
        <f t="shared" si="6"/>
        <v>135238</v>
      </c>
      <c r="P18" s="17">
        <f t="shared" si="6"/>
        <v>135238</v>
      </c>
      <c r="Q18" s="17">
        <f t="shared" si="6"/>
        <v>259800.5</v>
      </c>
      <c r="R18" s="17">
        <f t="shared" si="6"/>
        <v>135238</v>
      </c>
      <c r="S18" s="17">
        <f t="shared" si="6"/>
        <v>135238</v>
      </c>
      <c r="T18" s="17">
        <f t="shared" si="6"/>
        <v>135238</v>
      </c>
      <c r="U18" s="17">
        <f t="shared" si="6"/>
        <v>135238</v>
      </c>
      <c r="V18" s="17">
        <f t="shared" si="6"/>
        <v>135238</v>
      </c>
      <c r="W18" s="17">
        <f t="shared" si="6"/>
        <v>135238</v>
      </c>
      <c r="X18" s="17">
        <f t="shared" si="6"/>
        <v>135238</v>
      </c>
      <c r="Y18" s="17">
        <f t="shared" si="6"/>
        <v>135238</v>
      </c>
      <c r="Z18" s="17">
        <f t="shared" si="6"/>
        <v>135238</v>
      </c>
      <c r="AA18" s="17">
        <f t="shared" si="6"/>
        <v>189492.92227979275</v>
      </c>
      <c r="AE18" s="17" t="s">
        <v>204</v>
      </c>
    </row>
    <row r="19" spans="1:31" s="19" customFormat="1" x14ac:dyDescent="0.25">
      <c r="A19" s="28"/>
      <c r="B19" s="32"/>
      <c r="C19" s="26"/>
      <c r="D19" s="22"/>
      <c r="F19" s="19" t="s">
        <v>3</v>
      </c>
      <c r="G19" s="19">
        <v>1</v>
      </c>
      <c r="H19" s="19">
        <f>G19*(1/1.12)</f>
        <v>0.89285714285714279</v>
      </c>
      <c r="I19" s="19">
        <f t="shared" ref="I19:AA19" si="7">H19*(1/1.12)</f>
        <v>0.79719387755102034</v>
      </c>
      <c r="J19" s="19">
        <f t="shared" si="7"/>
        <v>0.71178024781341098</v>
      </c>
      <c r="K19" s="19">
        <f t="shared" si="7"/>
        <v>0.63551807840483121</v>
      </c>
      <c r="L19" s="19">
        <f t="shared" si="7"/>
        <v>0.5674268557185993</v>
      </c>
      <c r="M19" s="19">
        <f t="shared" si="7"/>
        <v>0.50663112117732079</v>
      </c>
      <c r="N19" s="19">
        <f t="shared" si="7"/>
        <v>0.45234921533689354</v>
      </c>
      <c r="O19" s="19">
        <f t="shared" si="7"/>
        <v>0.40388322797936921</v>
      </c>
      <c r="P19" s="19">
        <f t="shared" si="7"/>
        <v>0.36061002498157962</v>
      </c>
      <c r="Q19" s="19">
        <f t="shared" si="7"/>
        <v>0.32197323659069604</v>
      </c>
      <c r="R19" s="19">
        <f t="shared" si="7"/>
        <v>0.28747610409883573</v>
      </c>
      <c r="S19" s="19">
        <f t="shared" si="7"/>
        <v>0.25667509294538904</v>
      </c>
      <c r="T19" s="19">
        <f t="shared" si="7"/>
        <v>0.22917419012981163</v>
      </c>
      <c r="U19" s="19">
        <f t="shared" si="7"/>
        <v>0.20461981261590323</v>
      </c>
      <c r="V19" s="19">
        <f t="shared" si="7"/>
        <v>0.1826962612641993</v>
      </c>
      <c r="W19" s="19">
        <f t="shared" si="7"/>
        <v>0.16312166184303509</v>
      </c>
      <c r="X19" s="19">
        <f t="shared" si="7"/>
        <v>0.14564434093128131</v>
      </c>
      <c r="Y19" s="19">
        <f t="shared" si="7"/>
        <v>0.13003959011721544</v>
      </c>
      <c r="Z19" s="19">
        <f t="shared" si="7"/>
        <v>0.11610677689037092</v>
      </c>
      <c r="AA19" s="19">
        <f t="shared" si="7"/>
        <v>0.10366676508068833</v>
      </c>
    </row>
    <row r="20" spans="1:31" s="17" customFormat="1" x14ac:dyDescent="0.25">
      <c r="A20" s="24"/>
      <c r="B20" s="29" t="s">
        <v>4</v>
      </c>
      <c r="C20" s="26">
        <f t="shared" si="0"/>
        <v>1751214.231048862</v>
      </c>
      <c r="D20" s="21"/>
      <c r="F20" s="17" t="s">
        <v>4</v>
      </c>
      <c r="G20" s="17">
        <f>G18*G19</f>
        <v>542549.22279792745</v>
      </c>
      <c r="H20" s="17">
        <f t="shared" ref="H20:AA20" si="8">H18*H19</f>
        <v>187493.75</v>
      </c>
      <c r="I20" s="17">
        <f t="shared" si="8"/>
        <v>166847.09821428571</v>
      </c>
      <c r="J20" s="17">
        <f t="shared" si="8"/>
        <v>105156.99025145771</v>
      </c>
      <c r="K20" s="17">
        <f t="shared" si="8"/>
        <v>98148.140992685323</v>
      </c>
      <c r="L20" s="17">
        <f t="shared" si="8"/>
        <v>82638.912413145372</v>
      </c>
      <c r="M20" s="17">
        <f t="shared" si="8"/>
        <v>68515.779565778503</v>
      </c>
      <c r="N20" s="17">
        <f t="shared" si="8"/>
        <v>61174.803183730808</v>
      </c>
      <c r="O20" s="17">
        <f t="shared" si="8"/>
        <v>54620.35998547393</v>
      </c>
      <c r="P20" s="17">
        <f t="shared" si="8"/>
        <v>48768.178558458865</v>
      </c>
      <c r="Q20" s="17">
        <f t="shared" si="8"/>
        <v>83648.807852881131</v>
      </c>
      <c r="R20" s="17">
        <f t="shared" si="8"/>
        <v>38877.693366118343</v>
      </c>
      <c r="S20" s="17">
        <f t="shared" si="8"/>
        <v>34712.226219748525</v>
      </c>
      <c r="T20" s="17">
        <f t="shared" si="8"/>
        <v>30993.059124775467</v>
      </c>
      <c r="U20" s="17">
        <f t="shared" si="8"/>
        <v>27672.374218549521</v>
      </c>
      <c r="V20" s="17">
        <f t="shared" si="8"/>
        <v>24707.476980847783</v>
      </c>
      <c r="W20" s="17">
        <f t="shared" si="8"/>
        <v>22060.247304328379</v>
      </c>
      <c r="X20" s="17">
        <f t="shared" si="8"/>
        <v>19696.649378864622</v>
      </c>
      <c r="Y20" s="17">
        <f t="shared" si="8"/>
        <v>17586.294088271981</v>
      </c>
      <c r="Z20" s="17">
        <f t="shared" si="8"/>
        <v>15702.048293099982</v>
      </c>
      <c r="AA20" s="17">
        <f t="shared" si="8"/>
        <v>19644.118258432405</v>
      </c>
    </row>
    <row r="21" spans="1:31" x14ac:dyDescent="0.25">
      <c r="A21" s="24"/>
      <c r="B21" s="24"/>
      <c r="C21" s="25"/>
    </row>
    <row r="22" spans="1:31" ht="15.6" x14ac:dyDescent="0.3">
      <c r="A22" s="24"/>
      <c r="B22" s="31" t="s">
        <v>161</v>
      </c>
      <c r="C22" s="25"/>
    </row>
    <row r="23" spans="1:31" x14ac:dyDescent="0.25">
      <c r="A23" s="24">
        <v>9</v>
      </c>
      <c r="B23" s="36" t="s">
        <v>0</v>
      </c>
      <c r="C23" s="25">
        <f t="shared" si="0"/>
        <v>1076400</v>
      </c>
      <c r="E23" s="14">
        <v>9</v>
      </c>
      <c r="F23" s="14" t="s">
        <v>0</v>
      </c>
      <c r="H23" s="14">
        <f>(164-26)*30*13</f>
        <v>53820</v>
      </c>
      <c r="I23" s="14">
        <f t="shared" ref="I23:AA23" si="9">(164-26)*30*13</f>
        <v>53820</v>
      </c>
      <c r="J23" s="14">
        <f t="shared" si="9"/>
        <v>53820</v>
      </c>
      <c r="K23" s="14">
        <f t="shared" si="9"/>
        <v>53820</v>
      </c>
      <c r="L23" s="14">
        <f t="shared" si="9"/>
        <v>53820</v>
      </c>
      <c r="M23" s="14">
        <f t="shared" si="9"/>
        <v>53820</v>
      </c>
      <c r="N23" s="14">
        <f t="shared" si="9"/>
        <v>53820</v>
      </c>
      <c r="O23" s="14">
        <f t="shared" si="9"/>
        <v>53820</v>
      </c>
      <c r="P23" s="14">
        <f t="shared" si="9"/>
        <v>53820</v>
      </c>
      <c r="Q23" s="14">
        <f t="shared" si="9"/>
        <v>53820</v>
      </c>
      <c r="R23" s="14">
        <f t="shared" si="9"/>
        <v>53820</v>
      </c>
      <c r="S23" s="14">
        <f t="shared" si="9"/>
        <v>53820</v>
      </c>
      <c r="T23" s="14">
        <f t="shared" si="9"/>
        <v>53820</v>
      </c>
      <c r="U23" s="14">
        <f t="shared" si="9"/>
        <v>53820</v>
      </c>
      <c r="V23" s="14">
        <f t="shared" si="9"/>
        <v>53820</v>
      </c>
      <c r="W23" s="14">
        <f t="shared" si="9"/>
        <v>53820</v>
      </c>
      <c r="X23" s="14">
        <f t="shared" si="9"/>
        <v>53820</v>
      </c>
      <c r="Y23" s="14">
        <f t="shared" si="9"/>
        <v>53820</v>
      </c>
      <c r="Z23" s="14">
        <f t="shared" si="9"/>
        <v>53820</v>
      </c>
      <c r="AA23" s="14">
        <f t="shared" si="9"/>
        <v>53820</v>
      </c>
    </row>
    <row r="24" spans="1:31" x14ac:dyDescent="0.25">
      <c r="A24" s="24">
        <v>10</v>
      </c>
      <c r="B24" s="36" t="s">
        <v>1</v>
      </c>
      <c r="C24" s="25">
        <f t="shared" si="0"/>
        <v>863136.00000000023</v>
      </c>
      <c r="E24" s="14">
        <v>10</v>
      </c>
      <c r="F24" s="14" t="s">
        <v>1</v>
      </c>
      <c r="H24" s="14">
        <f>(7.44-0.78)*12*30*18</f>
        <v>43156.799999999996</v>
      </c>
      <c r="I24" s="14">
        <f t="shared" ref="I24:AA24" si="10">(7.44-0.78)*12*30*18</f>
        <v>43156.799999999996</v>
      </c>
      <c r="J24" s="14">
        <f t="shared" si="10"/>
        <v>43156.799999999996</v>
      </c>
      <c r="K24" s="14">
        <f t="shared" si="10"/>
        <v>43156.799999999996</v>
      </c>
      <c r="L24" s="14">
        <f t="shared" si="10"/>
        <v>43156.799999999996</v>
      </c>
      <c r="M24" s="14">
        <f t="shared" si="10"/>
        <v>43156.799999999996</v>
      </c>
      <c r="N24" s="14">
        <f t="shared" si="10"/>
        <v>43156.799999999996</v>
      </c>
      <c r="O24" s="14">
        <f t="shared" si="10"/>
        <v>43156.799999999996</v>
      </c>
      <c r="P24" s="14">
        <f t="shared" si="10"/>
        <v>43156.799999999996</v>
      </c>
      <c r="Q24" s="14">
        <f t="shared" si="10"/>
        <v>43156.799999999996</v>
      </c>
      <c r="R24" s="14">
        <f t="shared" si="10"/>
        <v>43156.799999999996</v>
      </c>
      <c r="S24" s="14">
        <f t="shared" si="10"/>
        <v>43156.799999999996</v>
      </c>
      <c r="T24" s="14">
        <f t="shared" si="10"/>
        <v>43156.799999999996</v>
      </c>
      <c r="U24" s="14">
        <f t="shared" si="10"/>
        <v>43156.799999999996</v>
      </c>
      <c r="V24" s="14">
        <f t="shared" si="10"/>
        <v>43156.799999999996</v>
      </c>
      <c r="W24" s="14">
        <f t="shared" si="10"/>
        <v>43156.799999999996</v>
      </c>
      <c r="X24" s="14">
        <f t="shared" si="10"/>
        <v>43156.799999999996</v>
      </c>
      <c r="Y24" s="14">
        <f t="shared" si="10"/>
        <v>43156.799999999996</v>
      </c>
      <c r="Z24" s="14">
        <f t="shared" si="10"/>
        <v>43156.799999999996</v>
      </c>
      <c r="AA24" s="14">
        <f t="shared" si="10"/>
        <v>43156.799999999996</v>
      </c>
    </row>
    <row r="25" spans="1:31" x14ac:dyDescent="0.25">
      <c r="A25" s="24">
        <v>11</v>
      </c>
      <c r="B25" s="35" t="s">
        <v>183</v>
      </c>
      <c r="C25" s="25">
        <f t="shared" si="0"/>
        <v>2160000</v>
      </c>
      <c r="E25" s="14">
        <v>11</v>
      </c>
      <c r="F25" s="14" t="s">
        <v>183</v>
      </c>
      <c r="H25" s="14">
        <f>300*12*30</f>
        <v>108000</v>
      </c>
      <c r="I25" s="14">
        <f t="shared" ref="I25:AA25" si="11">300*12*30</f>
        <v>108000</v>
      </c>
      <c r="J25" s="14">
        <f t="shared" si="11"/>
        <v>108000</v>
      </c>
      <c r="K25" s="14">
        <f t="shared" si="11"/>
        <v>108000</v>
      </c>
      <c r="L25" s="14">
        <f t="shared" si="11"/>
        <v>108000</v>
      </c>
      <c r="M25" s="14">
        <f t="shared" si="11"/>
        <v>108000</v>
      </c>
      <c r="N25" s="14">
        <f t="shared" si="11"/>
        <v>108000</v>
      </c>
      <c r="O25" s="14">
        <f t="shared" si="11"/>
        <v>108000</v>
      </c>
      <c r="P25" s="14">
        <f t="shared" si="11"/>
        <v>108000</v>
      </c>
      <c r="Q25" s="14">
        <f t="shared" si="11"/>
        <v>108000</v>
      </c>
      <c r="R25" s="14">
        <f t="shared" si="11"/>
        <v>108000</v>
      </c>
      <c r="S25" s="14">
        <f t="shared" si="11"/>
        <v>108000</v>
      </c>
      <c r="T25" s="14">
        <f t="shared" si="11"/>
        <v>108000</v>
      </c>
      <c r="U25" s="14">
        <f t="shared" si="11"/>
        <v>108000</v>
      </c>
      <c r="V25" s="14">
        <f t="shared" si="11"/>
        <v>108000</v>
      </c>
      <c r="W25" s="14">
        <f t="shared" si="11"/>
        <v>108000</v>
      </c>
      <c r="X25" s="14">
        <f t="shared" si="11"/>
        <v>108000</v>
      </c>
      <c r="Y25" s="14">
        <f t="shared" si="11"/>
        <v>108000</v>
      </c>
      <c r="Z25" s="14">
        <f t="shared" si="11"/>
        <v>108000</v>
      </c>
      <c r="AA25" s="14">
        <f t="shared" si="11"/>
        <v>108000</v>
      </c>
    </row>
    <row r="26" spans="1:31" x14ac:dyDescent="0.25">
      <c r="A26" s="24">
        <v>12</v>
      </c>
      <c r="B26" s="35" t="s">
        <v>155</v>
      </c>
      <c r="C26" s="25">
        <f t="shared" si="0"/>
        <v>858000</v>
      </c>
      <c r="E26" s="14">
        <v>12</v>
      </c>
      <c r="F26" s="14" t="s">
        <v>155</v>
      </c>
      <c r="H26" s="14">
        <f>((11*10*52)/8)*60</f>
        <v>42900</v>
      </c>
      <c r="I26" s="14">
        <f t="shared" ref="I26:AA26" si="12">((11*10*52)/8)*60</f>
        <v>42900</v>
      </c>
      <c r="J26" s="14">
        <f t="shared" si="12"/>
        <v>42900</v>
      </c>
      <c r="K26" s="14">
        <f t="shared" si="12"/>
        <v>42900</v>
      </c>
      <c r="L26" s="14">
        <f t="shared" si="12"/>
        <v>42900</v>
      </c>
      <c r="M26" s="14">
        <f t="shared" si="12"/>
        <v>42900</v>
      </c>
      <c r="N26" s="14">
        <f t="shared" si="12"/>
        <v>42900</v>
      </c>
      <c r="O26" s="14">
        <f t="shared" si="12"/>
        <v>42900</v>
      </c>
      <c r="P26" s="14">
        <f t="shared" si="12"/>
        <v>42900</v>
      </c>
      <c r="Q26" s="14">
        <f t="shared" si="12"/>
        <v>42900</v>
      </c>
      <c r="R26" s="14">
        <f t="shared" si="12"/>
        <v>42900</v>
      </c>
      <c r="S26" s="14">
        <f t="shared" si="12"/>
        <v>42900</v>
      </c>
      <c r="T26" s="14">
        <f t="shared" si="12"/>
        <v>42900</v>
      </c>
      <c r="U26" s="14">
        <f t="shared" si="12"/>
        <v>42900</v>
      </c>
      <c r="V26" s="14">
        <f t="shared" si="12"/>
        <v>42900</v>
      </c>
      <c r="W26" s="14">
        <f t="shared" si="12"/>
        <v>42900</v>
      </c>
      <c r="X26" s="14">
        <f t="shared" si="12"/>
        <v>42900</v>
      </c>
      <c r="Y26" s="14">
        <f t="shared" si="12"/>
        <v>42900</v>
      </c>
      <c r="Z26" s="14">
        <f t="shared" si="12"/>
        <v>42900</v>
      </c>
      <c r="AA26" s="14">
        <f t="shared" si="12"/>
        <v>42900</v>
      </c>
    </row>
    <row r="27" spans="1:31" x14ac:dyDescent="0.25">
      <c r="A27" s="24">
        <v>13</v>
      </c>
      <c r="B27" s="35" t="s">
        <v>156</v>
      </c>
      <c r="C27" s="25">
        <f t="shared" si="0"/>
        <v>936000</v>
      </c>
      <c r="E27" s="14">
        <v>13</v>
      </c>
      <c r="F27" s="14" t="s">
        <v>156</v>
      </c>
      <c r="H27" s="14">
        <f>((20*6*52)/8)*60</f>
        <v>46800</v>
      </c>
      <c r="I27" s="14">
        <f t="shared" ref="I27:AA27" si="13">((20*6*52)/8)*60</f>
        <v>46800</v>
      </c>
      <c r="J27" s="14">
        <f t="shared" si="13"/>
        <v>46800</v>
      </c>
      <c r="K27" s="14">
        <f t="shared" si="13"/>
        <v>46800</v>
      </c>
      <c r="L27" s="14">
        <f t="shared" si="13"/>
        <v>46800</v>
      </c>
      <c r="M27" s="14">
        <f t="shared" si="13"/>
        <v>46800</v>
      </c>
      <c r="N27" s="14">
        <f t="shared" si="13"/>
        <v>46800</v>
      </c>
      <c r="O27" s="14">
        <f t="shared" si="13"/>
        <v>46800</v>
      </c>
      <c r="P27" s="14">
        <f t="shared" si="13"/>
        <v>46800</v>
      </c>
      <c r="Q27" s="14">
        <f t="shared" si="13"/>
        <v>46800</v>
      </c>
      <c r="R27" s="14">
        <f t="shared" si="13"/>
        <v>46800</v>
      </c>
      <c r="S27" s="14">
        <f t="shared" si="13"/>
        <v>46800</v>
      </c>
      <c r="T27" s="14">
        <f t="shared" si="13"/>
        <v>46800</v>
      </c>
      <c r="U27" s="14">
        <f t="shared" si="13"/>
        <v>46800</v>
      </c>
      <c r="V27" s="14">
        <f t="shared" si="13"/>
        <v>46800</v>
      </c>
      <c r="W27" s="14">
        <f t="shared" si="13"/>
        <v>46800</v>
      </c>
      <c r="X27" s="14">
        <f t="shared" si="13"/>
        <v>46800</v>
      </c>
      <c r="Y27" s="14">
        <f t="shared" si="13"/>
        <v>46800</v>
      </c>
      <c r="Z27" s="14">
        <f t="shared" si="13"/>
        <v>46800</v>
      </c>
      <c r="AA27" s="14">
        <f t="shared" si="13"/>
        <v>46800</v>
      </c>
    </row>
    <row r="28" spans="1:31" x14ac:dyDescent="0.25">
      <c r="A28" s="24"/>
      <c r="B28" s="24"/>
      <c r="C28" s="25"/>
      <c r="E28" s="14">
        <v>14</v>
      </c>
      <c r="F28" s="14" t="s">
        <v>197</v>
      </c>
      <c r="H28" s="14">
        <f>0.1*(H11)+0.1*(H13)</f>
        <v>7381.7999999999993</v>
      </c>
      <c r="I28" s="14">
        <f t="shared" ref="I28:AA28" si="14">0.1*(I11)+0.1*(I13)</f>
        <v>7381.7999999999993</v>
      </c>
      <c r="J28" s="14">
        <f t="shared" si="14"/>
        <v>7381.7999999999993</v>
      </c>
      <c r="K28" s="14">
        <f t="shared" si="14"/>
        <v>7381.7999999999993</v>
      </c>
      <c r="L28" s="14">
        <f t="shared" si="14"/>
        <v>7381.7999999999993</v>
      </c>
      <c r="M28" s="14">
        <f t="shared" si="14"/>
        <v>7381.7999999999993</v>
      </c>
      <c r="N28" s="14">
        <f t="shared" si="14"/>
        <v>7381.7999999999993</v>
      </c>
      <c r="O28" s="14">
        <f t="shared" si="14"/>
        <v>7381.7999999999993</v>
      </c>
      <c r="P28" s="14">
        <f t="shared" si="14"/>
        <v>7381.7999999999993</v>
      </c>
      <c r="Q28" s="14">
        <f t="shared" si="14"/>
        <v>7381.7999999999993</v>
      </c>
      <c r="R28" s="14">
        <f t="shared" si="14"/>
        <v>7381.7999999999993</v>
      </c>
      <c r="S28" s="14">
        <f t="shared" si="14"/>
        <v>7381.7999999999993</v>
      </c>
      <c r="T28" s="14">
        <f t="shared" si="14"/>
        <v>7381.7999999999993</v>
      </c>
      <c r="U28" s="14">
        <f t="shared" si="14"/>
        <v>7381.7999999999993</v>
      </c>
      <c r="V28" s="14">
        <f t="shared" si="14"/>
        <v>7381.7999999999993</v>
      </c>
      <c r="W28" s="14">
        <f t="shared" si="14"/>
        <v>7381.7999999999993</v>
      </c>
      <c r="X28" s="14">
        <f t="shared" si="14"/>
        <v>7381.7999999999993</v>
      </c>
      <c r="Y28" s="14">
        <f t="shared" si="14"/>
        <v>7381.7999999999993</v>
      </c>
      <c r="Z28" s="14">
        <f t="shared" si="14"/>
        <v>7381.7999999999993</v>
      </c>
      <c r="AA28" s="14">
        <f t="shared" si="14"/>
        <v>7381.7999999999993</v>
      </c>
    </row>
    <row r="29" spans="1:31" x14ac:dyDescent="0.25">
      <c r="A29" s="24"/>
      <c r="B29" s="24"/>
      <c r="C29" s="25"/>
      <c r="F29" s="14" t="s">
        <v>203</v>
      </c>
      <c r="AA29" s="14">
        <f>0.02*G5+0.02*G6</f>
        <v>10850.984455958551</v>
      </c>
    </row>
    <row r="30" spans="1:31" s="17" customFormat="1" x14ac:dyDescent="0.25">
      <c r="A30" s="24"/>
      <c r="B30" s="29" t="s">
        <v>5</v>
      </c>
      <c r="C30" s="26">
        <f t="shared" si="0"/>
        <v>6052022.9844559571</v>
      </c>
      <c r="D30" s="21"/>
      <c r="F30" s="17" t="s">
        <v>5</v>
      </c>
      <c r="G30" s="17">
        <f>SUM(G23:G29)</f>
        <v>0</v>
      </c>
      <c r="H30" s="17">
        <f t="shared" ref="H30:AA30" si="15">SUM(H23:H29)</f>
        <v>302058.59999999998</v>
      </c>
      <c r="I30" s="17">
        <f t="shared" si="15"/>
        <v>302058.59999999998</v>
      </c>
      <c r="J30" s="17">
        <f t="shared" si="15"/>
        <v>302058.59999999998</v>
      </c>
      <c r="K30" s="17">
        <f t="shared" si="15"/>
        <v>302058.59999999998</v>
      </c>
      <c r="L30" s="17">
        <f t="shared" si="15"/>
        <v>302058.59999999998</v>
      </c>
      <c r="M30" s="17">
        <f t="shared" si="15"/>
        <v>302058.59999999998</v>
      </c>
      <c r="N30" s="17">
        <f t="shared" si="15"/>
        <v>302058.59999999998</v>
      </c>
      <c r="O30" s="17">
        <f t="shared" si="15"/>
        <v>302058.59999999998</v>
      </c>
      <c r="P30" s="17">
        <f t="shared" si="15"/>
        <v>302058.59999999998</v>
      </c>
      <c r="Q30" s="17">
        <f t="shared" si="15"/>
        <v>302058.59999999998</v>
      </c>
      <c r="R30" s="17">
        <f t="shared" si="15"/>
        <v>302058.59999999998</v>
      </c>
      <c r="S30" s="17">
        <f t="shared" si="15"/>
        <v>302058.59999999998</v>
      </c>
      <c r="T30" s="17">
        <f t="shared" si="15"/>
        <v>302058.59999999998</v>
      </c>
      <c r="U30" s="17">
        <f t="shared" si="15"/>
        <v>302058.59999999998</v>
      </c>
      <c r="V30" s="17">
        <f t="shared" si="15"/>
        <v>302058.59999999998</v>
      </c>
      <c r="W30" s="17">
        <f t="shared" si="15"/>
        <v>302058.59999999998</v>
      </c>
      <c r="X30" s="17">
        <f t="shared" si="15"/>
        <v>302058.59999999998</v>
      </c>
      <c r="Y30" s="17">
        <f t="shared" si="15"/>
        <v>302058.59999999998</v>
      </c>
      <c r="Z30" s="17">
        <f t="shared" si="15"/>
        <v>302058.59999999998</v>
      </c>
      <c r="AA30" s="17">
        <f t="shared" si="15"/>
        <v>312909.58445595851</v>
      </c>
    </row>
    <row r="31" spans="1:31" s="19" customFormat="1" x14ac:dyDescent="0.25">
      <c r="A31" s="28"/>
      <c r="B31" s="32"/>
      <c r="C31" s="26"/>
      <c r="D31" s="22"/>
      <c r="F31" s="19" t="s">
        <v>3</v>
      </c>
      <c r="G31" s="19">
        <v>1</v>
      </c>
      <c r="H31" s="19">
        <f>G31*(1/1.12)</f>
        <v>0.89285714285714279</v>
      </c>
      <c r="I31" s="19">
        <f t="shared" ref="I31:AA31" si="16">H31*(1/1.12)</f>
        <v>0.79719387755102034</v>
      </c>
      <c r="J31" s="19">
        <f t="shared" si="16"/>
        <v>0.71178024781341098</v>
      </c>
      <c r="K31" s="19">
        <f t="shared" si="16"/>
        <v>0.63551807840483121</v>
      </c>
      <c r="L31" s="19">
        <f t="shared" si="16"/>
        <v>0.5674268557185993</v>
      </c>
      <c r="M31" s="19">
        <f t="shared" si="16"/>
        <v>0.50663112117732079</v>
      </c>
      <c r="N31" s="19">
        <f t="shared" si="16"/>
        <v>0.45234921533689354</v>
      </c>
      <c r="O31" s="19">
        <f t="shared" si="16"/>
        <v>0.40388322797936921</v>
      </c>
      <c r="P31" s="19">
        <f t="shared" si="16"/>
        <v>0.36061002498157962</v>
      </c>
      <c r="Q31" s="19">
        <f t="shared" si="16"/>
        <v>0.32197323659069604</v>
      </c>
      <c r="R31" s="19">
        <f t="shared" si="16"/>
        <v>0.28747610409883573</v>
      </c>
      <c r="S31" s="19">
        <f t="shared" si="16"/>
        <v>0.25667509294538904</v>
      </c>
      <c r="T31" s="19">
        <f t="shared" si="16"/>
        <v>0.22917419012981163</v>
      </c>
      <c r="U31" s="19">
        <f t="shared" si="16"/>
        <v>0.20461981261590323</v>
      </c>
      <c r="V31" s="19">
        <f t="shared" si="16"/>
        <v>0.1826962612641993</v>
      </c>
      <c r="W31" s="19">
        <f t="shared" si="16"/>
        <v>0.16312166184303509</v>
      </c>
      <c r="X31" s="19">
        <f t="shared" si="16"/>
        <v>0.14564434093128131</v>
      </c>
      <c r="Y31" s="19">
        <f t="shared" si="16"/>
        <v>0.13003959011721544</v>
      </c>
      <c r="Z31" s="19">
        <f t="shared" si="16"/>
        <v>0.11610677689037092</v>
      </c>
      <c r="AA31" s="19">
        <f t="shared" si="16"/>
        <v>0.10366676508068833</v>
      </c>
    </row>
    <row r="32" spans="1:31" s="17" customFormat="1" x14ac:dyDescent="0.25">
      <c r="A32" s="24"/>
      <c r="B32" s="29" t="s">
        <v>6</v>
      </c>
      <c r="C32" s="26">
        <f t="shared" si="0"/>
        <v>2257334.5703998092</v>
      </c>
      <c r="D32" s="21"/>
      <c r="F32" s="17" t="s">
        <v>6</v>
      </c>
      <c r="G32" s="17">
        <f>G30*G31</f>
        <v>0</v>
      </c>
      <c r="H32" s="17">
        <f t="shared" ref="H32:AA32" si="17">H30*H31</f>
        <v>269695.17857142852</v>
      </c>
      <c r="I32" s="17">
        <f t="shared" si="17"/>
        <v>240799.2665816326</v>
      </c>
      <c r="J32" s="17">
        <f t="shared" si="17"/>
        <v>214999.34516217196</v>
      </c>
      <c r="K32" s="17">
        <f t="shared" si="17"/>
        <v>191963.70103765355</v>
      </c>
      <c r="L32" s="17">
        <f t="shared" si="17"/>
        <v>171396.16164076209</v>
      </c>
      <c r="M32" s="17">
        <f t="shared" si="17"/>
        <v>153032.28717925187</v>
      </c>
      <c r="N32" s="17">
        <f t="shared" si="17"/>
        <v>136635.97069576057</v>
      </c>
      <c r="O32" s="17">
        <f t="shared" si="17"/>
        <v>121996.40240692908</v>
      </c>
      <c r="P32" s="17">
        <f t="shared" si="17"/>
        <v>108925.35929190095</v>
      </c>
      <c r="Q32" s="17">
        <f t="shared" si="17"/>
        <v>97254.785082054412</v>
      </c>
      <c r="R32" s="17">
        <f t="shared" si="17"/>
        <v>86834.629537548579</v>
      </c>
      <c r="S32" s="17">
        <f t="shared" si="17"/>
        <v>77530.919229954088</v>
      </c>
      <c r="T32" s="17">
        <f t="shared" si="17"/>
        <v>69224.035026744721</v>
      </c>
      <c r="U32" s="17">
        <f t="shared" si="17"/>
        <v>61807.17413102206</v>
      </c>
      <c r="V32" s="17">
        <f t="shared" si="17"/>
        <v>55184.976902698269</v>
      </c>
      <c r="W32" s="17">
        <f t="shared" si="17"/>
        <v>49272.300805980594</v>
      </c>
      <c r="X32" s="17">
        <f t="shared" si="17"/>
        <v>43993.125719625525</v>
      </c>
      <c r="Y32" s="17">
        <f t="shared" si="17"/>
        <v>39279.576535379929</v>
      </c>
      <c r="Z32" s="17">
        <f t="shared" si="17"/>
        <v>35071.050478017794</v>
      </c>
      <c r="AA32" s="17">
        <f t="shared" si="17"/>
        <v>32438.324383291652</v>
      </c>
    </row>
    <row r="33" spans="1:61" x14ac:dyDescent="0.25">
      <c r="A33" s="24"/>
      <c r="B33" s="24"/>
      <c r="C33" s="25"/>
    </row>
    <row r="34" spans="1:61" x14ac:dyDescent="0.25">
      <c r="A34" s="24"/>
      <c r="B34" s="24"/>
      <c r="C34" s="25"/>
    </row>
    <row r="35" spans="1:61" x14ac:dyDescent="0.25">
      <c r="A35" s="24"/>
      <c r="B35" s="33" t="s">
        <v>149</v>
      </c>
      <c r="C35" s="34">
        <f>C32</f>
        <v>2257334.5703998092</v>
      </c>
      <c r="F35" s="18" t="s">
        <v>149</v>
      </c>
      <c r="G35" s="17">
        <f>SUM(G32:AA32)</f>
        <v>2257334.5703998092</v>
      </c>
    </row>
    <row r="36" spans="1:61" x14ac:dyDescent="0.25">
      <c r="A36" s="24"/>
      <c r="B36" s="33" t="s">
        <v>150</v>
      </c>
      <c r="C36" s="34">
        <f>C20</f>
        <v>1751214.231048862</v>
      </c>
      <c r="F36" s="18" t="s">
        <v>150</v>
      </c>
      <c r="G36" s="17">
        <f>SUM(G20:AA20)</f>
        <v>1751214.231048862</v>
      </c>
    </row>
    <row r="37" spans="1:61" x14ac:dyDescent="0.25">
      <c r="A37" s="24"/>
      <c r="B37" s="33"/>
      <c r="C37" s="34"/>
      <c r="F37" s="18"/>
      <c r="G37" s="17"/>
    </row>
    <row r="38" spans="1:61" x14ac:dyDescent="0.25">
      <c r="A38" s="24"/>
      <c r="B38" s="33" t="s">
        <v>151</v>
      </c>
      <c r="C38" s="61">
        <f>C35/C36</f>
        <v>1.2890110932046357</v>
      </c>
      <c r="F38" s="18" t="s">
        <v>151</v>
      </c>
      <c r="G38" s="20">
        <f>G35/G36</f>
        <v>1.2890110932046357</v>
      </c>
    </row>
    <row r="39" spans="1:61" ht="13.8" thickBot="1" x14ac:dyDescent="0.3">
      <c r="A39" s="24"/>
      <c r="B39" s="33" t="s">
        <v>147</v>
      </c>
      <c r="C39" s="34">
        <f>C35-C36</f>
        <v>506120.33935094718</v>
      </c>
      <c r="E39" s="50"/>
      <c r="F39" s="51" t="s">
        <v>147</v>
      </c>
      <c r="G39" s="52">
        <f>G35-G36</f>
        <v>506120.33935094718</v>
      </c>
      <c r="H39" s="50"/>
      <c r="I39" s="50"/>
      <c r="J39" s="50"/>
      <c r="K39" s="50"/>
      <c r="L39" s="50"/>
      <c r="M39" s="50"/>
      <c r="N39" s="50"/>
      <c r="O39" s="50"/>
      <c r="P39" s="50"/>
      <c r="Q39" s="50"/>
      <c r="R39" s="50"/>
      <c r="S39" s="50"/>
      <c r="T39" s="50"/>
      <c r="U39" s="50"/>
      <c r="V39" s="50"/>
      <c r="W39" s="50"/>
      <c r="X39" s="50"/>
      <c r="Y39" s="50"/>
      <c r="Z39" s="50"/>
      <c r="AA39" s="50"/>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row>
    <row r="40" spans="1:61" x14ac:dyDescent="0.25">
      <c r="D40" s="43"/>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row>
    <row r="41" spans="1:61" s="37" customFormat="1" ht="17.399999999999999" x14ac:dyDescent="0.3">
      <c r="B41" s="38" t="s">
        <v>159</v>
      </c>
      <c r="C41" s="39"/>
      <c r="D41" s="44"/>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row>
    <row r="42" spans="1:61" s="37" customFormat="1" ht="17.399999999999999" x14ac:dyDescent="0.3">
      <c r="C42" s="39"/>
      <c r="D42" s="44"/>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row>
    <row r="43" spans="1:61" s="37" customFormat="1" ht="17.399999999999999" x14ac:dyDescent="0.3">
      <c r="A43" s="54">
        <v>1</v>
      </c>
      <c r="B43" s="56" t="s">
        <v>191</v>
      </c>
      <c r="C43" s="39"/>
      <c r="D43" s="44"/>
      <c r="E43" s="47"/>
      <c r="F43" s="48"/>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row>
    <row r="44" spans="1:61" s="37" customFormat="1" ht="17.399999999999999" x14ac:dyDescent="0.3">
      <c r="A44" s="54">
        <v>2</v>
      </c>
      <c r="B44" s="56" t="s">
        <v>184</v>
      </c>
      <c r="C44" s="39"/>
      <c r="D44" s="44"/>
      <c r="E44" s="47"/>
      <c r="F44" s="48"/>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row>
    <row r="45" spans="1:61" s="37" customFormat="1" ht="17.399999999999999" x14ac:dyDescent="0.3">
      <c r="A45" s="54">
        <v>3</v>
      </c>
      <c r="B45" s="56" t="s">
        <v>168</v>
      </c>
      <c r="C45" s="39"/>
      <c r="D45" s="44"/>
      <c r="E45" s="47"/>
      <c r="F45" s="48"/>
      <c r="G45" s="47"/>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row>
    <row r="46" spans="1:61" s="37" customFormat="1" ht="17.399999999999999" x14ac:dyDescent="0.3">
      <c r="A46" s="54"/>
      <c r="B46" s="56" t="s">
        <v>169</v>
      </c>
      <c r="C46" s="39"/>
      <c r="D46" s="44"/>
      <c r="E46" s="47"/>
      <c r="F46" s="48"/>
      <c r="G46" s="47"/>
      <c r="H46" s="47"/>
      <c r="I46" s="47"/>
      <c r="J46" s="47"/>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c r="BG46" s="47"/>
      <c r="BH46" s="47"/>
      <c r="BI46" s="47"/>
    </row>
    <row r="47" spans="1:61" s="37" customFormat="1" ht="17.399999999999999" x14ac:dyDescent="0.3">
      <c r="A47" s="54">
        <v>4</v>
      </c>
      <c r="B47" s="56" t="s">
        <v>145</v>
      </c>
      <c r="C47" s="39"/>
      <c r="D47" s="44"/>
      <c r="E47" s="47"/>
      <c r="F47" s="48"/>
      <c r="G47" s="47"/>
      <c r="H47" s="47"/>
      <c r="I47" s="47"/>
      <c r="J47" s="47"/>
      <c r="K47" s="47"/>
      <c r="L47" s="47"/>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row>
    <row r="48" spans="1:61" s="37" customFormat="1" ht="17.399999999999999" x14ac:dyDescent="0.3">
      <c r="A48" s="54">
        <v>5</v>
      </c>
      <c r="B48" s="56" t="s">
        <v>170</v>
      </c>
      <c r="C48" s="39"/>
      <c r="D48" s="44"/>
      <c r="E48" s="47"/>
      <c r="F48" s="48"/>
      <c r="G48" s="47"/>
      <c r="H48" s="47"/>
      <c r="I48" s="47"/>
      <c r="J48" s="47"/>
      <c r="K48" s="47"/>
      <c r="L48" s="47"/>
      <c r="M48" s="47"/>
      <c r="N48" s="47"/>
      <c r="O48" s="47"/>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row>
    <row r="49" spans="1:61" s="37" customFormat="1" ht="17.399999999999999" x14ac:dyDescent="0.3">
      <c r="A49" s="54">
        <v>6</v>
      </c>
      <c r="B49" s="56" t="s">
        <v>146</v>
      </c>
      <c r="C49" s="39"/>
      <c r="D49" s="44"/>
      <c r="E49" s="47"/>
      <c r="F49" s="48"/>
      <c r="G49" s="47"/>
      <c r="H49" s="47"/>
      <c r="I49" s="47"/>
      <c r="J49" s="47"/>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row>
    <row r="50" spans="1:61" s="37" customFormat="1" ht="17.399999999999999" x14ac:dyDescent="0.3">
      <c r="A50" s="54">
        <v>7</v>
      </c>
      <c r="B50" s="56" t="s">
        <v>192</v>
      </c>
      <c r="C50" s="39"/>
      <c r="D50" s="44"/>
      <c r="E50" s="47"/>
      <c r="F50" s="48"/>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row>
    <row r="51" spans="1:61" s="37" customFormat="1" ht="17.399999999999999" x14ac:dyDescent="0.3">
      <c r="A51" s="54">
        <v>8</v>
      </c>
      <c r="B51" s="56" t="s">
        <v>153</v>
      </c>
      <c r="C51" s="39"/>
      <c r="D51" s="44"/>
      <c r="E51" s="47"/>
      <c r="F51" s="48"/>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row>
    <row r="52" spans="1:61" s="37" customFormat="1" ht="17.399999999999999" x14ac:dyDescent="0.3">
      <c r="A52" s="54">
        <v>9</v>
      </c>
      <c r="B52" s="56" t="s">
        <v>154</v>
      </c>
      <c r="C52" s="39"/>
      <c r="D52" s="44"/>
      <c r="E52" s="47"/>
      <c r="F52" s="48"/>
      <c r="G52" s="47"/>
      <c r="H52" s="47"/>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7"/>
      <c r="BE52" s="47"/>
      <c r="BF52" s="47"/>
      <c r="BG52" s="47"/>
      <c r="BH52" s="47"/>
      <c r="BI52" s="47"/>
    </row>
    <row r="53" spans="1:61" s="37" customFormat="1" ht="17.399999999999999" x14ac:dyDescent="0.3">
      <c r="A53" s="54">
        <v>10</v>
      </c>
      <c r="B53" s="56" t="s">
        <v>148</v>
      </c>
      <c r="C53" s="39"/>
      <c r="D53" s="44"/>
      <c r="E53" s="47"/>
      <c r="F53" s="48"/>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row>
    <row r="54" spans="1:61" s="37" customFormat="1" ht="17.399999999999999" x14ac:dyDescent="0.3">
      <c r="A54" s="54">
        <v>11</v>
      </c>
      <c r="B54" s="56" t="s">
        <v>152</v>
      </c>
      <c r="C54" s="39"/>
      <c r="D54" s="44"/>
      <c r="E54" s="47"/>
      <c r="F54" s="48"/>
      <c r="G54" s="47"/>
      <c r="H54" s="47"/>
      <c r="I54" s="47"/>
      <c r="J54" s="47"/>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row>
    <row r="55" spans="1:61" s="37" customFormat="1" ht="17.399999999999999" x14ac:dyDescent="0.3">
      <c r="A55" s="54">
        <v>12</v>
      </c>
      <c r="B55" s="56" t="s">
        <v>158</v>
      </c>
      <c r="C55" s="39"/>
      <c r="D55" s="44"/>
      <c r="E55" s="47"/>
      <c r="F55" s="48"/>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row>
    <row r="56" spans="1:61" s="37" customFormat="1" ht="17.399999999999999" x14ac:dyDescent="0.3">
      <c r="A56" s="54">
        <v>13</v>
      </c>
      <c r="B56" s="56" t="s">
        <v>157</v>
      </c>
      <c r="C56" s="39"/>
      <c r="D56" s="44"/>
      <c r="E56" s="47"/>
      <c r="F56" s="48"/>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row>
    <row r="57" spans="1:61" ht="15.6" x14ac:dyDescent="0.3">
      <c r="A57" s="54">
        <v>14</v>
      </c>
      <c r="B57" s="56" t="s">
        <v>194</v>
      </c>
      <c r="D57" s="43"/>
      <c r="E57" s="46"/>
      <c r="F57" s="49"/>
      <c r="G57" s="46"/>
      <c r="H57" s="46"/>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row>
    <row r="58" spans="1:61" ht="15.6" x14ac:dyDescent="0.3">
      <c r="A58" s="54">
        <v>15</v>
      </c>
      <c r="B58" s="56" t="s">
        <v>195</v>
      </c>
      <c r="D58" s="43"/>
      <c r="E58" s="46"/>
      <c r="F58" s="49"/>
      <c r="G58" s="46"/>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row>
    <row r="59" spans="1:61" s="54" customFormat="1" ht="15.6" x14ac:dyDescent="0.3">
      <c r="A59" s="54">
        <v>16</v>
      </c>
      <c r="B59" s="56" t="s">
        <v>198</v>
      </c>
      <c r="C59" s="57"/>
      <c r="D59" s="58"/>
      <c r="E59" s="59"/>
      <c r="F59" s="60"/>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row>
    <row r="60" spans="1:61" s="54" customFormat="1" ht="15.6" x14ac:dyDescent="0.3">
      <c r="A60" s="54">
        <v>17</v>
      </c>
      <c r="B60" s="56" t="s">
        <v>199</v>
      </c>
      <c r="C60" s="57"/>
      <c r="D60" s="58"/>
      <c r="E60" s="59"/>
      <c r="F60" s="60"/>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row>
    <row r="61" spans="1:61" s="54" customFormat="1" ht="15.6" x14ac:dyDescent="0.3">
      <c r="B61" s="56"/>
      <c r="C61" s="57"/>
      <c r="D61" s="58"/>
      <c r="E61" s="59"/>
      <c r="F61" s="60"/>
      <c r="G61" s="59"/>
      <c r="H61" s="59"/>
      <c r="I61" s="59"/>
      <c r="J61" s="59"/>
      <c r="K61" s="59"/>
      <c r="L61" s="59"/>
      <c r="M61" s="59"/>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row>
    <row r="62" spans="1:61" s="54" customFormat="1" ht="15.6" x14ac:dyDescent="0.3">
      <c r="B62" s="56"/>
      <c r="C62" s="57"/>
      <c r="D62" s="58"/>
      <c r="E62" s="59"/>
      <c r="F62" s="60"/>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row>
    <row r="71" spans="1:61" ht="15.6" x14ac:dyDescent="0.3">
      <c r="A71" s="54"/>
      <c r="B71" s="54"/>
      <c r="D71" s="43"/>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row>
    <row r="72" spans="1:61" x14ac:dyDescent="0.25">
      <c r="D72" s="43"/>
      <c r="E72" s="46"/>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row>
    <row r="73" spans="1:61" x14ac:dyDescent="0.25">
      <c r="D73" s="43"/>
      <c r="E73" s="46"/>
      <c r="F73" s="46"/>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row>
    <row r="74" spans="1:61" x14ac:dyDescent="0.25">
      <c r="D74" s="43"/>
      <c r="E74" s="46"/>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c r="AK74" s="46"/>
      <c r="AL74" s="46"/>
      <c r="AM74" s="46"/>
      <c r="AN74" s="46"/>
      <c r="AO74" s="46"/>
      <c r="AP74" s="46"/>
      <c r="AQ74" s="46"/>
      <c r="AR74" s="46"/>
      <c r="AS74" s="46"/>
      <c r="AT74" s="46"/>
      <c r="AU74" s="46"/>
      <c r="AV74" s="46"/>
      <c r="AW74" s="46"/>
      <c r="AX74" s="46"/>
      <c r="AY74" s="46"/>
      <c r="AZ74" s="46"/>
      <c r="BA74" s="46"/>
      <c r="BB74" s="46"/>
      <c r="BC74" s="46"/>
      <c r="BD74" s="46"/>
      <c r="BE74" s="46"/>
      <c r="BF74" s="46"/>
      <c r="BG74" s="46"/>
      <c r="BH74" s="46"/>
      <c r="BI74" s="46"/>
    </row>
    <row r="75" spans="1:61" x14ac:dyDescent="0.25">
      <c r="D75" s="43"/>
      <c r="E75" s="46"/>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row>
    <row r="76" spans="1:61" x14ac:dyDescent="0.25">
      <c r="D76" s="43"/>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row>
    <row r="77" spans="1:61" x14ac:dyDescent="0.25">
      <c r="D77" s="43"/>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row>
    <row r="78" spans="1:61" ht="17.399999999999999" x14ac:dyDescent="0.3">
      <c r="B78" s="53" t="s">
        <v>188</v>
      </c>
      <c r="D78" s="43"/>
      <c r="E78" s="46"/>
      <c r="F78" s="49"/>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row>
    <row r="79" spans="1:61" x14ac:dyDescent="0.25">
      <c r="B79" s="16"/>
      <c r="D79" s="43"/>
      <c r="E79" s="46"/>
      <c r="F79" s="49"/>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row>
    <row r="80" spans="1:61" ht="15.6" x14ac:dyDescent="0.3">
      <c r="A80" s="54" t="s">
        <v>171</v>
      </c>
      <c r="B80" s="55" t="s">
        <v>189</v>
      </c>
      <c r="D80" s="43"/>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row>
    <row r="81" spans="1:61" ht="15.6" x14ac:dyDescent="0.3">
      <c r="A81" s="54" t="s">
        <v>172</v>
      </c>
      <c r="B81" s="55" t="s">
        <v>173</v>
      </c>
      <c r="D81" s="43"/>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row>
    <row r="82" spans="1:61" ht="15.6" x14ac:dyDescent="0.3">
      <c r="A82" s="54" t="s">
        <v>175</v>
      </c>
      <c r="B82" s="55" t="s">
        <v>174</v>
      </c>
      <c r="D82" s="43"/>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row>
    <row r="83" spans="1:61" ht="15.6" x14ac:dyDescent="0.3">
      <c r="A83" s="54" t="s">
        <v>176</v>
      </c>
      <c r="B83" s="55" t="s">
        <v>179</v>
      </c>
      <c r="D83" s="43"/>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row>
    <row r="84" spans="1:61" ht="15.6" x14ac:dyDescent="0.3">
      <c r="A84" s="54" t="s">
        <v>177</v>
      </c>
      <c r="B84" s="55" t="s">
        <v>190</v>
      </c>
      <c r="D84" s="43"/>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row>
    <row r="85" spans="1:61" ht="15.6" x14ac:dyDescent="0.3">
      <c r="A85" s="54" t="s">
        <v>178</v>
      </c>
      <c r="B85" s="55" t="s">
        <v>180</v>
      </c>
      <c r="D85" s="43"/>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c r="AE85" s="46"/>
      <c r="AF85" s="46"/>
      <c r="AG85" s="46"/>
      <c r="AH85" s="46"/>
      <c r="AI85" s="46"/>
      <c r="AJ85" s="46"/>
      <c r="AK85" s="46"/>
      <c r="AL85" s="46"/>
      <c r="AM85" s="46"/>
      <c r="AN85" s="46"/>
      <c r="AO85" s="46"/>
      <c r="AP85" s="46"/>
      <c r="AQ85" s="46"/>
      <c r="AR85" s="46"/>
      <c r="AS85" s="46"/>
      <c r="AT85" s="46"/>
      <c r="AU85" s="46"/>
      <c r="AV85" s="46"/>
      <c r="AW85" s="46"/>
      <c r="AX85" s="46"/>
      <c r="AY85" s="46"/>
      <c r="AZ85" s="46"/>
      <c r="BA85" s="46"/>
      <c r="BB85" s="46"/>
      <c r="BC85" s="46"/>
      <c r="BD85" s="46"/>
      <c r="BE85" s="46"/>
      <c r="BF85" s="46"/>
      <c r="BG85" s="46"/>
      <c r="BH85" s="46"/>
      <c r="BI85" s="46"/>
    </row>
    <row r="86" spans="1:61" x14ac:dyDescent="0.25">
      <c r="D86" s="43"/>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row>
    <row r="87" spans="1:61" x14ac:dyDescent="0.25">
      <c r="D87" s="43"/>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c r="AM87" s="46"/>
      <c r="AN87" s="46"/>
      <c r="AO87" s="46"/>
      <c r="AP87" s="46"/>
      <c r="AQ87" s="46"/>
      <c r="AR87" s="46"/>
      <c r="AS87" s="46"/>
      <c r="AT87" s="46"/>
      <c r="AU87" s="46"/>
      <c r="AV87" s="46"/>
      <c r="AW87" s="46"/>
      <c r="AX87" s="46"/>
      <c r="AY87" s="46"/>
      <c r="AZ87" s="46"/>
      <c r="BA87" s="46"/>
      <c r="BB87" s="46"/>
      <c r="BC87" s="46"/>
      <c r="BD87" s="46"/>
      <c r="BE87" s="46"/>
      <c r="BF87" s="46"/>
      <c r="BG87" s="46"/>
      <c r="BH87" s="46"/>
      <c r="BI87" s="46"/>
    </row>
    <row r="88" spans="1:61" x14ac:dyDescent="0.25">
      <c r="D88" s="43"/>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row>
    <row r="89" spans="1:61" x14ac:dyDescent="0.25">
      <c r="D89" s="43"/>
      <c r="E89" s="46"/>
      <c r="F89" s="46"/>
      <c r="G89" s="46"/>
      <c r="H89" s="46"/>
      <c r="I89" s="46"/>
      <c r="J89" s="46"/>
      <c r="K89" s="46"/>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row>
    <row r="90" spans="1:61" x14ac:dyDescent="0.25">
      <c r="D90" s="43"/>
      <c r="E90" s="46"/>
      <c r="F90" s="46"/>
      <c r="G90" s="46"/>
      <c r="H90" s="46"/>
      <c r="I90" s="46"/>
      <c r="J90" s="46"/>
      <c r="K90" s="46"/>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row>
    <row r="91" spans="1:61" x14ac:dyDescent="0.25">
      <c r="D91" s="43"/>
      <c r="E91" s="46"/>
      <c r="F91" s="46"/>
      <c r="G91" s="46"/>
      <c r="H91" s="46"/>
      <c r="I91" s="46"/>
      <c r="J91" s="46"/>
      <c r="K91" s="46"/>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row>
    <row r="92" spans="1:61" x14ac:dyDescent="0.25">
      <c r="D92" s="43"/>
      <c r="E92" s="46"/>
      <c r="F92" s="46"/>
      <c r="G92" s="46"/>
      <c r="H92" s="46"/>
      <c r="I92" s="46"/>
      <c r="J92" s="46"/>
      <c r="K92" s="46"/>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row>
    <row r="93" spans="1:61" x14ac:dyDescent="0.25">
      <c r="D93" s="43"/>
      <c r="E93" s="46"/>
      <c r="F93" s="46"/>
      <c r="G93" s="46"/>
      <c r="H93" s="46"/>
      <c r="I93" s="46"/>
      <c r="J93" s="46"/>
      <c r="K93" s="46"/>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row>
    <row r="94" spans="1:61" x14ac:dyDescent="0.25">
      <c r="D94" s="43"/>
      <c r="E94" s="46"/>
      <c r="F94" s="46"/>
      <c r="G94" s="46"/>
      <c r="H94" s="46"/>
      <c r="I94" s="46"/>
      <c r="J94" s="46"/>
      <c r="K94" s="46"/>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row>
    <row r="95" spans="1:61" x14ac:dyDescent="0.25">
      <c r="D95" s="43"/>
      <c r="E95" s="46"/>
      <c r="F95" s="46"/>
      <c r="G95" s="46"/>
      <c r="H95" s="46"/>
      <c r="I95" s="46"/>
      <c r="J95" s="46"/>
      <c r="K95" s="46"/>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row>
    <row r="96" spans="1:61" x14ac:dyDescent="0.25">
      <c r="D96" s="43"/>
      <c r="E96" s="46"/>
      <c r="F96" s="46"/>
      <c r="G96" s="46"/>
      <c r="H96" s="46"/>
      <c r="I96" s="46"/>
      <c r="J96" s="46"/>
      <c r="K96" s="46"/>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row>
    <row r="97" spans="4:61" x14ac:dyDescent="0.25">
      <c r="D97" s="43"/>
      <c r="E97" s="46"/>
      <c r="F97" s="46"/>
      <c r="G97" s="46"/>
      <c r="H97" s="46"/>
      <c r="I97" s="46"/>
      <c r="J97" s="46"/>
      <c r="K97" s="46"/>
      <c r="L97" s="46"/>
      <c r="M97" s="46"/>
      <c r="N97" s="46"/>
      <c r="O97" s="46"/>
      <c r="P97" s="46"/>
      <c r="Q97" s="46"/>
      <c r="R97" s="46"/>
      <c r="S97" s="46"/>
      <c r="T97" s="46"/>
      <c r="U97" s="46"/>
      <c r="V97" s="46"/>
      <c r="W97" s="46"/>
      <c r="X97" s="46"/>
      <c r="Y97" s="46"/>
      <c r="Z97" s="46"/>
      <c r="AA97" s="46"/>
      <c r="AB97" s="46"/>
      <c r="AC97" s="46"/>
      <c r="AD97" s="46"/>
      <c r="AE97" s="46"/>
      <c r="AF97" s="46"/>
      <c r="AG97" s="46"/>
      <c r="AH97" s="46"/>
      <c r="AI97" s="46"/>
      <c r="AJ97" s="46"/>
      <c r="AK97" s="46"/>
      <c r="AL97" s="46"/>
      <c r="AM97" s="46"/>
      <c r="AN97" s="46"/>
      <c r="AO97" s="46"/>
      <c r="AP97" s="46"/>
      <c r="AQ97" s="46"/>
      <c r="AR97" s="46"/>
      <c r="AS97" s="46"/>
      <c r="AT97" s="46"/>
      <c r="AU97" s="46"/>
      <c r="AV97" s="46"/>
      <c r="AW97" s="46"/>
      <c r="AX97" s="46"/>
      <c r="AY97" s="46"/>
      <c r="AZ97" s="46"/>
      <c r="BA97" s="46"/>
      <c r="BB97" s="46"/>
      <c r="BC97" s="46"/>
      <c r="BD97" s="46"/>
      <c r="BE97" s="46"/>
      <c r="BF97" s="46"/>
      <c r="BG97" s="46"/>
      <c r="BH97" s="46"/>
      <c r="BI97" s="46"/>
    </row>
    <row r="98" spans="4:61" x14ac:dyDescent="0.25">
      <c r="D98" s="43"/>
      <c r="E98" s="46"/>
      <c r="F98" s="46"/>
      <c r="G98" s="46"/>
      <c r="H98" s="46"/>
      <c r="I98" s="46"/>
      <c r="J98" s="46"/>
      <c r="K98" s="46"/>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row>
    <row r="99" spans="4:61" x14ac:dyDescent="0.25">
      <c r="D99" s="43"/>
      <c r="E99" s="46"/>
      <c r="F99" s="46"/>
      <c r="G99" s="46"/>
      <c r="H99" s="46"/>
      <c r="I99" s="46"/>
      <c r="J99" s="46"/>
      <c r="K99" s="46"/>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row>
  </sheetData>
  <pageMargins left="0.75" right="0.75" top="1" bottom="1" header="0.5" footer="0.5"/>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113"/>
  <sheetViews>
    <sheetView topLeftCell="AS1" zoomScale="75" workbookViewId="0">
      <selection activeCell="AE13" sqref="AE13"/>
    </sheetView>
  </sheetViews>
  <sheetFormatPr defaultColWidth="9.109375" defaultRowHeight="13.2" x14ac:dyDescent="0.25"/>
  <cols>
    <col min="1" max="1" width="10.5546875" style="3" bestFit="1" customWidth="1"/>
    <col min="2" max="2" width="39.6640625" style="4" customWidth="1"/>
    <col min="3" max="3" width="26.5546875" style="12" bestFit="1" customWidth="1"/>
    <col min="4" max="5" width="26.5546875" style="3" customWidth="1"/>
    <col min="6" max="6" width="15" style="3" bestFit="1" customWidth="1"/>
    <col min="7" max="8" width="26" style="4" customWidth="1"/>
    <col min="9" max="9" width="16.5546875" style="4" customWidth="1"/>
    <col min="10" max="10" width="13.5546875" style="4" customWidth="1"/>
    <col min="11" max="11" width="30.109375" style="3" bestFit="1" customWidth="1"/>
    <col min="12" max="15" width="9.109375" style="4"/>
    <col min="16" max="19" width="9.109375" style="3"/>
    <col min="20" max="20" width="9.109375" style="4"/>
    <col min="21" max="21" width="10.6640625" style="4" bestFit="1" customWidth="1"/>
    <col min="22" max="22" width="22" style="4" customWidth="1"/>
    <col min="23" max="23" width="26.33203125" style="4" customWidth="1"/>
    <col min="24" max="24" width="9.109375" style="3"/>
    <col min="25" max="25" width="15.109375" style="3" customWidth="1"/>
    <col min="26" max="26" width="20.109375" style="3" customWidth="1"/>
    <col min="27" max="27" width="28.109375" style="3" customWidth="1"/>
    <col min="28" max="28" width="28.33203125" style="4" bestFit="1" customWidth="1"/>
    <col min="29" max="29" width="16.33203125" style="3" bestFit="1" customWidth="1"/>
    <col min="30" max="30" width="19.88671875" style="4" bestFit="1" customWidth="1"/>
    <col min="31" max="31" width="19.44140625" style="9" bestFit="1" customWidth="1"/>
    <col min="32" max="32" width="13.109375" style="4" bestFit="1" customWidth="1"/>
    <col min="33" max="33" width="25.109375" style="3" bestFit="1" customWidth="1"/>
    <col min="34" max="39" width="9.109375" style="3"/>
    <col min="40" max="40" width="11.6640625" style="3" bestFit="1" customWidth="1"/>
    <col min="41" max="41" width="9.109375" style="3"/>
    <col min="42" max="42" width="21.88671875" style="4" customWidth="1"/>
    <col min="43" max="43" width="12.5546875" style="4" customWidth="1"/>
    <col min="44" max="44" width="9.109375" style="3"/>
    <col min="45" max="16384" width="9.109375" style="4"/>
  </cols>
  <sheetData>
    <row r="1" spans="1:44" s="2" customFormat="1" x14ac:dyDescent="0.25">
      <c r="A1" s="1" t="s">
        <v>7</v>
      </c>
      <c r="B1" s="2" t="s">
        <v>8</v>
      </c>
      <c r="C1" s="68" t="s">
        <v>9</v>
      </c>
      <c r="D1" s="68"/>
      <c r="E1" s="68"/>
      <c r="F1" s="68"/>
      <c r="G1" s="69" t="s">
        <v>12</v>
      </c>
      <c r="H1" s="69"/>
      <c r="I1" s="69"/>
      <c r="J1" s="69"/>
      <c r="K1" s="1" t="s">
        <v>16</v>
      </c>
      <c r="L1" s="62" t="s">
        <v>17</v>
      </c>
      <c r="M1" s="63"/>
      <c r="N1" s="63"/>
      <c r="O1" s="64"/>
      <c r="P1" s="65" t="s">
        <v>22</v>
      </c>
      <c r="Q1" s="66"/>
      <c r="R1" s="66"/>
      <c r="S1" s="67"/>
      <c r="T1" s="62" t="s">
        <v>26</v>
      </c>
      <c r="U1" s="63"/>
      <c r="V1" s="63"/>
      <c r="W1" s="64"/>
      <c r="X1" s="65" t="s">
        <v>25</v>
      </c>
      <c r="Y1" s="66"/>
      <c r="Z1" s="66"/>
      <c r="AA1" s="67"/>
      <c r="AB1" s="2" t="s">
        <v>27</v>
      </c>
      <c r="AC1" s="1" t="s">
        <v>28</v>
      </c>
      <c r="AD1" s="2" t="s">
        <v>29</v>
      </c>
      <c r="AE1" s="7" t="s">
        <v>30</v>
      </c>
      <c r="AF1" s="2" t="s">
        <v>31</v>
      </c>
      <c r="AG1" s="65" t="s">
        <v>32</v>
      </c>
      <c r="AH1" s="66"/>
      <c r="AI1" s="66"/>
      <c r="AJ1" s="66"/>
      <c r="AK1" s="66"/>
      <c r="AL1" s="66"/>
      <c r="AM1" s="66"/>
      <c r="AN1" s="66"/>
      <c r="AO1" s="67"/>
      <c r="AP1" s="62" t="s">
        <v>45</v>
      </c>
      <c r="AQ1" s="64"/>
      <c r="AR1" s="1" t="s">
        <v>48</v>
      </c>
    </row>
    <row r="2" spans="1:44" s="2" customFormat="1" x14ac:dyDescent="0.25">
      <c r="A2" s="1"/>
      <c r="C2" s="10" t="s">
        <v>10</v>
      </c>
      <c r="D2" s="1" t="s">
        <v>59</v>
      </c>
      <c r="E2" s="1" t="s">
        <v>50</v>
      </c>
      <c r="F2" s="1" t="s">
        <v>11</v>
      </c>
      <c r="G2" s="2" t="s">
        <v>14</v>
      </c>
      <c r="H2" s="2" t="s">
        <v>21</v>
      </c>
      <c r="I2" s="2" t="s">
        <v>15</v>
      </c>
      <c r="J2" s="2" t="s">
        <v>13</v>
      </c>
      <c r="K2" s="1"/>
      <c r="L2" s="2" t="s">
        <v>18</v>
      </c>
      <c r="M2" s="2" t="s">
        <v>19</v>
      </c>
      <c r="N2" s="2" t="s">
        <v>20</v>
      </c>
      <c r="O2" s="2" t="s">
        <v>21</v>
      </c>
      <c r="P2" s="1" t="s">
        <v>18</v>
      </c>
      <c r="Q2" s="1" t="s">
        <v>19</v>
      </c>
      <c r="R2" s="1" t="s">
        <v>20</v>
      </c>
      <c r="S2" s="1" t="s">
        <v>21</v>
      </c>
      <c r="T2" s="2" t="s">
        <v>92</v>
      </c>
      <c r="U2" s="2" t="s">
        <v>24</v>
      </c>
      <c r="V2" s="2" t="s">
        <v>71</v>
      </c>
      <c r="W2" s="2" t="s">
        <v>72</v>
      </c>
      <c r="X2" s="1" t="s">
        <v>23</v>
      </c>
      <c r="Y2" s="1" t="s">
        <v>74</v>
      </c>
      <c r="Z2" s="1" t="s">
        <v>71</v>
      </c>
      <c r="AA2" s="1" t="s">
        <v>73</v>
      </c>
      <c r="AC2" s="1"/>
      <c r="AE2" s="7"/>
      <c r="AG2" s="1" t="s">
        <v>33</v>
      </c>
      <c r="AH2" s="1" t="s">
        <v>34</v>
      </c>
      <c r="AI2" s="1" t="s">
        <v>57</v>
      </c>
      <c r="AJ2" s="1" t="s">
        <v>35</v>
      </c>
      <c r="AK2" s="1" t="s">
        <v>64</v>
      </c>
      <c r="AL2" s="1" t="s">
        <v>65</v>
      </c>
      <c r="AM2" s="1" t="s">
        <v>21</v>
      </c>
      <c r="AN2" s="1" t="s">
        <v>36</v>
      </c>
      <c r="AO2" s="1" t="s">
        <v>37</v>
      </c>
      <c r="AP2" s="2" t="s">
        <v>46</v>
      </c>
      <c r="AQ2" s="2" t="s">
        <v>47</v>
      </c>
      <c r="AR2" s="1"/>
    </row>
    <row r="3" spans="1:44" s="6" customFormat="1" x14ac:dyDescent="0.25">
      <c r="A3" s="5">
        <v>1</v>
      </c>
      <c r="C3" s="11"/>
      <c r="D3" s="5"/>
      <c r="E3" s="5"/>
      <c r="F3" s="5"/>
      <c r="G3" s="6">
        <v>1</v>
      </c>
      <c r="I3" s="6">
        <v>1</v>
      </c>
      <c r="J3" s="6">
        <v>1</v>
      </c>
      <c r="K3" s="3" t="s">
        <v>39</v>
      </c>
      <c r="L3" s="4" t="s">
        <v>40</v>
      </c>
      <c r="M3" s="4" t="s">
        <v>40</v>
      </c>
      <c r="N3" s="4" t="s">
        <v>42</v>
      </c>
      <c r="O3" s="4" t="s">
        <v>44</v>
      </c>
      <c r="P3" s="3" t="s">
        <v>40</v>
      </c>
      <c r="Q3" s="3" t="s">
        <v>40</v>
      </c>
      <c r="R3" s="3" t="s">
        <v>43</v>
      </c>
      <c r="S3" s="3" t="s">
        <v>43</v>
      </c>
      <c r="T3" s="6">
        <f>4*4.54596</f>
        <v>18.18384</v>
      </c>
      <c r="U3" s="6">
        <v>0</v>
      </c>
      <c r="V3" s="6">
        <v>10</v>
      </c>
      <c r="W3" s="6">
        <f>8*18</f>
        <v>144</v>
      </c>
      <c r="X3" s="5">
        <f>4.54596</f>
        <v>4.54596</v>
      </c>
      <c r="Y3" s="5">
        <v>0</v>
      </c>
      <c r="Z3" s="5">
        <v>10</v>
      </c>
      <c r="AA3" s="5">
        <v>0</v>
      </c>
      <c r="AB3" s="6">
        <v>50</v>
      </c>
      <c r="AC3" s="5">
        <v>4</v>
      </c>
      <c r="AD3" s="6">
        <v>2</v>
      </c>
      <c r="AE3" s="8">
        <f>2500/0.797</f>
        <v>3136.7628607277288</v>
      </c>
      <c r="AF3" s="6">
        <v>1998</v>
      </c>
      <c r="AG3" s="5"/>
      <c r="AH3" s="5"/>
      <c r="AI3" s="5"/>
      <c r="AJ3" s="5"/>
      <c r="AK3" s="5"/>
      <c r="AL3" s="5"/>
      <c r="AM3" s="5">
        <v>1</v>
      </c>
      <c r="AN3" s="5"/>
      <c r="AO3" s="5">
        <v>1</v>
      </c>
      <c r="AP3" s="6">
        <v>1</v>
      </c>
      <c r="AR3" s="5"/>
    </row>
    <row r="4" spans="1:44" x14ac:dyDescent="0.25">
      <c r="A4" s="3">
        <v>2</v>
      </c>
      <c r="B4" s="4" t="s">
        <v>38</v>
      </c>
      <c r="G4" s="4">
        <v>1</v>
      </c>
      <c r="J4" s="4">
        <v>1</v>
      </c>
      <c r="K4" s="3" t="s">
        <v>39</v>
      </c>
      <c r="L4" s="4" t="s">
        <v>40</v>
      </c>
      <c r="M4" s="4" t="s">
        <v>40</v>
      </c>
      <c r="N4" s="4" t="s">
        <v>42</v>
      </c>
      <c r="O4" s="4" t="s">
        <v>44</v>
      </c>
      <c r="P4" s="3" t="s">
        <v>41</v>
      </c>
      <c r="Q4" s="3" t="s">
        <v>40</v>
      </c>
      <c r="R4" s="3" t="s">
        <v>43</v>
      </c>
      <c r="S4" s="3" t="s">
        <v>43</v>
      </c>
      <c r="T4" s="4">
        <v>10</v>
      </c>
      <c r="U4" s="4">
        <v>0</v>
      </c>
      <c r="V4" s="4">
        <v>8</v>
      </c>
      <c r="W4" s="4">
        <v>0</v>
      </c>
      <c r="X4" s="3">
        <v>1</v>
      </c>
      <c r="Y4" s="3">
        <v>5</v>
      </c>
      <c r="Z4" s="3">
        <v>8</v>
      </c>
      <c r="AA4" s="3">
        <v>0</v>
      </c>
      <c r="AB4" s="4">
        <v>100</v>
      </c>
      <c r="AC4" s="3">
        <v>4</v>
      </c>
      <c r="AD4" s="4">
        <v>3</v>
      </c>
      <c r="AE4" s="9">
        <v>2000</v>
      </c>
      <c r="AO4" s="3">
        <v>1</v>
      </c>
      <c r="AP4" s="4">
        <v>1</v>
      </c>
      <c r="AR4" s="3" t="s">
        <v>49</v>
      </c>
    </row>
    <row r="5" spans="1:44" x14ac:dyDescent="0.25">
      <c r="A5" s="3">
        <v>3</v>
      </c>
      <c r="E5" s="3">
        <v>1</v>
      </c>
      <c r="G5" s="4">
        <v>1</v>
      </c>
      <c r="H5" s="4">
        <v>1</v>
      </c>
      <c r="K5" s="3" t="s">
        <v>51</v>
      </c>
      <c r="L5" s="4" t="s">
        <v>40</v>
      </c>
      <c r="M5" s="4" t="s">
        <v>40</v>
      </c>
      <c r="N5" s="4" t="s">
        <v>42</v>
      </c>
      <c r="O5" s="4" t="s">
        <v>44</v>
      </c>
      <c r="P5" s="3" t="s">
        <v>40</v>
      </c>
      <c r="Q5" s="3" t="s">
        <v>40</v>
      </c>
      <c r="R5" s="3" t="s">
        <v>43</v>
      </c>
      <c r="S5" s="3" t="s">
        <v>43</v>
      </c>
      <c r="T5" s="4">
        <v>8</v>
      </c>
      <c r="U5" s="4">
        <v>0</v>
      </c>
      <c r="V5" s="4">
        <v>12</v>
      </c>
      <c r="W5" s="4">
        <f>8*18</f>
        <v>144</v>
      </c>
      <c r="X5" s="3">
        <v>1</v>
      </c>
      <c r="Y5" s="3">
        <v>2</v>
      </c>
      <c r="Z5" s="3">
        <v>12</v>
      </c>
      <c r="AA5" s="3">
        <v>0</v>
      </c>
      <c r="AB5" s="4">
        <v>50</v>
      </c>
      <c r="AC5" s="3">
        <v>3</v>
      </c>
      <c r="AD5" s="4">
        <v>1</v>
      </c>
      <c r="AO5" s="3">
        <v>2</v>
      </c>
      <c r="AP5" s="4">
        <v>1</v>
      </c>
      <c r="AR5" s="3" t="s">
        <v>52</v>
      </c>
    </row>
    <row r="6" spans="1:44" x14ac:dyDescent="0.25">
      <c r="A6" s="3">
        <v>4</v>
      </c>
      <c r="C6" s="12">
        <v>1</v>
      </c>
      <c r="F6" s="3">
        <v>1</v>
      </c>
      <c r="G6" s="4" t="s">
        <v>53</v>
      </c>
      <c r="K6" s="3" t="s">
        <v>53</v>
      </c>
      <c r="L6" s="4" t="s">
        <v>40</v>
      </c>
      <c r="M6" s="4" t="s">
        <v>40</v>
      </c>
      <c r="N6" s="4" t="s">
        <v>42</v>
      </c>
      <c r="O6" s="4" t="s">
        <v>44</v>
      </c>
      <c r="P6" s="3" t="s">
        <v>40</v>
      </c>
      <c r="Q6" s="3" t="s">
        <v>40</v>
      </c>
      <c r="R6" s="3" t="s">
        <v>43</v>
      </c>
      <c r="S6" s="3" t="s">
        <v>43</v>
      </c>
      <c r="T6" s="4">
        <v>10</v>
      </c>
      <c r="U6" s="4">
        <v>0</v>
      </c>
      <c r="V6" s="4">
        <v>10</v>
      </c>
      <c r="W6" s="4">
        <f>15*18</f>
        <v>270</v>
      </c>
      <c r="X6" s="3">
        <v>1</v>
      </c>
      <c r="Y6" s="3">
        <v>4</v>
      </c>
      <c r="Z6" s="3">
        <v>10</v>
      </c>
      <c r="AA6" s="3">
        <f>5*18</f>
        <v>90</v>
      </c>
      <c r="AC6" s="3">
        <v>5</v>
      </c>
      <c r="AD6" s="4">
        <v>3</v>
      </c>
      <c r="AE6" s="9">
        <v>2000</v>
      </c>
      <c r="AG6" s="3">
        <v>1</v>
      </c>
      <c r="AM6" s="3">
        <v>1</v>
      </c>
      <c r="AN6" s="3">
        <v>1</v>
      </c>
      <c r="AO6" s="3">
        <v>1</v>
      </c>
      <c r="AP6" s="4">
        <v>1</v>
      </c>
      <c r="AR6" s="3" t="s">
        <v>54</v>
      </c>
    </row>
    <row r="7" spans="1:44" x14ac:dyDescent="0.25">
      <c r="A7" s="3">
        <v>5</v>
      </c>
      <c r="C7" s="12">
        <v>1</v>
      </c>
      <c r="F7" s="3">
        <v>1</v>
      </c>
      <c r="G7" s="4">
        <v>1</v>
      </c>
      <c r="I7" s="4" t="s">
        <v>55</v>
      </c>
      <c r="J7" s="4">
        <v>1</v>
      </c>
      <c r="K7" s="3" t="s">
        <v>56</v>
      </c>
      <c r="L7" s="4" t="s">
        <v>40</v>
      </c>
      <c r="M7" s="4" t="s">
        <v>40</v>
      </c>
      <c r="N7" s="4" t="s">
        <v>42</v>
      </c>
      <c r="O7" s="4" t="s">
        <v>44</v>
      </c>
      <c r="P7" s="3" t="s">
        <v>40</v>
      </c>
      <c r="Q7" s="3" t="s">
        <v>40</v>
      </c>
      <c r="R7" s="3" t="s">
        <v>43</v>
      </c>
      <c r="S7" s="3" t="s">
        <v>43</v>
      </c>
      <c r="T7" s="4">
        <v>20</v>
      </c>
      <c r="U7" s="4">
        <v>0</v>
      </c>
      <c r="V7" s="4">
        <v>8</v>
      </c>
      <c r="W7" s="4">
        <f>15*18</f>
        <v>270</v>
      </c>
      <c r="X7" s="3">
        <v>1</v>
      </c>
      <c r="Y7" s="3">
        <v>5</v>
      </c>
      <c r="Z7" s="3">
        <v>8</v>
      </c>
      <c r="AA7" s="3">
        <v>0</v>
      </c>
      <c r="AB7" s="4">
        <v>50</v>
      </c>
      <c r="AC7" s="3">
        <v>5</v>
      </c>
      <c r="AD7" s="4">
        <v>5</v>
      </c>
      <c r="AE7" s="9">
        <f>4800/0.797</f>
        <v>6022.5846925972392</v>
      </c>
      <c r="AF7" s="4">
        <v>1998</v>
      </c>
      <c r="AG7" s="3">
        <v>1</v>
      </c>
      <c r="AH7" s="3">
        <v>1</v>
      </c>
      <c r="AI7" s="3">
        <v>1</v>
      </c>
      <c r="AM7" s="3">
        <v>1</v>
      </c>
      <c r="AN7" s="3">
        <v>1</v>
      </c>
      <c r="AO7" s="3">
        <v>4</v>
      </c>
      <c r="AP7" s="4">
        <v>1</v>
      </c>
      <c r="AR7" s="3" t="s">
        <v>58</v>
      </c>
    </row>
    <row r="8" spans="1:44" x14ac:dyDescent="0.25">
      <c r="A8" s="3">
        <v>6</v>
      </c>
      <c r="D8" s="3">
        <v>1</v>
      </c>
      <c r="F8" s="3">
        <v>1</v>
      </c>
      <c r="G8" s="4">
        <v>1</v>
      </c>
      <c r="K8" s="3" t="s">
        <v>60</v>
      </c>
      <c r="L8" s="4" t="s">
        <v>40</v>
      </c>
      <c r="M8" s="4" t="s">
        <v>40</v>
      </c>
      <c r="N8" s="4" t="s">
        <v>42</v>
      </c>
      <c r="O8" s="4" t="s">
        <v>44</v>
      </c>
      <c r="P8" s="3" t="s">
        <v>40</v>
      </c>
      <c r="Q8" s="3" t="s">
        <v>40</v>
      </c>
      <c r="R8" s="3" t="s">
        <v>43</v>
      </c>
      <c r="S8" s="3" t="s">
        <v>43</v>
      </c>
      <c r="T8" s="4">
        <f>3*4.54596</f>
        <v>13.637879999999999</v>
      </c>
      <c r="U8" s="4">
        <v>0</v>
      </c>
      <c r="V8" s="4">
        <v>10</v>
      </c>
      <c r="W8" s="4">
        <f>16*18</f>
        <v>288</v>
      </c>
      <c r="X8" s="3">
        <v>0</v>
      </c>
      <c r="Y8" s="3">
        <v>0</v>
      </c>
      <c r="Z8" s="3">
        <v>5</v>
      </c>
      <c r="AA8" s="3">
        <v>0</v>
      </c>
      <c r="AB8" s="4">
        <v>50</v>
      </c>
      <c r="AC8" s="3">
        <v>8</v>
      </c>
      <c r="AD8" s="4">
        <v>8</v>
      </c>
      <c r="AE8" s="9">
        <f>4200/0.712</f>
        <v>5898.8764044943819</v>
      </c>
      <c r="AF8" s="4">
        <v>1997</v>
      </c>
      <c r="AG8" s="3">
        <v>1</v>
      </c>
      <c r="AH8" s="3">
        <v>1</v>
      </c>
      <c r="AI8" s="3">
        <v>1</v>
      </c>
      <c r="AM8" s="3">
        <v>1</v>
      </c>
      <c r="AO8" s="3">
        <v>1</v>
      </c>
      <c r="AP8" s="4">
        <v>1</v>
      </c>
      <c r="AR8" s="3" t="s">
        <v>61</v>
      </c>
    </row>
    <row r="9" spans="1:44" x14ac:dyDescent="0.25">
      <c r="A9" s="3">
        <v>7</v>
      </c>
      <c r="G9" s="4">
        <v>1</v>
      </c>
      <c r="K9" s="3" t="s">
        <v>39</v>
      </c>
      <c r="L9" s="4" t="s">
        <v>40</v>
      </c>
      <c r="M9" s="4" t="s">
        <v>40</v>
      </c>
      <c r="N9" s="4" t="s">
        <v>42</v>
      </c>
      <c r="O9" s="4" t="s">
        <v>44</v>
      </c>
      <c r="P9" s="3" t="s">
        <v>40</v>
      </c>
      <c r="Q9" s="3" t="s">
        <v>40</v>
      </c>
      <c r="R9" s="3" t="s">
        <v>43</v>
      </c>
      <c r="S9" s="3" t="s">
        <v>62</v>
      </c>
      <c r="T9" s="4">
        <f>2.5*4.54596</f>
        <v>11.3649</v>
      </c>
      <c r="U9" s="4">
        <v>0</v>
      </c>
      <c r="V9" s="4">
        <v>11</v>
      </c>
      <c r="W9" s="4">
        <f>1*18</f>
        <v>18</v>
      </c>
      <c r="X9" s="3">
        <v>4.54596</v>
      </c>
      <c r="Y9" s="3">
        <v>3</v>
      </c>
      <c r="Z9" s="3">
        <v>9</v>
      </c>
      <c r="AA9" s="3">
        <f>1*18</f>
        <v>18</v>
      </c>
      <c r="AB9" s="4">
        <v>50</v>
      </c>
      <c r="AC9" s="3">
        <v>5</v>
      </c>
      <c r="AD9" s="4">
        <v>4</v>
      </c>
      <c r="AE9" s="9">
        <v>4000</v>
      </c>
      <c r="AF9" s="4">
        <v>1999</v>
      </c>
      <c r="AG9" s="3">
        <v>1</v>
      </c>
      <c r="AH9" s="3">
        <v>1</v>
      </c>
      <c r="AM9" s="3">
        <v>1</v>
      </c>
      <c r="AN9" s="3">
        <v>1</v>
      </c>
      <c r="AO9" s="3">
        <v>2</v>
      </c>
      <c r="AP9" s="4">
        <v>1</v>
      </c>
      <c r="AR9" s="3" t="s">
        <v>63</v>
      </c>
    </row>
    <row r="10" spans="1:44" x14ac:dyDescent="0.25">
      <c r="A10" s="3">
        <v>8</v>
      </c>
      <c r="T10" s="4">
        <f>3*4.54596</f>
        <v>13.637879999999999</v>
      </c>
      <c r="U10" s="4">
        <v>0</v>
      </c>
      <c r="V10" s="4">
        <v>15</v>
      </c>
      <c r="W10" s="4">
        <v>0</v>
      </c>
      <c r="X10" s="3">
        <f>4.54596</f>
        <v>4.54596</v>
      </c>
      <c r="Y10" s="3">
        <v>10</v>
      </c>
      <c r="Z10" s="3">
        <v>15</v>
      </c>
      <c r="AA10" s="3">
        <v>0</v>
      </c>
      <c r="AB10" s="4">
        <v>50</v>
      </c>
      <c r="AC10" s="3">
        <v>10</v>
      </c>
      <c r="AD10" s="4">
        <v>6</v>
      </c>
      <c r="AE10" s="9">
        <f>5000/0.712</f>
        <v>7022.4719101123601</v>
      </c>
      <c r="AF10" s="4">
        <v>1997</v>
      </c>
      <c r="AG10" s="3">
        <v>1</v>
      </c>
      <c r="AH10" s="3">
        <v>1</v>
      </c>
      <c r="AJ10" s="3">
        <v>1</v>
      </c>
      <c r="AK10" s="3">
        <v>1</v>
      </c>
      <c r="AL10" s="3">
        <v>1</v>
      </c>
      <c r="AM10" s="3">
        <v>1</v>
      </c>
      <c r="AN10" s="3">
        <v>1</v>
      </c>
      <c r="AO10" s="3">
        <v>4</v>
      </c>
    </row>
    <row r="11" spans="1:44" x14ac:dyDescent="0.25">
      <c r="A11" s="3">
        <v>9</v>
      </c>
      <c r="K11" s="3">
        <f>6/8*100</f>
        <v>75</v>
      </c>
      <c r="T11" s="4">
        <f>4*4.54596</f>
        <v>18.18384</v>
      </c>
      <c r="U11" s="4">
        <v>0</v>
      </c>
      <c r="V11" s="4">
        <v>10</v>
      </c>
      <c r="W11" s="4">
        <f>4*18</f>
        <v>72</v>
      </c>
      <c r="X11" s="3">
        <v>2</v>
      </c>
      <c r="Y11" s="3">
        <v>11</v>
      </c>
      <c r="Z11" s="3">
        <v>10</v>
      </c>
      <c r="AA11" s="3">
        <f>1*18</f>
        <v>18</v>
      </c>
      <c r="AB11" s="4">
        <v>50</v>
      </c>
      <c r="AC11" s="3">
        <v>7</v>
      </c>
      <c r="AD11" s="4">
        <v>6</v>
      </c>
      <c r="AG11" s="3">
        <v>1</v>
      </c>
      <c r="AH11" s="3">
        <v>1</v>
      </c>
      <c r="AL11" s="3">
        <v>1</v>
      </c>
      <c r="AM11" s="3">
        <v>1</v>
      </c>
      <c r="AN11" s="3">
        <v>1</v>
      </c>
      <c r="AO11" s="3">
        <v>1</v>
      </c>
    </row>
    <row r="13" spans="1:44" x14ac:dyDescent="0.25">
      <c r="T13" s="4">
        <f>AVERAGE(T3:T11)</f>
        <v>13.667593333333334</v>
      </c>
      <c r="V13" s="4">
        <f>AVERAGE(V3:V11)</f>
        <v>10.444444444444445</v>
      </c>
      <c r="X13" s="3">
        <f>AVERAGE(X3:X11)</f>
        <v>2.181986666666667</v>
      </c>
      <c r="Y13" s="3">
        <f>AVERAGE(Y3:Y11)</f>
        <v>4.4444444444444446</v>
      </c>
      <c r="Z13" s="3">
        <f>AVERAGE(Z3:Z11)</f>
        <v>9.6666666666666661</v>
      </c>
      <c r="AB13" s="4">
        <f>AVERAGE(AB3:AB11)</f>
        <v>56.25</v>
      </c>
      <c r="AC13" s="3">
        <f>AVERAGE(AC3:AC11)</f>
        <v>5.666666666666667</v>
      </c>
      <c r="AD13" s="4">
        <f>AVERAGE(AD3:AD11)</f>
        <v>4.2222222222222223</v>
      </c>
      <c r="AE13" s="9">
        <f>AVERAGE(AE3:AE10)</f>
        <v>4297.2422668473873</v>
      </c>
    </row>
    <row r="14" spans="1:44" x14ac:dyDescent="0.25">
      <c r="AD14" s="13"/>
    </row>
    <row r="15" spans="1:44" x14ac:dyDescent="0.25">
      <c r="A15" s="1" t="s">
        <v>78</v>
      </c>
      <c r="T15" s="4" t="s">
        <v>76</v>
      </c>
      <c r="Y15" s="3" t="s">
        <v>75</v>
      </c>
    </row>
    <row r="16" spans="1:44" x14ac:dyDescent="0.25">
      <c r="A16" s="1" t="s">
        <v>80</v>
      </c>
    </row>
    <row r="17" spans="1:20" x14ac:dyDescent="0.25">
      <c r="A17" s="3" t="s">
        <v>79</v>
      </c>
      <c r="T17" s="4" t="s">
        <v>77</v>
      </c>
    </row>
    <row r="18" spans="1:20" x14ac:dyDescent="0.25">
      <c r="A18" s="3" t="s">
        <v>142</v>
      </c>
    </row>
    <row r="20" spans="1:20" x14ac:dyDescent="0.25">
      <c r="A20" s="1" t="s">
        <v>81</v>
      </c>
    </row>
    <row r="21" spans="1:20" x14ac:dyDescent="0.25">
      <c r="A21" s="3" t="s">
        <v>82</v>
      </c>
    </row>
    <row r="23" spans="1:20" x14ac:dyDescent="0.25">
      <c r="A23" s="1" t="s">
        <v>83</v>
      </c>
    </row>
    <row r="24" spans="1:20" x14ac:dyDescent="0.25">
      <c r="A24" s="3" t="s">
        <v>84</v>
      </c>
    </row>
    <row r="26" spans="1:20" x14ac:dyDescent="0.25">
      <c r="A26" s="1" t="s">
        <v>85</v>
      </c>
    </row>
    <row r="27" spans="1:20" x14ac:dyDescent="0.25">
      <c r="A27" s="3" t="s">
        <v>86</v>
      </c>
    </row>
    <row r="29" spans="1:20" x14ac:dyDescent="0.25">
      <c r="A29" s="1" t="s">
        <v>87</v>
      </c>
    </row>
    <row r="30" spans="1:20" x14ac:dyDescent="0.25">
      <c r="A30" s="3" t="s">
        <v>88</v>
      </c>
    </row>
    <row r="32" spans="1:20" x14ac:dyDescent="0.25">
      <c r="A32" s="1" t="s">
        <v>89</v>
      </c>
    </row>
    <row r="33" spans="1:3" x14ac:dyDescent="0.25">
      <c r="A33" s="1" t="s">
        <v>90</v>
      </c>
    </row>
    <row r="34" spans="1:3" x14ac:dyDescent="0.25">
      <c r="A34" s="3" t="s">
        <v>93</v>
      </c>
      <c r="C34" s="12">
        <f>13.66759*12</f>
        <v>164.01107999999999</v>
      </c>
    </row>
    <row r="35" spans="1:3" x14ac:dyDescent="0.25">
      <c r="A35" s="3" t="s">
        <v>91</v>
      </c>
      <c r="C35" s="12">
        <f>2.181987*12</f>
        <v>26.183844000000001</v>
      </c>
    </row>
    <row r="37" spans="1:3" x14ac:dyDescent="0.25">
      <c r="A37" s="3" t="s">
        <v>94</v>
      </c>
      <c r="C37" s="12">
        <f>C34*31</f>
        <v>5084.3434799999995</v>
      </c>
    </row>
    <row r="38" spans="1:3" x14ac:dyDescent="0.25">
      <c r="A38" s="3" t="s">
        <v>95</v>
      </c>
      <c r="C38" s="12">
        <f>C35*31</f>
        <v>811.699164</v>
      </c>
    </row>
    <row r="40" spans="1:3" x14ac:dyDescent="0.25">
      <c r="A40" s="3" t="s">
        <v>96</v>
      </c>
      <c r="C40" s="12">
        <f>(C37/4.54596)*50</f>
        <v>55921.559802549949</v>
      </c>
    </row>
    <row r="41" spans="1:3" x14ac:dyDescent="0.25">
      <c r="A41" s="3" t="s">
        <v>97</v>
      </c>
      <c r="C41" s="12">
        <f>(C38/4.54596)*50</f>
        <v>8927.6980439775107</v>
      </c>
    </row>
    <row r="42" spans="1:3" x14ac:dyDescent="0.25">
      <c r="A42" s="3" t="s">
        <v>98</v>
      </c>
    </row>
    <row r="44" spans="1:3" x14ac:dyDescent="0.25">
      <c r="A44" s="3" t="s">
        <v>99</v>
      </c>
      <c r="C44" s="12">
        <f>C40-C41</f>
        <v>46993.861758572442</v>
      </c>
    </row>
    <row r="46" spans="1:3" x14ac:dyDescent="0.25">
      <c r="A46" s="1" t="s">
        <v>100</v>
      </c>
    </row>
    <row r="47" spans="1:3" x14ac:dyDescent="0.25">
      <c r="A47" s="3" t="s">
        <v>143</v>
      </c>
      <c r="C47" s="12">
        <f>(8+0+8+15+15+16+1+0+4)/9</f>
        <v>7.4444444444444446</v>
      </c>
    </row>
    <row r="48" spans="1:3" x14ac:dyDescent="0.25">
      <c r="A48" s="3" t="s">
        <v>144</v>
      </c>
      <c r="C48" s="12">
        <f>(0+0+0+5+0+0+1+0+1)/9</f>
        <v>0.77777777777777779</v>
      </c>
    </row>
    <row r="50" spans="1:3" x14ac:dyDescent="0.25">
      <c r="A50" s="3" t="s">
        <v>101</v>
      </c>
      <c r="C50" s="12">
        <f>C47*31*12</f>
        <v>2769.333333333333</v>
      </c>
    </row>
    <row r="51" spans="1:3" x14ac:dyDescent="0.25">
      <c r="A51" s="3" t="s">
        <v>102</v>
      </c>
      <c r="C51" s="12">
        <f>C48*12*31</f>
        <v>289.33333333333337</v>
      </c>
    </row>
    <row r="53" spans="1:3" x14ac:dyDescent="0.25">
      <c r="A53" s="3" t="s">
        <v>96</v>
      </c>
      <c r="C53" s="12">
        <f>C50*18</f>
        <v>49847.999999999993</v>
      </c>
    </row>
    <row r="54" spans="1:3" x14ac:dyDescent="0.25">
      <c r="A54" s="3" t="s">
        <v>97</v>
      </c>
      <c r="C54" s="12">
        <f>C51*18</f>
        <v>5208.0000000000009</v>
      </c>
    </row>
    <row r="55" spans="1:3" x14ac:dyDescent="0.25">
      <c r="A55" s="3" t="s">
        <v>103</v>
      </c>
    </row>
    <row r="57" spans="1:3" x14ac:dyDescent="0.25">
      <c r="A57" s="3" t="s">
        <v>104</v>
      </c>
      <c r="C57" s="12">
        <f>C53-C54</f>
        <v>44639.999999999993</v>
      </c>
    </row>
    <row r="59" spans="1:3" x14ac:dyDescent="0.25">
      <c r="A59" s="1" t="s">
        <v>105</v>
      </c>
    </row>
    <row r="60" spans="1:3" x14ac:dyDescent="0.25">
      <c r="A60" s="3" t="s">
        <v>108</v>
      </c>
      <c r="C60" s="12">
        <f>10.44*12</f>
        <v>125.28</v>
      </c>
    </row>
    <row r="61" spans="1:3" x14ac:dyDescent="0.25">
      <c r="A61" s="3" t="s">
        <v>109</v>
      </c>
      <c r="C61" s="12">
        <f>9.66*12</f>
        <v>115.92</v>
      </c>
    </row>
    <row r="63" spans="1:3" x14ac:dyDescent="0.25">
      <c r="A63" s="3" t="s">
        <v>110</v>
      </c>
      <c r="C63" s="12">
        <f>C60*31</f>
        <v>3883.68</v>
      </c>
    </row>
    <row r="64" spans="1:3" x14ac:dyDescent="0.25">
      <c r="A64" s="3" t="s">
        <v>111</v>
      </c>
      <c r="C64" s="12">
        <f>C61*31</f>
        <v>3593.52</v>
      </c>
    </row>
    <row r="66" spans="1:3" x14ac:dyDescent="0.25">
      <c r="A66" s="3" t="s">
        <v>96</v>
      </c>
      <c r="C66" s="12">
        <f>C63*70</f>
        <v>271857.59999999998</v>
      </c>
    </row>
    <row r="67" spans="1:3" x14ac:dyDescent="0.25">
      <c r="A67" s="3" t="s">
        <v>97</v>
      </c>
      <c r="C67" s="12">
        <f>C64*70</f>
        <v>251546.4</v>
      </c>
    </row>
    <row r="68" spans="1:3" x14ac:dyDescent="0.25">
      <c r="A68" s="3" t="s">
        <v>106</v>
      </c>
    </row>
    <row r="70" spans="1:3" x14ac:dyDescent="0.25">
      <c r="A70" s="3" t="s">
        <v>107</v>
      </c>
      <c r="C70" s="12">
        <f>C66-C67</f>
        <v>20311.199999999983</v>
      </c>
    </row>
    <row r="72" spans="1:3" x14ac:dyDescent="0.25">
      <c r="A72" s="1" t="s">
        <v>112</v>
      </c>
    </row>
    <row r="73" spans="1:3" x14ac:dyDescent="0.25">
      <c r="A73" s="3" t="s">
        <v>113</v>
      </c>
    </row>
    <row r="74" spans="1:3" x14ac:dyDescent="0.25">
      <c r="A74" s="3" t="s">
        <v>114</v>
      </c>
      <c r="C74" s="12">
        <f>Y13</f>
        <v>4.4444444444444446</v>
      </c>
    </row>
    <row r="75" spans="1:3" x14ac:dyDescent="0.25">
      <c r="A75" s="3" t="s">
        <v>115</v>
      </c>
      <c r="C75" s="12">
        <f>C74*12</f>
        <v>53.333333333333336</v>
      </c>
    </row>
    <row r="76" spans="1:3" x14ac:dyDescent="0.25">
      <c r="A76" s="3" t="s">
        <v>116</v>
      </c>
      <c r="C76" s="12">
        <f>C75*31</f>
        <v>1653.3333333333335</v>
      </c>
    </row>
    <row r="77" spans="1:3" x14ac:dyDescent="0.25">
      <c r="A77" s="3" t="s">
        <v>117</v>
      </c>
      <c r="C77" s="12">
        <f>C76*35</f>
        <v>57866.666666666672</v>
      </c>
    </row>
    <row r="78" spans="1:3" x14ac:dyDescent="0.25">
      <c r="A78" s="3" t="s">
        <v>118</v>
      </c>
    </row>
    <row r="80" spans="1:3" x14ac:dyDescent="0.25">
      <c r="A80" s="1" t="s">
        <v>119</v>
      </c>
    </row>
    <row r="81" spans="1:3" x14ac:dyDescent="0.25">
      <c r="A81" s="3" t="s">
        <v>120</v>
      </c>
      <c r="C81" s="12">
        <f>AB13</f>
        <v>56.25</v>
      </c>
    </row>
    <row r="82" spans="1:3" x14ac:dyDescent="0.25">
      <c r="A82" s="3" t="s">
        <v>121</v>
      </c>
      <c r="C82" s="12">
        <f>C81*12</f>
        <v>675</v>
      </c>
    </row>
    <row r="83" spans="1:3" x14ac:dyDescent="0.25">
      <c r="A83" s="3" t="s">
        <v>122</v>
      </c>
      <c r="C83" s="12">
        <f>C82*31</f>
        <v>20925</v>
      </c>
    </row>
    <row r="85" spans="1:3" x14ac:dyDescent="0.25">
      <c r="A85" s="1" t="s">
        <v>123</v>
      </c>
    </row>
    <row r="86" spans="1:3" x14ac:dyDescent="0.25">
      <c r="A86" s="3" t="s">
        <v>124</v>
      </c>
      <c r="C86" s="12">
        <f>AC13</f>
        <v>5.666666666666667</v>
      </c>
    </row>
    <row r="87" spans="1:3" x14ac:dyDescent="0.25">
      <c r="A87" s="3" t="s">
        <v>125</v>
      </c>
      <c r="C87" s="12">
        <f>31*C86</f>
        <v>175.66666666666669</v>
      </c>
    </row>
    <row r="88" spans="1:3" x14ac:dyDescent="0.25">
      <c r="A88" s="3" t="s">
        <v>129</v>
      </c>
      <c r="C88" s="12">
        <f>C87*50*6</f>
        <v>52700</v>
      </c>
    </row>
    <row r="89" spans="1:3" x14ac:dyDescent="0.25">
      <c r="A89" s="3" t="s">
        <v>128</v>
      </c>
    </row>
    <row r="92" spans="1:3" x14ac:dyDescent="0.25">
      <c r="A92" s="3" t="s">
        <v>126</v>
      </c>
      <c r="C92" s="12">
        <f>AD13</f>
        <v>4.2222222222222223</v>
      </c>
    </row>
    <row r="93" spans="1:3" x14ac:dyDescent="0.25">
      <c r="A93" s="3" t="s">
        <v>127</v>
      </c>
      <c r="C93" s="12">
        <f>C92*31</f>
        <v>130.88888888888889</v>
      </c>
    </row>
    <row r="94" spans="1:3" x14ac:dyDescent="0.25">
      <c r="A94" s="3" t="s">
        <v>130</v>
      </c>
      <c r="C94" s="12">
        <f>C93*15</f>
        <v>1963.3333333333333</v>
      </c>
    </row>
    <row r="95" spans="1:3" x14ac:dyDescent="0.25">
      <c r="A95" s="3" t="s">
        <v>131</v>
      </c>
    </row>
    <row r="97" spans="1:3" x14ac:dyDescent="0.25">
      <c r="A97" s="1" t="s">
        <v>132</v>
      </c>
    </row>
    <row r="98" spans="1:3" x14ac:dyDescent="0.25">
      <c r="A98" s="3" t="s">
        <v>133</v>
      </c>
    </row>
    <row r="100" spans="1:3" x14ac:dyDescent="0.25">
      <c r="A100" s="1" t="s">
        <v>134</v>
      </c>
    </row>
    <row r="101" spans="1:3" x14ac:dyDescent="0.25">
      <c r="A101" s="3" t="s">
        <v>135</v>
      </c>
      <c r="C101" s="12">
        <f>6/9*100</f>
        <v>66.666666666666657</v>
      </c>
    </row>
    <row r="102" spans="1:3" x14ac:dyDescent="0.25">
      <c r="A102" s="3" t="s">
        <v>34</v>
      </c>
      <c r="C102" s="12">
        <f>5/9*100</f>
        <v>55.555555555555557</v>
      </c>
    </row>
    <row r="103" spans="1:3" x14ac:dyDescent="0.25">
      <c r="A103" s="3" t="s">
        <v>136</v>
      </c>
      <c r="C103" s="12">
        <f>2/9*100</f>
        <v>22.222222222222221</v>
      </c>
    </row>
    <row r="104" spans="1:3" x14ac:dyDescent="0.25">
      <c r="A104" s="3" t="s">
        <v>35</v>
      </c>
      <c r="C104" s="12">
        <f>1/9*100</f>
        <v>11.111111111111111</v>
      </c>
    </row>
    <row r="105" spans="1:3" x14ac:dyDescent="0.25">
      <c r="A105" s="3" t="s">
        <v>64</v>
      </c>
      <c r="C105" s="12">
        <f>1/9*100</f>
        <v>11.111111111111111</v>
      </c>
    </row>
    <row r="106" spans="1:3" x14ac:dyDescent="0.25">
      <c r="A106" s="3" t="s">
        <v>65</v>
      </c>
      <c r="C106" s="12">
        <f>2/9*100</f>
        <v>22.222222222222221</v>
      </c>
    </row>
    <row r="107" spans="1:3" x14ac:dyDescent="0.25">
      <c r="A107" s="3" t="s">
        <v>21</v>
      </c>
      <c r="C107" s="12">
        <f>7/9*100</f>
        <v>77.777777777777786</v>
      </c>
    </row>
    <row r="108" spans="1:3" x14ac:dyDescent="0.25">
      <c r="A108" s="3" t="s">
        <v>137</v>
      </c>
      <c r="C108" s="12">
        <f>5/9*100</f>
        <v>55.555555555555557</v>
      </c>
    </row>
    <row r="109" spans="1:3" x14ac:dyDescent="0.25">
      <c r="A109" s="3" t="s">
        <v>37</v>
      </c>
      <c r="C109" s="12">
        <v>100</v>
      </c>
    </row>
    <row r="111" spans="1:3" x14ac:dyDescent="0.25">
      <c r="A111" s="1" t="s">
        <v>138</v>
      </c>
    </row>
    <row r="112" spans="1:3" x14ac:dyDescent="0.25">
      <c r="A112" s="3" t="s">
        <v>140</v>
      </c>
      <c r="C112" s="12">
        <f>AE13</f>
        <v>4297.2422668473873</v>
      </c>
    </row>
    <row r="113" spans="1:3" x14ac:dyDescent="0.25">
      <c r="A113" s="3" t="s">
        <v>139</v>
      </c>
      <c r="C113" s="12">
        <f>C112*31</f>
        <v>133214.51027226902</v>
      </c>
    </row>
  </sheetData>
  <mergeCells count="8">
    <mergeCell ref="T1:W1"/>
    <mergeCell ref="X1:AA1"/>
    <mergeCell ref="AG1:AO1"/>
    <mergeCell ref="AP1:AQ1"/>
    <mergeCell ref="C1:F1"/>
    <mergeCell ref="G1:J1"/>
    <mergeCell ref="L1:O1"/>
    <mergeCell ref="P1:S1"/>
  </mergeCells>
  <pageMargins left="0.75" right="0.75" top="1" bottom="1" header="0.5" footer="0.5"/>
  <pageSetup paperSize="9" scale="72" fitToHeight="2" orientation="landscape" horizontalDpi="180" verticalDpi="18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CBA</vt:lpstr>
      <vt:lpstr>Individ. Hh. Analysis</vt:lpstr>
      <vt:lpstr>CBA!Print_Area</vt:lpstr>
      <vt:lpstr>'Individ. Hh. Analysis'!Print_Area</vt:lpstr>
    </vt:vector>
  </TitlesOfParts>
  <Company>CCT Chitral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Burhanuddin</dc:creator>
  <cp:lastModifiedBy>Aniket Gupta</cp:lastModifiedBy>
  <cp:lastPrinted>2000-05-25T18:42:32Z</cp:lastPrinted>
  <dcterms:created xsi:type="dcterms:W3CDTF">2000-02-07T12:43:48Z</dcterms:created>
  <dcterms:modified xsi:type="dcterms:W3CDTF">2024-02-03T22:21:29Z</dcterms:modified>
</cp:coreProperties>
</file>