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1241DE54-02E6-4BD7-8547-2E2C531F570B}" xr6:coauthVersionLast="47" xr6:coauthVersionMax="47" xr10:uidLastSave="{00000000-0000-0000-0000-000000000000}"/>
  <bookViews>
    <workbookView xWindow="3348" yWindow="3348" windowWidth="17280" windowHeight="8880"/>
  </bookViews>
  <sheets>
    <sheet name="2003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 s="1"/>
  <c r="D4" i="1"/>
  <c r="E4" i="1"/>
  <c r="F4" i="1" s="1"/>
  <c r="D5" i="1"/>
  <c r="E5" i="1" s="1"/>
  <c r="F5" i="1" s="1"/>
  <c r="D6" i="1"/>
  <c r="E6" i="1" s="1"/>
  <c r="F6" i="1" s="1"/>
  <c r="D7" i="1"/>
  <c r="E7" i="1"/>
  <c r="F7" i="1" s="1"/>
  <c r="D8" i="1"/>
  <c r="E8" i="1" s="1"/>
  <c r="F8" i="1" s="1"/>
  <c r="D9" i="1"/>
  <c r="E9" i="1" s="1"/>
  <c r="F9" i="1" s="1"/>
  <c r="D10" i="1"/>
  <c r="E10" i="1"/>
  <c r="F10" i="1"/>
  <c r="H10" i="1" s="1"/>
  <c r="D11" i="1"/>
  <c r="E11" i="1"/>
  <c r="F11" i="1" s="1"/>
  <c r="D12" i="1"/>
  <c r="E12" i="1"/>
  <c r="F12" i="1" s="1"/>
  <c r="D13" i="1"/>
  <c r="E13" i="1"/>
  <c r="F13" i="1" s="1"/>
  <c r="F14" i="1"/>
  <c r="J14" i="1" s="1"/>
  <c r="H14" i="1"/>
  <c r="F15" i="1"/>
  <c r="H15" i="1" s="1"/>
  <c r="J15" i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F14" i="2"/>
  <c r="H14" i="2" s="1"/>
  <c r="F15" i="2"/>
  <c r="H15" i="2" s="1"/>
  <c r="J9" i="1" l="1"/>
  <c r="H9" i="1"/>
  <c r="H12" i="1"/>
  <c r="J12" i="1"/>
  <c r="H11" i="1"/>
  <c r="J11" i="1"/>
  <c r="H12" i="2"/>
  <c r="I12" i="2"/>
  <c r="H6" i="1"/>
  <c r="J6" i="1"/>
  <c r="H3" i="1"/>
  <c r="J3" i="1"/>
  <c r="H3" i="2"/>
  <c r="I3" i="2"/>
  <c r="H10" i="2"/>
  <c r="I10" i="2"/>
  <c r="H9" i="2"/>
  <c r="I9" i="2"/>
  <c r="H8" i="2"/>
  <c r="I8" i="2"/>
  <c r="H5" i="1"/>
  <c r="I5" i="1" s="1"/>
  <c r="J5" i="1"/>
  <c r="H5" i="2"/>
  <c r="I5" i="2"/>
  <c r="H4" i="2"/>
  <c r="I4" i="2"/>
  <c r="H7" i="2"/>
  <c r="C23" i="2" s="1"/>
  <c r="E23" i="2" s="1"/>
  <c r="I7" i="2"/>
  <c r="H4" i="1"/>
  <c r="J4" i="1"/>
  <c r="H13" i="2"/>
  <c r="I13" i="2"/>
  <c r="H11" i="2"/>
  <c r="I11" i="2"/>
  <c r="J7" i="1"/>
  <c r="H7" i="1"/>
  <c r="I10" i="1" s="1"/>
  <c r="H6" i="2"/>
  <c r="I6" i="2"/>
  <c r="H13" i="1"/>
  <c r="J13" i="1"/>
  <c r="J8" i="1"/>
  <c r="H8" i="1"/>
  <c r="I14" i="2"/>
  <c r="J10" i="1"/>
  <c r="I15" i="2"/>
  <c r="B20" i="1" l="1"/>
  <c r="I6" i="1"/>
  <c r="I4" i="1"/>
  <c r="C24" i="1"/>
  <c r="B20" i="2"/>
  <c r="I7" i="1"/>
  <c r="C23" i="1"/>
  <c r="E23" i="1" s="1"/>
  <c r="C24" i="2"/>
  <c r="I9" i="1"/>
  <c r="E24" i="2" l="1"/>
  <c r="E22" i="2" s="1"/>
  <c r="C22" i="2"/>
  <c r="J15" i="2"/>
  <c r="K15" i="2" s="1"/>
  <c r="L15" i="2" s="1"/>
  <c r="J3" i="2"/>
  <c r="K3" i="2" s="1"/>
  <c r="L3" i="2" s="1"/>
  <c r="J7" i="2"/>
  <c r="K7" i="2" s="1"/>
  <c r="L7" i="2" s="1"/>
  <c r="J9" i="2"/>
  <c r="K9" i="2" s="1"/>
  <c r="L9" i="2" s="1"/>
  <c r="J11" i="2"/>
  <c r="K11" i="2" s="1"/>
  <c r="L11" i="2" s="1"/>
  <c r="J13" i="2"/>
  <c r="K13" i="2" s="1"/>
  <c r="L13" i="2" s="1"/>
  <c r="J14" i="2"/>
  <c r="K14" i="2" s="1"/>
  <c r="L14" i="2" s="1"/>
  <c r="J4" i="2"/>
  <c r="K4" i="2" s="1"/>
  <c r="L4" i="2" s="1"/>
  <c r="J6" i="2"/>
  <c r="K6" i="2" s="1"/>
  <c r="L6" i="2" s="1"/>
  <c r="J8" i="2"/>
  <c r="K8" i="2" s="1"/>
  <c r="L8" i="2" s="1"/>
  <c r="J10" i="2"/>
  <c r="K10" i="2" s="1"/>
  <c r="L10" i="2" s="1"/>
  <c r="J12" i="2"/>
  <c r="K12" i="2" s="1"/>
  <c r="L12" i="2" s="1"/>
  <c r="J5" i="2"/>
  <c r="K5" i="2" s="1"/>
  <c r="L5" i="2" s="1"/>
  <c r="E24" i="1"/>
  <c r="E22" i="1" s="1"/>
  <c r="C22" i="1"/>
  <c r="K6" i="1"/>
  <c r="L6" i="1" s="1"/>
  <c r="M6" i="1" s="1"/>
  <c r="K7" i="1"/>
  <c r="L7" i="1" s="1"/>
  <c r="M7" i="1" s="1"/>
  <c r="K8" i="1"/>
  <c r="L8" i="1" s="1"/>
  <c r="M8" i="1" s="1"/>
  <c r="K14" i="1"/>
  <c r="L14" i="1" s="1"/>
  <c r="M14" i="1" s="1"/>
  <c r="K9" i="1"/>
  <c r="L9" i="1" s="1"/>
  <c r="M9" i="1" s="1"/>
  <c r="K5" i="1"/>
  <c r="L5" i="1" s="1"/>
  <c r="M5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3" i="1"/>
  <c r="L3" i="1" s="1"/>
  <c r="M3" i="1" s="1"/>
  <c r="K15" i="1"/>
  <c r="L15" i="1" s="1"/>
  <c r="M15" i="1" s="1"/>
  <c r="K4" i="1"/>
  <c r="L4" i="1" s="1"/>
  <c r="M4" i="1" s="1"/>
</calcChain>
</file>

<file path=xl/sharedStrings.xml><?xml version="1.0" encoding="utf-8"?>
<sst xmlns="http://schemas.openxmlformats.org/spreadsheetml/2006/main" count="80" uniqueCount="80">
  <si>
    <t>Species</t>
  </si>
  <si>
    <t>Conc</t>
  </si>
  <si>
    <t>Molar Mass</t>
  </si>
  <si>
    <t>MM</t>
  </si>
  <si>
    <t>M</t>
  </si>
  <si>
    <t xml:space="preserve">m </t>
  </si>
  <si>
    <t>abs(z)</t>
  </si>
  <si>
    <t>N</t>
  </si>
  <si>
    <t>%</t>
  </si>
  <si>
    <t>mi*zi^2</t>
  </si>
  <si>
    <t>log gi</t>
  </si>
  <si>
    <t>gi</t>
  </si>
  <si>
    <t>a</t>
  </si>
  <si>
    <t>(mg/L)</t>
  </si>
  <si>
    <t>(g)</t>
  </si>
  <si>
    <t>(mg)</t>
  </si>
  <si>
    <t>(meq/L)</t>
  </si>
  <si>
    <t>Na +</t>
  </si>
  <si>
    <t>K +</t>
  </si>
  <si>
    <t>Ca +2</t>
  </si>
  <si>
    <t>Mg +2</t>
  </si>
  <si>
    <t>Cl -</t>
  </si>
  <si>
    <t>NO3 -</t>
  </si>
  <si>
    <t>HCO3 -</t>
  </si>
  <si>
    <t>SO4 -2</t>
  </si>
  <si>
    <t>CO3 -2</t>
  </si>
  <si>
    <t>SiO2</t>
  </si>
  <si>
    <t>F -</t>
  </si>
  <si>
    <t>H+</t>
  </si>
  <si>
    <t>OH-</t>
  </si>
  <si>
    <t>Molality</t>
  </si>
  <si>
    <t>Eq Conc</t>
  </si>
  <si>
    <t>Piper Plot</t>
  </si>
  <si>
    <t>Activity</t>
  </si>
  <si>
    <t>Ionic Strength</t>
  </si>
  <si>
    <t xml:space="preserve">Charge Balance: </t>
  </si>
  <si>
    <t>%</t>
  </si>
  <si>
    <t>%</t>
  </si>
  <si>
    <t>Anions</t>
  </si>
  <si>
    <t>Cations</t>
  </si>
  <si>
    <t>incl. H/OH</t>
  </si>
  <si>
    <t>Species</t>
  </si>
  <si>
    <t>Conc</t>
  </si>
  <si>
    <t>Molar Mass</t>
  </si>
  <si>
    <t>MM</t>
  </si>
  <si>
    <t>M</t>
  </si>
  <si>
    <t xml:space="preserve">m </t>
  </si>
  <si>
    <t>abs(z)</t>
  </si>
  <si>
    <t>N</t>
  </si>
  <si>
    <t>mi*zi^2</t>
  </si>
  <si>
    <t>log gi</t>
  </si>
  <si>
    <t>gi</t>
  </si>
  <si>
    <t>a</t>
  </si>
  <si>
    <t>(mg/L)</t>
  </si>
  <si>
    <t>(g)</t>
  </si>
  <si>
    <t>(mg)</t>
  </si>
  <si>
    <t>(meq/L)?</t>
  </si>
  <si>
    <t>Na +</t>
  </si>
  <si>
    <t>K +</t>
  </si>
  <si>
    <t>Ca +2</t>
  </si>
  <si>
    <t>Mg +2</t>
  </si>
  <si>
    <t>Cl -</t>
  </si>
  <si>
    <t>NO3 -</t>
  </si>
  <si>
    <t>HCO3 -</t>
  </si>
  <si>
    <t>SO4 -2</t>
  </si>
  <si>
    <t>CO3 -2</t>
  </si>
  <si>
    <t>SiO2</t>
  </si>
  <si>
    <t>F -</t>
  </si>
  <si>
    <t>H+</t>
  </si>
  <si>
    <t>OH-</t>
  </si>
  <si>
    <t>Molality</t>
  </si>
  <si>
    <t>Eq Conc</t>
  </si>
  <si>
    <t>Activity</t>
  </si>
  <si>
    <t>Ionic Strength</t>
  </si>
  <si>
    <t xml:space="preserve">Charge Balance: </t>
  </si>
  <si>
    <t>%</t>
  </si>
  <si>
    <t>%</t>
  </si>
  <si>
    <t>Anions</t>
  </si>
  <si>
    <t>Cations</t>
  </si>
  <si>
    <t>incl. H/OH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</si>
</sst>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color indexed="8"/>
      <name val="Verdana"/>
      <family val="2"/>
    </font>
    <font>
      <b/>
      <sz val="10"/>
      <color indexed="13"/>
      <name val="Verdana"/>
      <family val="2"/>
    </font>
    <font>
      <b/>
      <sz val="10"/>
      <color indexed="14"/>
      <name val="Verdana"/>
      <family val="2"/>
    </font>
    <font>
      <b/>
      <sz val="10"/>
      <color indexed="11"/>
      <name val="Verdana"/>
      <family val="2"/>
    </font>
    <font>
      <b/>
      <sz val="10"/>
      <color indexed="12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sz val="10"/>
      <color indexed="11"/>
      <name val="Verdana"/>
      <family val="2"/>
    </font>
    <font>
      <b/>
      <sz val="10"/>
      <color indexed="15"/>
      <name val="Verdana"/>
      <family val="2"/>
    </font>
    <font>
      <b/>
      <sz val="10"/>
      <color indexed="10"/>
      <name val="Verdana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11" fontId="1" fillId="0" borderId="0" xfId="0" applyNumberFormat="1" applyFont="1"/>
    <xf numFmtId="11" fontId="3" fillId="0" borderId="0" xfId="0" applyNumberFormat="1" applyFont="1"/>
    <xf numFmtId="11" fontId="5" fillId="0" borderId="0" xfId="0" applyNumberFormat="1" applyFont="1"/>
    <xf numFmtId="0" fontId="6" fillId="0" borderId="0" xfId="0" applyFont="1"/>
    <xf numFmtId="11" fontId="7" fillId="0" borderId="0" xfId="0" applyNumberFormat="1" applyFont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7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008000"/>
      <rgbColor rgb="00663300"/>
      <rgbColor rgb="00800080"/>
      <rgbColor rgb="00FF0000"/>
      <rgbColor rgb="00FF6600"/>
      <rgbColor rgb="00FFCC00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19" sqref="H19"/>
    </sheetView>
  </sheetViews>
  <sheetFormatPr defaultRowHeight="13.2" x14ac:dyDescent="0.25"/>
  <cols>
    <col min="1" max="1" width="9.109375" customWidth="1"/>
    <col min="2" max="2" width="10.6640625" customWidth="1"/>
    <col min="3" max="3" width="9.88671875" customWidth="1"/>
    <col min="4" max="4" width="9.109375" customWidth="1"/>
    <col min="5" max="5" width="9.5546875" customWidth="1"/>
    <col min="6" max="6" width="12.21875" customWidth="1"/>
    <col min="7" max="7" width="8.5546875" customWidth="1"/>
    <col min="8" max="8" width="12.21875" customWidth="1"/>
    <col min="9" max="10" width="9.6640625" customWidth="1"/>
    <col min="11" max="11" width="10.5546875" customWidth="1"/>
    <col min="12" max="12" width="9.5546875" customWidth="1"/>
    <col min="13" max="13" width="11.5546875" customWidth="1"/>
    <col min="14" max="256" width="9.109375" customWidth="1"/>
  </cols>
  <sheetData>
    <row r="1" spans="1:13" s="1" customFormat="1" ht="12.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s="1" customFormat="1" ht="12.6" x14ac:dyDescent="0.2">
      <c r="B2" s="1" t="s">
        <v>13</v>
      </c>
      <c r="C2" s="1" t="s">
        <v>14</v>
      </c>
      <c r="D2" s="1" t="s">
        <v>15</v>
      </c>
      <c r="F2" s="2"/>
      <c r="H2" s="3" t="s">
        <v>16</v>
      </c>
      <c r="I2" s="6"/>
      <c r="M2" s="5"/>
    </row>
    <row r="3" spans="1:13" s="1" customFormat="1" ht="12.6" x14ac:dyDescent="0.2">
      <c r="A3" s="1" t="s">
        <v>17</v>
      </c>
      <c r="B3" s="1">
        <v>16.3</v>
      </c>
      <c r="C3" s="1">
        <v>22.99</v>
      </c>
      <c r="D3" s="1">
        <f t="shared" ref="D3:D13" si="0">C3*1000</f>
        <v>22990</v>
      </c>
      <c r="E3" s="7">
        <f t="shared" ref="E3:E13" si="1">B3/D3</f>
        <v>7.0900391474554162E-4</v>
      </c>
      <c r="F3" s="2">
        <f t="shared" ref="F3:F13" si="2">E3*(1000/999.7)</f>
        <v>7.0921667974946638E-4</v>
      </c>
      <c r="G3" s="1">
        <v>1</v>
      </c>
      <c r="H3" s="8">
        <f t="shared" ref="H3:H15" si="3">F3*G3</f>
        <v>7.0921667974946638E-4</v>
      </c>
      <c r="I3" s="6"/>
      <c r="J3" s="7">
        <f t="shared" ref="J3:J15" si="4">F3*G3^2</f>
        <v>7.0921667974946638E-4</v>
      </c>
      <c r="K3" s="7">
        <f t="shared" ref="K3:K15" si="5">-0.51*(G3^2)*SQRT($B$20)</f>
        <v>-5.5202618306147186E-2</v>
      </c>
      <c r="L3" s="7">
        <f t="shared" ref="L3:L15" si="6">10^K3</f>
        <v>0.88063791914814737</v>
      </c>
      <c r="M3" s="9">
        <f t="shared" ref="M3:M15" si="7">F3*L3</f>
        <v>6.245631010797281E-4</v>
      </c>
    </row>
    <row r="4" spans="1:13" s="1" customFormat="1" ht="12.6" x14ac:dyDescent="0.2">
      <c r="A4" s="1" t="s">
        <v>18</v>
      </c>
      <c r="B4" s="1">
        <v>2.4</v>
      </c>
      <c r="C4" s="1">
        <v>39.1</v>
      </c>
      <c r="D4" s="1">
        <f t="shared" si="0"/>
        <v>39100</v>
      </c>
      <c r="E4" s="7">
        <f t="shared" si="1"/>
        <v>6.1381074168797949E-5</v>
      </c>
      <c r="F4" s="2">
        <f t="shared" si="2"/>
        <v>6.1399494017003045E-5</v>
      </c>
      <c r="G4" s="1">
        <v>1</v>
      </c>
      <c r="H4" s="8">
        <f t="shared" si="3"/>
        <v>6.1399494017003045E-5</v>
      </c>
      <c r="I4" s="6">
        <f>SUM(H3:H4)/SUM(H3:H6)</f>
        <v>0.10238947882090736</v>
      </c>
      <c r="J4" s="7">
        <f t="shared" si="4"/>
        <v>6.1399494017003045E-5</v>
      </c>
      <c r="K4" s="7">
        <f t="shared" si="5"/>
        <v>-5.5202618306147186E-2</v>
      </c>
      <c r="L4" s="7">
        <f t="shared" si="6"/>
        <v>0.88063791914814737</v>
      </c>
      <c r="M4" s="9">
        <f t="shared" si="7"/>
        <v>5.4070722647882685E-5</v>
      </c>
    </row>
    <row r="5" spans="1:13" s="1" customFormat="1" ht="12.6" x14ac:dyDescent="0.2">
      <c r="A5" s="1" t="s">
        <v>19</v>
      </c>
      <c r="B5" s="1">
        <v>121</v>
      </c>
      <c r="C5" s="1">
        <v>40.08</v>
      </c>
      <c r="D5" s="1">
        <f t="shared" si="0"/>
        <v>40080</v>
      </c>
      <c r="E5" s="7">
        <f t="shared" si="1"/>
        <v>3.0189620758483034E-3</v>
      </c>
      <c r="F5" s="2">
        <f t="shared" si="2"/>
        <v>3.0198680362591808E-3</v>
      </c>
      <c r="G5" s="1">
        <v>2</v>
      </c>
      <c r="H5" s="8">
        <f t="shared" si="3"/>
        <v>6.0397360725183615E-3</v>
      </c>
      <c r="I5" s="6">
        <f>H5/SUM(H3:H6)</f>
        <v>0.8024817668418065</v>
      </c>
      <c r="J5" s="7">
        <f t="shared" si="4"/>
        <v>1.2079472145036723E-2</v>
      </c>
      <c r="K5" s="7">
        <f t="shared" si="5"/>
        <v>-0.22081047322458874</v>
      </c>
      <c r="L5" s="7">
        <f t="shared" si="6"/>
        <v>0.6014361478747634</v>
      </c>
      <c r="M5" s="9">
        <f t="shared" si="7"/>
        <v>1.816257798817848E-3</v>
      </c>
    </row>
    <row r="6" spans="1:13" s="1" customFormat="1" ht="12.6" x14ac:dyDescent="0.2">
      <c r="A6" s="1" t="s">
        <v>20</v>
      </c>
      <c r="B6" s="1">
        <v>8.7000000000000011</v>
      </c>
      <c r="C6" s="1">
        <v>24.31</v>
      </c>
      <c r="D6" s="1">
        <f t="shared" si="0"/>
        <v>24310</v>
      </c>
      <c r="E6" s="7">
        <f t="shared" si="1"/>
        <v>3.5787741670094614E-4</v>
      </c>
      <c r="F6" s="2">
        <f t="shared" si="2"/>
        <v>3.5798481214458947E-4</v>
      </c>
      <c r="G6" s="1">
        <v>2</v>
      </c>
      <c r="H6" s="8">
        <f t="shared" si="3"/>
        <v>7.1596962428917895E-4</v>
      </c>
      <c r="I6" s="6">
        <f>H6/(SUM(H3:H6))</f>
        <v>9.5128754337286153E-2</v>
      </c>
      <c r="J6" s="7">
        <f t="shared" si="4"/>
        <v>1.4319392485783579E-3</v>
      </c>
      <c r="K6" s="7">
        <f t="shared" si="5"/>
        <v>-0.22081047322458874</v>
      </c>
      <c r="L6" s="7">
        <f t="shared" si="6"/>
        <v>0.6014361478747634</v>
      </c>
      <c r="M6" s="9">
        <f t="shared" si="7"/>
        <v>2.1530500641391272E-4</v>
      </c>
    </row>
    <row r="7" spans="1:13" s="1" customFormat="1" ht="12.6" x14ac:dyDescent="0.2">
      <c r="A7" s="1" t="s">
        <v>21</v>
      </c>
      <c r="B7" s="1">
        <v>6.8</v>
      </c>
      <c r="C7" s="1">
        <v>35.450000000000003</v>
      </c>
      <c r="D7" s="1">
        <f t="shared" si="0"/>
        <v>35450</v>
      </c>
      <c r="E7" s="7">
        <f t="shared" si="1"/>
        <v>1.9181946403385049E-4</v>
      </c>
      <c r="F7" s="2">
        <f t="shared" si="2"/>
        <v>1.9187702714199307E-4</v>
      </c>
      <c r="G7" s="1">
        <v>1</v>
      </c>
      <c r="H7" s="8">
        <f t="shared" si="3"/>
        <v>1.9187702714199307E-4</v>
      </c>
      <c r="I7" s="6">
        <f>H7/(H7+H9+H10)</f>
        <v>2.4176541057508039E-2</v>
      </c>
      <c r="J7" s="7">
        <f t="shared" si="4"/>
        <v>1.9187702714199307E-4</v>
      </c>
      <c r="K7" s="7">
        <f t="shared" si="5"/>
        <v>-5.5202618306147186E-2</v>
      </c>
      <c r="L7" s="7">
        <f t="shared" si="6"/>
        <v>0.88063791914814737</v>
      </c>
      <c r="M7" s="9">
        <f t="shared" si="7"/>
        <v>1.6897418591465738E-4</v>
      </c>
    </row>
    <row r="8" spans="1:13" s="1" customFormat="1" ht="12.6" x14ac:dyDescent="0.2">
      <c r="A8" s="1" t="s">
        <v>22</v>
      </c>
      <c r="B8" s="1">
        <v>1.2</v>
      </c>
      <c r="C8" s="1">
        <v>62.01</v>
      </c>
      <c r="D8" s="1">
        <f t="shared" si="0"/>
        <v>62010</v>
      </c>
      <c r="E8" s="7">
        <f t="shared" si="1"/>
        <v>1.935171746492501E-5</v>
      </c>
      <c r="F8" s="2">
        <f t="shared" si="2"/>
        <v>1.9357524722341713E-5</v>
      </c>
      <c r="G8" s="1">
        <v>1</v>
      </c>
      <c r="H8" s="8">
        <f t="shared" si="3"/>
        <v>1.9357524722341713E-5</v>
      </c>
      <c r="I8" s="6"/>
      <c r="J8" s="7">
        <f t="shared" si="4"/>
        <v>1.9357524722341713E-5</v>
      </c>
      <c r="K8" s="7">
        <f t="shared" si="5"/>
        <v>-5.5202618306147186E-2</v>
      </c>
      <c r="L8" s="7">
        <f t="shared" si="6"/>
        <v>0.88063791914814737</v>
      </c>
      <c r="M8" s="9">
        <f t="shared" si="7"/>
        <v>1.7046970291341826E-5</v>
      </c>
    </row>
    <row r="9" spans="1:13" s="1" customFormat="1" ht="12.6" x14ac:dyDescent="0.2">
      <c r="A9" s="1" t="s">
        <v>23</v>
      </c>
      <c r="B9" s="1">
        <v>414</v>
      </c>
      <c r="C9" s="1">
        <v>61.02</v>
      </c>
      <c r="D9" s="1">
        <f t="shared" si="0"/>
        <v>61020</v>
      </c>
      <c r="E9" s="7">
        <f t="shared" si="1"/>
        <v>6.7846607669616518E-3</v>
      </c>
      <c r="F9" s="2">
        <f t="shared" si="2"/>
        <v>6.7866967759944493E-3</v>
      </c>
      <c r="G9" s="1">
        <v>1</v>
      </c>
      <c r="H9" s="8">
        <f t="shared" si="3"/>
        <v>6.7866967759944493E-3</v>
      </c>
      <c r="I9" s="6">
        <f>H9/(H9+H7+H10)</f>
        <v>0.85512505427898566</v>
      </c>
      <c r="J9" s="7">
        <f t="shared" si="4"/>
        <v>6.7866967759944493E-3</v>
      </c>
      <c r="K9" s="7">
        <f t="shared" si="5"/>
        <v>-5.5202618306147186E-2</v>
      </c>
      <c r="L9" s="7">
        <f t="shared" si="6"/>
        <v>0.88063791914814737</v>
      </c>
      <c r="M9" s="9">
        <f t="shared" si="7"/>
        <v>5.9766225267011922E-3</v>
      </c>
    </row>
    <row r="10" spans="1:13" s="1" customFormat="1" ht="12.6" x14ac:dyDescent="0.2">
      <c r="A10" s="1" t="s">
        <v>24</v>
      </c>
      <c r="B10" s="1">
        <v>46</v>
      </c>
      <c r="C10" s="1">
        <v>96.07</v>
      </c>
      <c r="D10" s="1">
        <f t="shared" si="0"/>
        <v>96070</v>
      </c>
      <c r="E10" s="7">
        <f t="shared" si="1"/>
        <v>4.788175288851879E-4</v>
      </c>
      <c r="F10" s="2">
        <f t="shared" si="2"/>
        <v>4.7896121725036296E-4</v>
      </c>
      <c r="G10" s="1">
        <v>2</v>
      </c>
      <c r="H10" s="8">
        <f t="shared" si="3"/>
        <v>9.5792243450072592E-4</v>
      </c>
      <c r="I10" s="6">
        <f>H10/(H10+H9+H7)</f>
        <v>0.12069840466350627</v>
      </c>
      <c r="J10" s="7">
        <f t="shared" si="4"/>
        <v>1.9158448690014518E-3</v>
      </c>
      <c r="K10" s="7">
        <f t="shared" si="5"/>
        <v>-0.22081047322458874</v>
      </c>
      <c r="L10" s="7">
        <f t="shared" si="6"/>
        <v>0.6014361478747634</v>
      </c>
      <c r="M10" s="9">
        <f t="shared" si="7"/>
        <v>2.88064589484466E-4</v>
      </c>
    </row>
    <row r="11" spans="1:13" s="1" customFormat="1" ht="12.6" x14ac:dyDescent="0.2">
      <c r="A11" s="1" t="s">
        <v>25</v>
      </c>
      <c r="B11" s="1">
        <v>3.1</v>
      </c>
      <c r="C11" s="1">
        <v>60.01</v>
      </c>
      <c r="D11" s="1">
        <f t="shared" si="0"/>
        <v>60010</v>
      </c>
      <c r="E11" s="7">
        <f t="shared" si="1"/>
        <v>5.1658056990501584E-5</v>
      </c>
      <c r="F11" s="2">
        <f t="shared" si="2"/>
        <v>5.1673559058219048E-5</v>
      </c>
      <c r="G11" s="1">
        <v>2</v>
      </c>
      <c r="H11" s="8">
        <f t="shared" si="3"/>
        <v>1.033471181164381E-4</v>
      </c>
      <c r="I11" s="6"/>
      <c r="J11" s="7">
        <f t="shared" si="4"/>
        <v>2.0669423623287619E-4</v>
      </c>
      <c r="K11" s="7">
        <f t="shared" si="5"/>
        <v>-0.22081047322458874</v>
      </c>
      <c r="L11" s="7">
        <f t="shared" si="6"/>
        <v>0.6014361478747634</v>
      </c>
      <c r="M11" s="9">
        <f t="shared" si="7"/>
        <v>3.1078346306954355E-5</v>
      </c>
    </row>
    <row r="12" spans="1:13" s="1" customFormat="1" ht="12.6" x14ac:dyDescent="0.2">
      <c r="A12" s="1" t="s">
        <v>26</v>
      </c>
      <c r="B12" s="1">
        <v>43</v>
      </c>
      <c r="C12" s="1">
        <v>60.09</v>
      </c>
      <c r="D12" s="1">
        <f t="shared" si="0"/>
        <v>60090</v>
      </c>
      <c r="E12" s="7">
        <f t="shared" si="1"/>
        <v>7.1559327675153937E-4</v>
      </c>
      <c r="F12" s="2">
        <f t="shared" si="2"/>
        <v>7.158080191572865E-4</v>
      </c>
      <c r="G12" s="1">
        <v>0</v>
      </c>
      <c r="H12" s="8">
        <f t="shared" si="3"/>
        <v>0</v>
      </c>
      <c r="I12" s="6"/>
      <c r="J12" s="7">
        <f t="shared" si="4"/>
        <v>0</v>
      </c>
      <c r="K12" s="7">
        <f t="shared" si="5"/>
        <v>0</v>
      </c>
      <c r="L12" s="7">
        <f t="shared" si="6"/>
        <v>1</v>
      </c>
      <c r="M12" s="9">
        <f t="shared" si="7"/>
        <v>7.158080191572865E-4</v>
      </c>
    </row>
    <row r="13" spans="1:13" s="1" customFormat="1" ht="12.6" x14ac:dyDescent="0.2">
      <c r="A13" s="1" t="s">
        <v>27</v>
      </c>
      <c r="B13" s="1">
        <v>0.14000000000000001</v>
      </c>
      <c r="C13" s="1">
        <v>19</v>
      </c>
      <c r="D13" s="1">
        <f t="shared" si="0"/>
        <v>19000</v>
      </c>
      <c r="E13" s="7">
        <f t="shared" si="1"/>
        <v>7.3684210526315793E-6</v>
      </c>
      <c r="F13" s="2">
        <f t="shared" si="2"/>
        <v>7.3706322423042704E-6</v>
      </c>
      <c r="G13" s="1">
        <v>2</v>
      </c>
      <c r="H13" s="8">
        <f t="shared" si="3"/>
        <v>1.4741264484608541E-5</v>
      </c>
      <c r="I13" s="6"/>
      <c r="J13" s="7">
        <f t="shared" si="4"/>
        <v>2.9482528969217082E-5</v>
      </c>
      <c r="K13" s="7">
        <f t="shared" si="5"/>
        <v>-0.22081047322458874</v>
      </c>
      <c r="L13" s="7">
        <f t="shared" si="6"/>
        <v>0.6014361478747634</v>
      </c>
      <c r="M13" s="9">
        <f t="shared" si="7"/>
        <v>4.4329646632130101E-6</v>
      </c>
    </row>
    <row r="14" spans="1:13" s="1" customFormat="1" ht="12.6" x14ac:dyDescent="0.2">
      <c r="A14" s="10" t="s">
        <v>28</v>
      </c>
      <c r="F14" s="11">
        <f>10^-7.25</f>
        <v>5.6234132519034806E-8</v>
      </c>
      <c r="G14" s="1">
        <v>1</v>
      </c>
      <c r="H14" s="11">
        <f t="shared" si="3"/>
        <v>5.6234132519034806E-8</v>
      </c>
      <c r="I14" s="6"/>
      <c r="J14" s="7">
        <f t="shared" si="4"/>
        <v>5.6234132519034806E-8</v>
      </c>
      <c r="K14" s="7">
        <f t="shared" si="5"/>
        <v>-5.5202618306147186E-2</v>
      </c>
      <c r="L14" s="7">
        <f t="shared" si="6"/>
        <v>0.88063791914814737</v>
      </c>
      <c r="M14" s="9">
        <f t="shared" si="7"/>
        <v>4.9521909446663977E-8</v>
      </c>
    </row>
    <row r="15" spans="1:13" s="1" customFormat="1" ht="12.6" x14ac:dyDescent="0.2">
      <c r="A15" s="10" t="s">
        <v>29</v>
      </c>
      <c r="F15" s="11" t="e">
        <f>#N/A</f>
        <v>#N/A</v>
      </c>
      <c r="G15" s="1">
        <v>1</v>
      </c>
      <c r="H15" s="11" t="e">
        <f t="shared" si="3"/>
        <v>#N/A</v>
      </c>
      <c r="I15" s="6"/>
      <c r="J15" s="7" t="e">
        <f t="shared" si="4"/>
        <v>#N/A</v>
      </c>
      <c r="K15" s="7">
        <f t="shared" si="5"/>
        <v>-5.5202618306147186E-2</v>
      </c>
      <c r="L15" s="7">
        <f t="shared" si="6"/>
        <v>0.88063791914814737</v>
      </c>
      <c r="M15" s="9" t="e">
        <f t="shared" si="7"/>
        <v>#N/A</v>
      </c>
    </row>
    <row r="16" spans="1:13" s="1" customFormat="1" ht="12.6" x14ac:dyDescent="0.2">
      <c r="F16" s="7"/>
      <c r="H16" s="3"/>
      <c r="I16" s="4"/>
      <c r="M16" s="5"/>
    </row>
    <row r="17" spans="1:13" s="1" customFormat="1" ht="12.6" x14ac:dyDescent="0.2">
      <c r="F17" s="2" t="s">
        <v>30</v>
      </c>
      <c r="H17" s="3" t="s">
        <v>31</v>
      </c>
      <c r="I17" s="4" t="s">
        <v>32</v>
      </c>
      <c r="M17" s="5" t="s">
        <v>33</v>
      </c>
    </row>
    <row r="18" spans="1:13" s="1" customFormat="1" ht="12.6" x14ac:dyDescent="0.2">
      <c r="F18" s="7"/>
      <c r="I18" s="12"/>
    </row>
    <row r="19" spans="1:13" s="1" customFormat="1" ht="12.6" x14ac:dyDescent="0.2">
      <c r="A19" s="13" t="s">
        <v>34</v>
      </c>
      <c r="B19" s="13"/>
      <c r="F19" s="7"/>
    </row>
    <row r="20" spans="1:13" s="1" customFormat="1" ht="12.6" x14ac:dyDescent="0.2">
      <c r="A20" s="13"/>
      <c r="B20" s="14">
        <f>0.5*SUM(J3:J13)</f>
        <v>1.171599026472194E-2</v>
      </c>
      <c r="F20" s="7"/>
    </row>
    <row r="21" spans="1:13" s="1" customFormat="1" ht="12.6" x14ac:dyDescent="0.2">
      <c r="F21" s="7"/>
    </row>
    <row r="22" spans="1:13" s="1" customFormat="1" ht="12.6" x14ac:dyDescent="0.2">
      <c r="A22" s="15" t="s">
        <v>35</v>
      </c>
      <c r="B22" s="15"/>
      <c r="C22" s="16">
        <f>((C24-C23))/(C23+C24)*100</f>
        <v>-3.5103269652438756</v>
      </c>
      <c r="D22" s="15" t="s">
        <v>36</v>
      </c>
      <c r="E22" s="17" t="e">
        <f>((E24-E23))/(E23+E24)*100</f>
        <v>#N/A</v>
      </c>
      <c r="F22" s="11" t="s">
        <v>37</v>
      </c>
    </row>
    <row r="23" spans="1:13" s="1" customFormat="1" ht="12.6" x14ac:dyDescent="0.2">
      <c r="B23" s="1" t="s">
        <v>38</v>
      </c>
      <c r="C23" s="7">
        <f>SUM(H7:H13)</f>
        <v>8.0739421449605563E-3</v>
      </c>
      <c r="E23" s="7" t="e">
        <f>C23+H15</f>
        <v>#N/A</v>
      </c>
      <c r="F23" s="7"/>
    </row>
    <row r="24" spans="1:13" s="1" customFormat="1" ht="12.6" x14ac:dyDescent="0.2">
      <c r="B24" s="1" t="s">
        <v>39</v>
      </c>
      <c r="C24" s="7">
        <f>SUM(H3:H6)</f>
        <v>7.5263218705740095E-3</v>
      </c>
      <c r="E24" s="7">
        <f>C24+H14</f>
        <v>7.5263781047065284E-3</v>
      </c>
      <c r="F24" s="7"/>
    </row>
    <row r="25" spans="1:13" s="1" customFormat="1" ht="12.6" x14ac:dyDescent="0.2">
      <c r="E25" s="1" t="s">
        <v>40</v>
      </c>
      <c r="F25" s="7"/>
    </row>
  </sheetData>
  <pageMargins left="0.78749999999999998" right="0.78749999999999998" top="0.78749999999999998" bottom="0.78749999999999998" header="0.5" footer="0.5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" sqref="E4"/>
    </sheetView>
  </sheetViews>
  <sheetFormatPr defaultRowHeight="13.2" x14ac:dyDescent="0.25"/>
  <cols>
    <col min="1" max="1" width="9.109375" customWidth="1"/>
    <col min="2" max="2" width="10.6640625" customWidth="1"/>
    <col min="3" max="3" width="9.88671875" customWidth="1"/>
    <col min="4" max="4" width="9.109375" customWidth="1"/>
    <col min="5" max="5" width="9.5546875" customWidth="1"/>
    <col min="6" max="6" width="12.21875" customWidth="1"/>
    <col min="7" max="7" width="8.5546875" customWidth="1"/>
    <col min="8" max="8" width="12.21875" customWidth="1"/>
    <col min="9" max="9" width="9.6640625" customWidth="1"/>
    <col min="10" max="10" width="10.5546875" customWidth="1"/>
    <col min="11" max="11" width="9.5546875" customWidth="1"/>
    <col min="12" max="12" width="11.5546875" customWidth="1"/>
    <col min="13" max="256" width="9.109375" customWidth="1"/>
  </cols>
  <sheetData>
    <row r="1" spans="1:12" s="1" customFormat="1" ht="12.6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1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5" t="s">
        <v>52</v>
      </c>
    </row>
    <row r="2" spans="1:12" s="1" customFormat="1" ht="12.6" x14ac:dyDescent="0.2">
      <c r="B2" s="1" t="s">
        <v>53</v>
      </c>
      <c r="C2" s="1" t="s">
        <v>54</v>
      </c>
      <c r="D2" s="1" t="s">
        <v>55</v>
      </c>
      <c r="F2" s="2"/>
      <c r="H2" s="3" t="s">
        <v>56</v>
      </c>
      <c r="L2" s="5"/>
    </row>
    <row r="3" spans="1:12" s="1" customFormat="1" ht="12.6" x14ac:dyDescent="0.2">
      <c r="A3" s="1" t="s">
        <v>57</v>
      </c>
      <c r="B3" s="1">
        <v>16.3</v>
      </c>
      <c r="C3" s="1">
        <v>22.99</v>
      </c>
      <c r="D3" s="1">
        <f t="shared" ref="D3:D13" si="0">C3*1000</f>
        <v>22990</v>
      </c>
      <c r="E3" s="7">
        <f t="shared" ref="E3:E13" si="1">B3/D3</f>
        <v>7.0900391474554162E-4</v>
      </c>
      <c r="F3" s="2">
        <f t="shared" ref="F3:F13" si="2">E3*(1000/999.7)</f>
        <v>7.0921667974946638E-4</v>
      </c>
      <c r="G3" s="1">
        <v>1</v>
      </c>
      <c r="H3" s="8">
        <f t="shared" ref="H3:H15" si="3">F3*G3</f>
        <v>7.0921667974946638E-4</v>
      </c>
      <c r="I3" s="7">
        <f t="shared" ref="I3:I15" si="4">F3*G3^2</f>
        <v>7.0921667974946638E-4</v>
      </c>
      <c r="J3" s="7">
        <f t="shared" ref="J3:J15" si="5">-0.51*(G3^2)*SQRT($B$20)</f>
        <v>-5.5202618306147186E-2</v>
      </c>
      <c r="K3" s="7">
        <f t="shared" ref="K3:K15" si="6">10^J3</f>
        <v>0.88063791914814737</v>
      </c>
      <c r="L3" s="9">
        <f t="shared" ref="L3:L15" si="7">F3*K3</f>
        <v>6.245631010797281E-4</v>
      </c>
    </row>
    <row r="4" spans="1:12" s="1" customFormat="1" ht="12.6" x14ac:dyDescent="0.2">
      <c r="A4" s="1" t="s">
        <v>58</v>
      </c>
      <c r="B4" s="1">
        <v>2.4</v>
      </c>
      <c r="C4" s="1">
        <v>39.1</v>
      </c>
      <c r="D4" s="1">
        <f t="shared" si="0"/>
        <v>39100</v>
      </c>
      <c r="E4" s="7">
        <f t="shared" si="1"/>
        <v>6.1381074168797949E-5</v>
      </c>
      <c r="F4" s="2">
        <f t="shared" si="2"/>
        <v>6.1399494017003045E-5</v>
      </c>
      <c r="G4" s="1">
        <v>1</v>
      </c>
      <c r="H4" s="8">
        <f t="shared" si="3"/>
        <v>6.1399494017003045E-5</v>
      </c>
      <c r="I4" s="7">
        <f t="shared" si="4"/>
        <v>6.1399494017003045E-5</v>
      </c>
      <c r="J4" s="7">
        <f t="shared" si="5"/>
        <v>-5.5202618306147186E-2</v>
      </c>
      <c r="K4" s="7">
        <f t="shared" si="6"/>
        <v>0.88063791914814737</v>
      </c>
      <c r="L4" s="9">
        <f t="shared" si="7"/>
        <v>5.4070722647882685E-5</v>
      </c>
    </row>
    <row r="5" spans="1:12" s="1" customFormat="1" ht="12.6" x14ac:dyDescent="0.2">
      <c r="A5" s="1" t="s">
        <v>59</v>
      </c>
      <c r="B5" s="1">
        <v>121</v>
      </c>
      <c r="C5" s="1">
        <v>40.08</v>
      </c>
      <c r="D5" s="1">
        <f t="shared" si="0"/>
        <v>40080</v>
      </c>
      <c r="E5" s="7">
        <f t="shared" si="1"/>
        <v>3.0189620758483034E-3</v>
      </c>
      <c r="F5" s="2">
        <f t="shared" si="2"/>
        <v>3.0198680362591808E-3</v>
      </c>
      <c r="G5" s="1">
        <v>2</v>
      </c>
      <c r="H5" s="8">
        <f t="shared" si="3"/>
        <v>6.0397360725183615E-3</v>
      </c>
      <c r="I5" s="7">
        <f t="shared" si="4"/>
        <v>1.2079472145036723E-2</v>
      </c>
      <c r="J5" s="7">
        <f t="shared" si="5"/>
        <v>-0.22081047322458874</v>
      </c>
      <c r="K5" s="7">
        <f t="shared" si="6"/>
        <v>0.6014361478747634</v>
      </c>
      <c r="L5" s="9">
        <f t="shared" si="7"/>
        <v>1.816257798817848E-3</v>
      </c>
    </row>
    <row r="6" spans="1:12" s="1" customFormat="1" ht="12.6" x14ac:dyDescent="0.2">
      <c r="A6" s="1" t="s">
        <v>60</v>
      </c>
      <c r="B6" s="1">
        <v>8.7000000000000011</v>
      </c>
      <c r="C6" s="1">
        <v>24.31</v>
      </c>
      <c r="D6" s="1">
        <f t="shared" si="0"/>
        <v>24310</v>
      </c>
      <c r="E6" s="7">
        <f t="shared" si="1"/>
        <v>3.5787741670094614E-4</v>
      </c>
      <c r="F6" s="2">
        <f t="shared" si="2"/>
        <v>3.5798481214458947E-4</v>
      </c>
      <c r="G6" s="1">
        <v>2</v>
      </c>
      <c r="H6" s="8">
        <f t="shared" si="3"/>
        <v>7.1596962428917895E-4</v>
      </c>
      <c r="I6" s="7">
        <f t="shared" si="4"/>
        <v>1.4319392485783579E-3</v>
      </c>
      <c r="J6" s="7">
        <f t="shared" si="5"/>
        <v>-0.22081047322458874</v>
      </c>
      <c r="K6" s="7">
        <f t="shared" si="6"/>
        <v>0.6014361478747634</v>
      </c>
      <c r="L6" s="9">
        <f t="shared" si="7"/>
        <v>2.1530500641391272E-4</v>
      </c>
    </row>
    <row r="7" spans="1:12" s="1" customFormat="1" ht="12.6" x14ac:dyDescent="0.2">
      <c r="A7" s="1" t="s">
        <v>61</v>
      </c>
      <c r="B7" s="1">
        <v>6.8</v>
      </c>
      <c r="C7" s="1">
        <v>35.450000000000003</v>
      </c>
      <c r="D7" s="1">
        <f t="shared" si="0"/>
        <v>35450</v>
      </c>
      <c r="E7" s="7">
        <f t="shared" si="1"/>
        <v>1.9181946403385049E-4</v>
      </c>
      <c r="F7" s="2">
        <f t="shared" si="2"/>
        <v>1.9187702714199307E-4</v>
      </c>
      <c r="G7" s="1">
        <v>1</v>
      </c>
      <c r="H7" s="8">
        <f t="shared" si="3"/>
        <v>1.9187702714199307E-4</v>
      </c>
      <c r="I7" s="7">
        <f t="shared" si="4"/>
        <v>1.9187702714199307E-4</v>
      </c>
      <c r="J7" s="7">
        <f t="shared" si="5"/>
        <v>-5.5202618306147186E-2</v>
      </c>
      <c r="K7" s="7">
        <f t="shared" si="6"/>
        <v>0.88063791914814737</v>
      </c>
      <c r="L7" s="9">
        <f t="shared" si="7"/>
        <v>1.6897418591465738E-4</v>
      </c>
    </row>
    <row r="8" spans="1:12" s="1" customFormat="1" ht="12.6" x14ac:dyDescent="0.2">
      <c r="A8" s="1" t="s">
        <v>62</v>
      </c>
      <c r="B8" s="1">
        <v>1.2</v>
      </c>
      <c r="C8" s="1">
        <v>62.01</v>
      </c>
      <c r="D8" s="1">
        <f t="shared" si="0"/>
        <v>62010</v>
      </c>
      <c r="E8" s="7">
        <f t="shared" si="1"/>
        <v>1.935171746492501E-5</v>
      </c>
      <c r="F8" s="2">
        <f t="shared" si="2"/>
        <v>1.9357524722341713E-5</v>
      </c>
      <c r="G8" s="1">
        <v>1</v>
      </c>
      <c r="H8" s="8">
        <f t="shared" si="3"/>
        <v>1.9357524722341713E-5</v>
      </c>
      <c r="I8" s="7">
        <f t="shared" si="4"/>
        <v>1.9357524722341713E-5</v>
      </c>
      <c r="J8" s="7">
        <f t="shared" si="5"/>
        <v>-5.5202618306147186E-2</v>
      </c>
      <c r="K8" s="7">
        <f t="shared" si="6"/>
        <v>0.88063791914814737</v>
      </c>
      <c r="L8" s="9">
        <f t="shared" si="7"/>
        <v>1.7046970291341826E-5</v>
      </c>
    </row>
    <row r="9" spans="1:12" s="1" customFormat="1" ht="12.6" x14ac:dyDescent="0.2">
      <c r="A9" s="1" t="s">
        <v>63</v>
      </c>
      <c r="B9" s="1">
        <v>414</v>
      </c>
      <c r="C9" s="1">
        <v>61.02</v>
      </c>
      <c r="D9" s="1">
        <f t="shared" si="0"/>
        <v>61020</v>
      </c>
      <c r="E9" s="7">
        <f t="shared" si="1"/>
        <v>6.7846607669616518E-3</v>
      </c>
      <c r="F9" s="2">
        <f t="shared" si="2"/>
        <v>6.7866967759944493E-3</v>
      </c>
      <c r="G9" s="1">
        <v>1</v>
      </c>
      <c r="H9" s="8">
        <f t="shared" si="3"/>
        <v>6.7866967759944493E-3</v>
      </c>
      <c r="I9" s="7">
        <f t="shared" si="4"/>
        <v>6.7866967759944493E-3</v>
      </c>
      <c r="J9" s="7">
        <f t="shared" si="5"/>
        <v>-5.5202618306147186E-2</v>
      </c>
      <c r="K9" s="7">
        <f t="shared" si="6"/>
        <v>0.88063791914814737</v>
      </c>
      <c r="L9" s="9">
        <f t="shared" si="7"/>
        <v>5.9766225267011922E-3</v>
      </c>
    </row>
    <row r="10" spans="1:12" s="1" customFormat="1" ht="12.6" x14ac:dyDescent="0.2">
      <c r="A10" s="1" t="s">
        <v>64</v>
      </c>
      <c r="B10" s="1">
        <v>46</v>
      </c>
      <c r="C10" s="1">
        <v>96.07</v>
      </c>
      <c r="D10" s="1">
        <f t="shared" si="0"/>
        <v>96070</v>
      </c>
      <c r="E10" s="7">
        <f t="shared" si="1"/>
        <v>4.788175288851879E-4</v>
      </c>
      <c r="F10" s="2">
        <f t="shared" si="2"/>
        <v>4.7896121725036296E-4</v>
      </c>
      <c r="G10" s="1">
        <v>2</v>
      </c>
      <c r="H10" s="8">
        <f t="shared" si="3"/>
        <v>9.5792243450072592E-4</v>
      </c>
      <c r="I10" s="7">
        <f t="shared" si="4"/>
        <v>1.9158448690014518E-3</v>
      </c>
      <c r="J10" s="7">
        <f t="shared" si="5"/>
        <v>-0.22081047322458874</v>
      </c>
      <c r="K10" s="7">
        <f t="shared" si="6"/>
        <v>0.6014361478747634</v>
      </c>
      <c r="L10" s="9">
        <f t="shared" si="7"/>
        <v>2.88064589484466E-4</v>
      </c>
    </row>
    <row r="11" spans="1:12" s="1" customFormat="1" ht="12.6" x14ac:dyDescent="0.2">
      <c r="A11" s="1" t="s">
        <v>65</v>
      </c>
      <c r="B11" s="1">
        <v>3.1</v>
      </c>
      <c r="C11" s="1">
        <v>60.01</v>
      </c>
      <c r="D11" s="1">
        <f t="shared" si="0"/>
        <v>60010</v>
      </c>
      <c r="E11" s="7">
        <f t="shared" si="1"/>
        <v>5.1658056990501584E-5</v>
      </c>
      <c r="F11" s="2">
        <f t="shared" si="2"/>
        <v>5.1673559058219048E-5</v>
      </c>
      <c r="G11" s="1">
        <v>2</v>
      </c>
      <c r="H11" s="8">
        <f t="shared" si="3"/>
        <v>1.033471181164381E-4</v>
      </c>
      <c r="I11" s="7">
        <f t="shared" si="4"/>
        <v>2.0669423623287619E-4</v>
      </c>
      <c r="J11" s="7">
        <f t="shared" si="5"/>
        <v>-0.22081047322458874</v>
      </c>
      <c r="K11" s="7">
        <f t="shared" si="6"/>
        <v>0.6014361478747634</v>
      </c>
      <c r="L11" s="9">
        <f t="shared" si="7"/>
        <v>3.1078346306954355E-5</v>
      </c>
    </row>
    <row r="12" spans="1:12" s="1" customFormat="1" ht="12.6" x14ac:dyDescent="0.2">
      <c r="A12" s="1" t="s">
        <v>66</v>
      </c>
      <c r="B12" s="1">
        <v>43</v>
      </c>
      <c r="C12" s="1">
        <v>60.09</v>
      </c>
      <c r="D12" s="1">
        <f t="shared" si="0"/>
        <v>60090</v>
      </c>
      <c r="E12" s="7">
        <f t="shared" si="1"/>
        <v>7.1559327675153937E-4</v>
      </c>
      <c r="F12" s="2">
        <f t="shared" si="2"/>
        <v>7.158080191572865E-4</v>
      </c>
      <c r="G12" s="1">
        <v>0</v>
      </c>
      <c r="H12" s="8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1</v>
      </c>
      <c r="L12" s="9">
        <f t="shared" si="7"/>
        <v>7.158080191572865E-4</v>
      </c>
    </row>
    <row r="13" spans="1:12" s="1" customFormat="1" ht="12.6" x14ac:dyDescent="0.2">
      <c r="A13" s="1" t="s">
        <v>67</v>
      </c>
      <c r="B13" s="1">
        <v>0.14000000000000001</v>
      </c>
      <c r="C13" s="1">
        <v>19</v>
      </c>
      <c r="D13" s="1">
        <f t="shared" si="0"/>
        <v>19000</v>
      </c>
      <c r="E13" s="7">
        <f t="shared" si="1"/>
        <v>7.3684210526315793E-6</v>
      </c>
      <c r="F13" s="2">
        <f t="shared" si="2"/>
        <v>7.3706322423042704E-6</v>
      </c>
      <c r="G13" s="1">
        <v>2</v>
      </c>
      <c r="H13" s="8">
        <f t="shared" si="3"/>
        <v>1.4741264484608541E-5</v>
      </c>
      <c r="I13" s="7">
        <f t="shared" si="4"/>
        <v>2.9482528969217082E-5</v>
      </c>
      <c r="J13" s="7">
        <f t="shared" si="5"/>
        <v>-0.22081047322458874</v>
      </c>
      <c r="K13" s="7">
        <f t="shared" si="6"/>
        <v>0.6014361478747634</v>
      </c>
      <c r="L13" s="9">
        <f t="shared" si="7"/>
        <v>4.4329646632130101E-6</v>
      </c>
    </row>
    <row r="14" spans="1:12" s="1" customFormat="1" ht="12.6" x14ac:dyDescent="0.2">
      <c r="A14" s="10" t="s">
        <v>68</v>
      </c>
      <c r="F14" s="11">
        <f>10^-7.25</f>
        <v>5.6234132519034806E-8</v>
      </c>
      <c r="G14" s="1">
        <v>1</v>
      </c>
      <c r="H14" s="11">
        <f t="shared" si="3"/>
        <v>5.6234132519034806E-8</v>
      </c>
      <c r="I14" s="7">
        <f t="shared" si="4"/>
        <v>5.6234132519034806E-8</v>
      </c>
      <c r="J14" s="7">
        <f t="shared" si="5"/>
        <v>-5.5202618306147186E-2</v>
      </c>
      <c r="K14" s="7">
        <f t="shared" si="6"/>
        <v>0.88063791914814737</v>
      </c>
      <c r="L14" s="9">
        <f t="shared" si="7"/>
        <v>4.9521909446663977E-8</v>
      </c>
    </row>
    <row r="15" spans="1:12" s="1" customFormat="1" ht="12.6" x14ac:dyDescent="0.2">
      <c r="A15" s="10" t="s">
        <v>69</v>
      </c>
      <c r="F15" s="11" t="e">
        <f>NA()</f>
        <v>#N/A</v>
      </c>
      <c r="G15" s="1">
        <v>1</v>
      </c>
      <c r="H15" s="11" t="e">
        <f t="shared" si="3"/>
        <v>#N/A</v>
      </c>
      <c r="I15" s="7" t="e">
        <f t="shared" si="4"/>
        <v>#N/A</v>
      </c>
      <c r="J15" s="7">
        <f t="shared" si="5"/>
        <v>-5.5202618306147186E-2</v>
      </c>
      <c r="K15" s="7">
        <f t="shared" si="6"/>
        <v>0.88063791914814737</v>
      </c>
      <c r="L15" s="9" t="e">
        <f t="shared" si="7"/>
        <v>#N/A</v>
      </c>
    </row>
    <row r="16" spans="1:12" s="1" customFormat="1" ht="12.6" x14ac:dyDescent="0.2">
      <c r="F16" s="7"/>
      <c r="H16" s="3"/>
      <c r="L16" s="5"/>
    </row>
    <row r="17" spans="1:12" s="1" customFormat="1" ht="12.6" x14ac:dyDescent="0.2">
      <c r="F17" s="2" t="s">
        <v>70</v>
      </c>
      <c r="H17" s="3" t="s">
        <v>71</v>
      </c>
      <c r="L17" s="5" t="s">
        <v>72</v>
      </c>
    </row>
    <row r="18" spans="1:12" s="1" customFormat="1" ht="12.6" x14ac:dyDescent="0.2">
      <c r="F18" s="7"/>
    </row>
    <row r="19" spans="1:12" s="1" customFormat="1" ht="12.6" x14ac:dyDescent="0.2">
      <c r="A19" s="13" t="s">
        <v>73</v>
      </c>
      <c r="B19" s="13"/>
      <c r="F19" s="7"/>
    </row>
    <row r="20" spans="1:12" s="1" customFormat="1" ht="12.6" x14ac:dyDescent="0.2">
      <c r="A20" s="13"/>
      <c r="B20" s="14">
        <f>0.5*SUM(I3:I13)</f>
        <v>1.171599026472194E-2</v>
      </c>
      <c r="F20" s="7"/>
    </row>
    <row r="21" spans="1:12" s="1" customFormat="1" ht="12.6" x14ac:dyDescent="0.2">
      <c r="F21" s="7"/>
    </row>
    <row r="22" spans="1:12" s="1" customFormat="1" ht="12.6" x14ac:dyDescent="0.2">
      <c r="A22" s="15" t="s">
        <v>74</v>
      </c>
      <c r="B22" s="15"/>
      <c r="C22" s="16">
        <f>((C24-C23))/(C23+C24)*100</f>
        <v>-3.5103269652438756</v>
      </c>
      <c r="D22" s="15" t="s">
        <v>75</v>
      </c>
      <c r="E22" s="17" t="e">
        <f>((E24-E23))/(E23+E24)*100</f>
        <v>#N/A</v>
      </c>
      <c r="F22" s="11" t="s">
        <v>76</v>
      </c>
    </row>
    <row r="23" spans="1:12" s="1" customFormat="1" ht="12.6" x14ac:dyDescent="0.2">
      <c r="B23" s="1" t="s">
        <v>77</v>
      </c>
      <c r="C23" s="7">
        <f>SUM(H7:H13)</f>
        <v>8.0739421449605563E-3</v>
      </c>
      <c r="E23" s="7" t="e">
        <f>C23+H15</f>
        <v>#N/A</v>
      </c>
      <c r="F23" s="7"/>
    </row>
    <row r="24" spans="1:12" s="1" customFormat="1" ht="12.6" x14ac:dyDescent="0.2">
      <c r="B24" s="1" t="s">
        <v>78</v>
      </c>
      <c r="C24" s="7">
        <f>SUM(H3:H6)</f>
        <v>7.5263218705740095E-3</v>
      </c>
      <c r="E24" s="7">
        <f>C24+H14</f>
        <v>7.5263781047065284E-3</v>
      </c>
      <c r="F24" s="7"/>
    </row>
    <row r="25" spans="1:12" s="1" customFormat="1" ht="12.6" x14ac:dyDescent="0.2">
      <c r="E25" s="1" t="s">
        <v>79</v>
      </c>
      <c r="F25" s="7"/>
    </row>
  </sheetData>
  <pageMargins left="0.78749999999999998" right="0.78749999999999998" top="0.78749999999999998" bottom="0.78749999999999998" header="0.5" footer="0.5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9.109375" customWidth="1"/>
  </cols>
  <sheetData>
    <row r="1" s="18" customFormat="1" x14ac:dyDescent="0.25"/>
  </sheetData>
  <pageMargins left="0.78749999999999998" right="0.78749999999999998" top="0.78749999999999998" bottom="0.78749999999999998" header="0.5" footer="0.5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smith</dc:creator>
  <cp:keywords/>
  <dc:description/>
  <cp:lastModifiedBy>Aniket Gupta</cp:lastModifiedBy>
  <cp:revision>1</cp:revision>
  <cp:lastPrinted>2003-11-12T17:23:53Z</cp:lastPrinted>
  <dcterms:created xsi:type="dcterms:W3CDTF">2003-11-04T19:38:01Z</dcterms:created>
  <dcterms:modified xsi:type="dcterms:W3CDTF">2024-02-03T22:23:01Z</dcterms:modified>
</cp:coreProperties>
</file>