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EE7FB1CE-CBFD-46AC-BAAF-2582175F76BC}" xr6:coauthVersionLast="47" xr6:coauthVersionMax="47" xr10:uidLastSave="{00000000-0000-0000-0000-000000000000}"/>
  <bookViews>
    <workbookView xWindow="768" yWindow="768" windowWidth="17280" windowHeight="8880"/>
  </bookViews>
  <sheets>
    <sheet name="A" sheetId="1" r:id="rId1"/>
    <sheet name="B" sheetId="2" r:id="rId2"/>
  </sheets>
  <definedNames>
    <definedName name="ACCOUNT">A!$G$74</definedName>
    <definedName name="COMPANY">A!$H$70</definedName>
    <definedName name="EXPENSE">A!$I$63</definedName>
    <definedName name="EXTENSION">A!$I$62</definedName>
    <definedName name="MAIN">A!$I$64</definedName>
    <definedName name="MASK">A!$I$74</definedName>
    <definedName name="PERIOD">A!$H$69</definedName>
    <definedName name="PERIOD1">A!$H$73</definedName>
    <definedName name="_xlnm.Print_Area" localSheetId="0">A!$A$1:$E$61</definedName>
    <definedName name="_xlnm.Print_Area">A!$A$1:$E$61</definedName>
    <definedName name="PRINT_AREA_MI">A!$A$1:$E$277</definedName>
    <definedName name="TYPE">A!$I$65</definedName>
    <definedName name="TYPE2">A!$H$67</definedName>
    <definedName name="YEAR">A!$H$68</definedName>
  </definedNames>
  <calcPr calcId="92512" calcMode="manual" iterate="1" iterateCount="1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8" i="1"/>
  <c r="E18" i="1"/>
  <c r="D22" i="1"/>
  <c r="E22" i="1"/>
  <c r="D25" i="1"/>
  <c r="E25" i="1"/>
  <c r="D26" i="1"/>
  <c r="E26" i="1"/>
  <c r="D28" i="1"/>
  <c r="E28" i="1"/>
  <c r="D30" i="1"/>
  <c r="E30" i="1"/>
  <c r="D32" i="1"/>
  <c r="E32" i="1"/>
  <c r="D34" i="1"/>
  <c r="E34" i="1"/>
  <c r="D36" i="1"/>
  <c r="E36" i="1"/>
  <c r="D38" i="1"/>
  <c r="E38" i="1"/>
  <c r="D43" i="1"/>
  <c r="E43" i="1"/>
  <c r="D44" i="1"/>
  <c r="E44" i="1"/>
  <c r="D45" i="1"/>
  <c r="E45" i="1"/>
  <c r="D46" i="1"/>
  <c r="E46" i="1"/>
  <c r="D47" i="1"/>
  <c r="E47" i="1"/>
  <c r="D49" i="1"/>
  <c r="E49" i="1"/>
  <c r="D52" i="1"/>
  <c r="E52" i="1"/>
  <c r="D54" i="1"/>
  <c r="E54" i="1"/>
  <c r="D55" i="1"/>
  <c r="E55" i="1"/>
  <c r="D57" i="1"/>
  <c r="E57" i="1"/>
  <c r="D59" i="1"/>
  <c r="E59" i="1"/>
  <c r="G63" i="1"/>
  <c r="G64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2" i="1"/>
  <c r="D142" i="1"/>
  <c r="E142" i="1"/>
  <c r="C143" i="1"/>
  <c r="D143" i="1"/>
  <c r="E143" i="1"/>
  <c r="C144" i="1"/>
  <c r="D144" i="1"/>
  <c r="E144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3" i="1"/>
  <c r="D173" i="1"/>
  <c r="E173" i="1"/>
  <c r="C174" i="1"/>
  <c r="D174" i="1"/>
  <c r="E174" i="1"/>
  <c r="C175" i="1"/>
  <c r="D175" i="1"/>
  <c r="E175" i="1"/>
  <c r="C178" i="1"/>
  <c r="D178" i="1"/>
  <c r="E178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5" i="1"/>
  <c r="D255" i="1"/>
  <c r="E255" i="1"/>
  <c r="C258" i="1"/>
  <c r="D258" i="1"/>
  <c r="E258" i="1"/>
  <c r="C259" i="1"/>
  <c r="D259" i="1"/>
  <c r="E259" i="1"/>
  <c r="C260" i="1"/>
  <c r="D260" i="1"/>
  <c r="E260" i="1"/>
  <c r="C262" i="1"/>
  <c r="D262" i="1"/>
  <c r="E262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7" i="1"/>
  <c r="D277" i="1"/>
  <c r="E277" i="1"/>
  <c r="C278" i="1"/>
  <c r="D278" i="1"/>
  <c r="E278" i="1"/>
  <c r="C279" i="1"/>
  <c r="D279" i="1"/>
  <c r="E279" i="1"/>
  <c r="C281" i="1"/>
  <c r="D281" i="1"/>
  <c r="E281" i="1"/>
  <c r="H281" i="1"/>
  <c r="H282" i="1"/>
  <c r="C283" i="1"/>
  <c r="D283" i="1"/>
  <c r="E283" i="1"/>
  <c r="H283" i="1"/>
  <c r="H285" i="1"/>
  <c r="H286" i="1"/>
  <c r="H287" i="1"/>
  <c r="H289" i="1"/>
  <c r="H290" i="1"/>
  <c r="H291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<sst xmlns="http://schemas.openxmlformats.org/spreadsheetml/2006/main" count="554" uniqueCount="540">
  <si>
    <t>***FINAL***</t>
  </si>
  <si>
    <t xml:space="preserve">                        JUNIOR CHAMBER INTERNATIONAL (JCI), INC.</t>
  </si>
  <si>
    <t xml:space="preserve">                                 STATEMENTS OF FINANCIAL POSITION</t>
  </si>
  <si>
    <t xml:space="preserve">                                                   JULY 31, 2002 AND 2001</t>
  </si>
  <si>
    <t xml:space="preserve">                                     ASSETS</t>
  </si>
  <si>
    <t xml:space="preserve">                    2002</t>
  </si>
  <si>
    <t xml:space="preserve">                    2001</t>
  </si>
  <si>
    <t>Current assets:</t>
  </si>
  <si>
    <t xml:space="preserve">     Cash and cash equivalents</t>
  </si>
  <si>
    <t xml:space="preserve">     Short-term investments</t>
  </si>
  <si>
    <t xml:space="preserve">     Accounts receivable, less allowance</t>
  </si>
  <si>
    <t xml:space="preserve">     Due rom officers and employeess</t>
  </si>
  <si>
    <t xml:space="preserve">     Due from Foundation</t>
  </si>
  <si>
    <t xml:space="preserve">     Inventories</t>
  </si>
  <si>
    <t xml:space="preserve">     Prepaid expenses</t>
  </si>
  <si>
    <t xml:space="preserve">     Other current assets </t>
  </si>
  <si>
    <t xml:space="preserve">          Total current assets</t>
  </si>
  <si>
    <t>Restricted cash</t>
  </si>
  <si>
    <t xml:space="preserve">     Less allowance for possible nonavailability</t>
  </si>
  <si>
    <t xml:space="preserve">          Total restricted cash</t>
  </si>
  <si>
    <t>Property andequipment:</t>
  </si>
  <si>
    <t xml:space="preserve">     Land and landscaping</t>
  </si>
  <si>
    <t xml:space="preserve">     Building</t>
  </si>
  <si>
    <t xml:space="preserve">     SG residential property</t>
  </si>
  <si>
    <t xml:space="preserve">     Furniture, fixtures and equipment</t>
  </si>
  <si>
    <t xml:space="preserve">          Total property and equipment</t>
  </si>
  <si>
    <t xml:space="preserve">               Less accumulated depreciation</t>
  </si>
  <si>
    <t xml:space="preserve">          Net property and equipment</t>
  </si>
  <si>
    <t>Other assets</t>
  </si>
  <si>
    <t xml:space="preserve">                    Total assets</t>
  </si>
  <si>
    <t xml:space="preserve">                    LIABILITIES AND NET ASSETS</t>
  </si>
  <si>
    <t>Curent liabilities:</t>
  </si>
  <si>
    <t xml:space="preserve">     Accounts payable</t>
  </si>
  <si>
    <t xml:space="preserve">     Accrued liabilities</t>
  </si>
  <si>
    <t xml:space="preserve">     Due to Foundation</t>
  </si>
  <si>
    <t xml:space="preserve">     Congress and conference bid bonds</t>
  </si>
  <si>
    <t xml:space="preserve">     Deferred revenues</t>
  </si>
  <si>
    <t xml:space="preserve">          Total current liabilities</t>
  </si>
  <si>
    <t>Net assets:</t>
  </si>
  <si>
    <t xml:space="preserve">     Unrestricted</t>
  </si>
  <si>
    <t xml:space="preserve">     Temporarily restricted</t>
  </si>
  <si>
    <t xml:space="preserve">     Permanently restricted</t>
  </si>
  <si>
    <t xml:space="preserve">     Increase/(decrease) in current year net assets</t>
  </si>
  <si>
    <t xml:space="preserve">     </t>
  </si>
  <si>
    <t xml:space="preserve">          Total net assets</t>
  </si>
  <si>
    <t xml:space="preserve">                    Total liabilities and net assets</t>
  </si>
  <si>
    <t xml:space="preserve">  prepared:</t>
  </si>
  <si>
    <t>EXTENSION</t>
  </si>
  <si>
    <t>000..999</t>
  </si>
  <si>
    <t>EXPENSE</t>
  </si>
  <si>
    <t>MAIN</t>
  </si>
  <si>
    <t>3005..9999</t>
  </si>
  <si>
    <t>TYPE</t>
  </si>
  <si>
    <t>ACTUAL</t>
  </si>
  <si>
    <t>TYPE2</t>
  </si>
  <si>
    <t>Last Year Year To Date 12</t>
  </si>
  <si>
    <t>YEAR</t>
  </si>
  <si>
    <t>2002</t>
  </si>
  <si>
    <t>MTD ACTUAL</t>
  </si>
  <si>
    <t>YEAR TO DATE</t>
  </si>
  <si>
    <t>YEAR END</t>
  </si>
  <si>
    <t>PERIOD</t>
  </si>
  <si>
    <t>YEAR TO DATE 7</t>
  </si>
  <si>
    <t>12/31/01</t>
  </si>
  <si>
    <t>COMPANY</t>
  </si>
  <si>
    <t>55</t>
  </si>
  <si>
    <t>BUDGET</t>
  </si>
  <si>
    <t>2002BUD</t>
  </si>
  <si>
    <t>ASSETS</t>
  </si>
  <si>
    <t xml:space="preserve"> </t>
  </si>
  <si>
    <t>ACCOUNTS</t>
  </si>
  <si>
    <t>PERIOD1</t>
  </si>
  <si>
    <t>Transactions Month 7</t>
  </si>
  <si>
    <t>PETTY CASH</t>
  </si>
  <si>
    <t>1005-000-000</t>
  </si>
  <si>
    <t>((1005-000-000)(000..999)(000..999))</t>
  </si>
  <si>
    <t>^-^-^</t>
  </si>
  <si>
    <t>CITIBANK-INDIA</t>
  </si>
  <si>
    <t>1006-000-000</t>
  </si>
  <si>
    <t>((1006-000-000)(000..999)(000..999))</t>
  </si>
  <si>
    <t>ALLOW FOR FX LOSS-INDIA</t>
  </si>
  <si>
    <t>1006-001-000</t>
  </si>
  <si>
    <t>((1006-001-000)(000..999)(000..999))</t>
  </si>
  <si>
    <t>CITIBANK-OPERATING (NEW)</t>
  </si>
  <si>
    <t>1007-000-000</t>
  </si>
  <si>
    <t>((1007-000-000)(000..999)(000..999))</t>
  </si>
  <si>
    <t>CITIBANK-OPERATING (OLD)</t>
  </si>
  <si>
    <t>1008-000-000</t>
  </si>
  <si>
    <t>((1008-000-000)(000..999)(000..999))</t>
  </si>
  <si>
    <t>CITIBANK-PAYROLL</t>
  </si>
  <si>
    <t>1009-000-000</t>
  </si>
  <si>
    <t>((1009-000-000)(000..999)(000..999))</t>
  </si>
  <si>
    <t>CITIBANK-CONGRESS</t>
  </si>
  <si>
    <t>1010-000-000</t>
  </si>
  <si>
    <t>((1010-000-000)(000..999)(000..999))</t>
  </si>
  <si>
    <t>CITIBANK-MONEY MARKET</t>
  </si>
  <si>
    <t>1011-000-000</t>
  </si>
  <si>
    <t>((1011-000-000)(000..999)(000..999))</t>
  </si>
  <si>
    <t>BANK OF AMERICA</t>
  </si>
  <si>
    <t>1014-000-000</t>
  </si>
  <si>
    <t>((1014-000-000)(000..999)(000..999))</t>
  </si>
  <si>
    <t xml:space="preserve">          TOTAL CASH AND EQUIVALENTS</t>
  </si>
  <si>
    <t>CITICORP-INVESTMENTS</t>
  </si>
  <si>
    <t>1012-000-000</t>
  </si>
  <si>
    <t>((1012-000-000)(000..999)(000..999))</t>
  </si>
  <si>
    <t>HOKUYO BANK - SAPPORO (YEN)</t>
  </si>
  <si>
    <t>1013-000-000</t>
  </si>
  <si>
    <t>((1013-000-000)(000..999)(000..999))</t>
  </si>
  <si>
    <t>CREDIT LYONNAIS-CD(USD)</t>
  </si>
  <si>
    <t>1016-000-000</t>
  </si>
  <si>
    <t>((1016-000-000)(000..999)(000..999))</t>
  </si>
  <si>
    <t>CREDIT LYONNAIS-FF</t>
  </si>
  <si>
    <t>1017-000-000</t>
  </si>
  <si>
    <t>((1017-000-000)(000..999)(000..999))</t>
  </si>
  <si>
    <t>SUN BANK-OPERATING</t>
  </si>
  <si>
    <t>1018-000-000</t>
  </si>
  <si>
    <t>((1018-000-000)(000..999)(000..999))</t>
  </si>
  <si>
    <t>CREDIT LYONNAIS-INVESTMENTS</t>
  </si>
  <si>
    <t>1019-000-000</t>
  </si>
  <si>
    <t>((1019-000-000)(000..999)(000..999))</t>
  </si>
  <si>
    <t>PREMIUMS (DISCOUNTS)</t>
  </si>
  <si>
    <t>1020-000-000</t>
  </si>
  <si>
    <t>((1020-000-000)(000..999)(000..999))</t>
  </si>
  <si>
    <t>BANCO SABADELL-USA</t>
  </si>
  <si>
    <t>1021-000-000</t>
  </si>
  <si>
    <t>((1021-000-000)(000..999)(000..999))</t>
  </si>
  <si>
    <t>BANCO SAVADELL-PTS</t>
  </si>
  <si>
    <t>1022-000-000</t>
  </si>
  <si>
    <t>((1022-000-000)(000..999)(000..999))</t>
  </si>
  <si>
    <t>CREDIT CARD</t>
  </si>
  <si>
    <t>1023-000-000</t>
  </si>
  <si>
    <t>((1023-000-000)(000..999)(000..999))</t>
  </si>
  <si>
    <t xml:space="preserve">         TOTAL INVESTMENTS</t>
  </si>
  <si>
    <t>A/R-DUES</t>
  </si>
  <si>
    <t>1025-*-000</t>
  </si>
  <si>
    <t>((1025-*-000)(000..999)(000..999))</t>
  </si>
  <si>
    <t>A/R-OFFICERS</t>
  </si>
  <si>
    <t>1030-*-000</t>
  </si>
  <si>
    <t>((1030-*-000)(000..999)(000..999))</t>
  </si>
  <si>
    <t>A/R-STAFF</t>
  </si>
  <si>
    <t>1032-*-000</t>
  </si>
  <si>
    <t>((1032-*-000)(000..999)(000..999))</t>
  </si>
  <si>
    <t>A/R-SAPPORO (2000)</t>
  </si>
  <si>
    <t>1035-000-000</t>
  </si>
  <si>
    <t>((1035-000-000)(000..999)(000..999))</t>
  </si>
  <si>
    <t>A/R-MANILA (98)</t>
  </si>
  <si>
    <t>1040-000-000</t>
  </si>
  <si>
    <t>((1040-000-000)(000..999)(000..999))</t>
  </si>
  <si>
    <t>A/R-CANNES COC (99)</t>
  </si>
  <si>
    <t>1045-000-000</t>
  </si>
  <si>
    <t>((1045-000-000)(000..999)(000..999))</t>
  </si>
  <si>
    <t>A/R-INSURANCE</t>
  </si>
  <si>
    <t>1050-000-000</t>
  </si>
  <si>
    <t>((1050-000-000)(000..999)(000..999))</t>
  </si>
  <si>
    <t>A/R-GENERAL</t>
  </si>
  <si>
    <t>1055-000-000</t>
  </si>
  <si>
    <t>((1055-000-000)(000..999)(000..999))</t>
  </si>
  <si>
    <t>A/R-SALES</t>
  </si>
  <si>
    <t>1058-000-000</t>
  </si>
  <si>
    <t>((1058-000-000)(000..999)(000..999))</t>
  </si>
  <si>
    <t>A/R-JCI FOUNDATION</t>
  </si>
  <si>
    <t>1060-000-000</t>
  </si>
  <si>
    <t>((1060-000-000)(000..999)(000..999))</t>
  </si>
  <si>
    <t>ACCRUED INT RECEIVABLE</t>
  </si>
  <si>
    <t>1065-000-000</t>
  </si>
  <si>
    <t>((1065-000-000)(000..999)(000..999))</t>
  </si>
  <si>
    <t>NOTES RECEIVABLE</t>
  </si>
  <si>
    <t>1070-000-000</t>
  </si>
  <si>
    <t>((1070-000-000)(000..999)(000..999))</t>
  </si>
  <si>
    <t>A/R-LONG TERM</t>
  </si>
  <si>
    <t>1075-000-000</t>
  </si>
  <si>
    <t>((1075-000-000)(000..999)(000..999))</t>
  </si>
  <si>
    <t>BAD DEBT PROV-DUES</t>
  </si>
  <si>
    <t>1080-000-000</t>
  </si>
  <si>
    <t>((1080-000-000)(000..999)(000..999))</t>
  </si>
  <si>
    <t>BAD DEBT PROV-OTHER</t>
  </si>
  <si>
    <t>1085-000-000</t>
  </si>
  <si>
    <t>((1085-000-000)(000..999)(000..999))</t>
  </si>
  <si>
    <t xml:space="preserve">          TOTAL RECEIVABLES</t>
  </si>
  <si>
    <t>INVENTORY-JCI PRODUCTS</t>
  </si>
  <si>
    <t>1100-000-000</t>
  </si>
  <si>
    <t>((1100-000-000)(000..999)(000..999))</t>
  </si>
  <si>
    <t>INVENTORY-US PRODUCTS</t>
  </si>
  <si>
    <t>1100-000-005</t>
  </si>
  <si>
    <t>((1100-000-005)(000..999)(000..999))</t>
  </si>
  <si>
    <t>PURCHASES-JCI</t>
  </si>
  <si>
    <t>1100-001-000</t>
  </si>
  <si>
    <t>((1100-001-000)(000..999)(000..999))</t>
  </si>
  <si>
    <t>PURCHASES-US</t>
  </si>
  <si>
    <t>1100-001-005</t>
  </si>
  <si>
    <t>((1100-001-005)(000..999)(000..999))</t>
  </si>
  <si>
    <t>INVENTORY-OFFICER PINS</t>
  </si>
  <si>
    <t>1105-000-000</t>
  </si>
  <si>
    <t>((1105-000-000)(000..999)(000..999))</t>
  </si>
  <si>
    <t>RESERVE-OBSOLETE INVENTORY</t>
  </si>
  <si>
    <t>1110-000-000</t>
  </si>
  <si>
    <t>((1110-000-000)(000..999)(000..999))</t>
  </si>
  <si>
    <t>INVENTORY CLEARING</t>
  </si>
  <si>
    <t>1111-000-000</t>
  </si>
  <si>
    <t>((1111-000-000)(000..999)(000..999))</t>
  </si>
  <si>
    <t>INVENTORY IN-PROGRESS:</t>
  </si>
  <si>
    <t>1115-000-000</t>
  </si>
  <si>
    <t>((1115-000-000)(000..999)(000..999))</t>
  </si>
  <si>
    <t>VANGUARD LEADERS</t>
  </si>
  <si>
    <t>1115-005-000</t>
  </si>
  <si>
    <t>((1115-005-000)(000..999)(000..999))</t>
  </si>
  <si>
    <t>PRIME</t>
  </si>
  <si>
    <t>1115-010-000</t>
  </si>
  <si>
    <t>((1115-010-000)(000..999)(000..999))</t>
  </si>
  <si>
    <t>CHAPTER DEVELOPMENT</t>
  </si>
  <si>
    <t>1115-015-000</t>
  </si>
  <si>
    <t>((1115-015-000)(000..999)(000..999))</t>
  </si>
  <si>
    <t>OPPORTUNITY TO SUCCEED</t>
  </si>
  <si>
    <t>1115-020-000</t>
  </si>
  <si>
    <t>((1115-020-000)(000..999)(000..999))</t>
  </si>
  <si>
    <t>NATIONAL LEADERS</t>
  </si>
  <si>
    <t>1115-025-000</t>
  </si>
  <si>
    <t>((1115-025-000)(000..999)(000..999))</t>
  </si>
  <si>
    <t>TRANSPARENCIES</t>
  </si>
  <si>
    <t>1115-030-000</t>
  </si>
  <si>
    <t>((1115-030-000)(000..999)(000..999))</t>
  </si>
  <si>
    <t>LOCAL LEADERS</t>
  </si>
  <si>
    <t>1115-035-000</t>
  </si>
  <si>
    <t>((1115-035-000)(000..999)(000..999))</t>
  </si>
  <si>
    <t xml:space="preserve">          TOTAL INVENTORY</t>
  </si>
  <si>
    <t>PREPAIDS-GENERAL</t>
  </si>
  <si>
    <t>1205-000-000</t>
  </si>
  <si>
    <t>((1205-000-000)(000..999)(000..999))</t>
  </si>
  <si>
    <t>PREPAIDS-POSTAGE METER</t>
  </si>
  <si>
    <t>1210-000-000</t>
  </si>
  <si>
    <t>((1210-000-000)(000..999)(000..999))</t>
  </si>
  <si>
    <t>PREPAIDS-SPC</t>
  </si>
  <si>
    <t>1215-000-000</t>
  </si>
  <si>
    <t>((1215-000-000)(000..999)(000..999))</t>
  </si>
  <si>
    <t>PREPAIDS-INSURANCE</t>
  </si>
  <si>
    <t>1220-000-000</t>
  </si>
  <si>
    <t>((1220-000-000)(000..999)(000..999))</t>
  </si>
  <si>
    <t xml:space="preserve">          TOTAL PREPAID</t>
  </si>
  <si>
    <t>DEPOSITS-ELECTRICITY</t>
  </si>
  <si>
    <t>1250-000-000</t>
  </si>
  <si>
    <t>((1250-000-000)(000..999)(000..999))</t>
  </si>
  <si>
    <t>3005..3135</t>
  </si>
  <si>
    <t>^-^-^((3005..3135)(000..999)(000..999))</t>
  </si>
  <si>
    <t>DEPOSITS-SUNDRY</t>
  </si>
  <si>
    <t>1255-000-000</t>
  </si>
  <si>
    <t>((1255-000-000)(000..999)(000..999))</t>
  </si>
  <si>
    <t>4000..9999</t>
  </si>
  <si>
    <t>^-^-^((4000..9999)(000..999)(000..999))</t>
  </si>
  <si>
    <t xml:space="preserve">          TOTAL DEPOSITS</t>
  </si>
  <si>
    <t>SUSPENSE-DEFAULT ACCOUNT</t>
  </si>
  <si>
    <t>1300-000-000</t>
  </si>
  <si>
    <t>((1300-000-000)(000..999)(000..999))</t>
  </si>
  <si>
    <t>SUSPENSE-GENERAL</t>
  </si>
  <si>
    <t>1305-000-000</t>
  </si>
  <si>
    <t>((1305-000-000)(000..999)(000..999))</t>
  </si>
  <si>
    <t>SUSPENSE-SENATE</t>
  </si>
  <si>
    <t>1310-000-000</t>
  </si>
  <si>
    <t>((1310-000-000)(000..999)(000..999))</t>
  </si>
  <si>
    <t>1000..1999</t>
  </si>
  <si>
    <t>^-^-^((1000..1999)(000..999)(000..999))</t>
  </si>
  <si>
    <t>SUSPENSE-CONGRESS MISC</t>
  </si>
  <si>
    <t>1330-000-000</t>
  </si>
  <si>
    <t>((1330-000-000)(000..999)(000..999))</t>
  </si>
  <si>
    <t>SUSPENSE-CONG REG CLEARING</t>
  </si>
  <si>
    <t>1335-000-000</t>
  </si>
  <si>
    <t>((1335-000-000)(000..999)(000..999))</t>
  </si>
  <si>
    <t xml:space="preserve">          TOTAL OTHER CURRENT ASSETS</t>
  </si>
  <si>
    <t>LIBRARY EXT/LOBBY</t>
  </si>
  <si>
    <t>1505-000-000</t>
  </si>
  <si>
    <t>((1505-000-000)(000..999)(000..999))</t>
  </si>
  <si>
    <t>LAND &amp; LANDSCAPING</t>
  </si>
  <si>
    <t>1510-000-000</t>
  </si>
  <si>
    <t>((1510-000-000)(000..999)(000..999))</t>
  </si>
  <si>
    <t>RENOVATIONS-2/4 FL</t>
  </si>
  <si>
    <t>1515-000-000</t>
  </si>
  <si>
    <t>((1515-000-000)(000..999)(000..999))</t>
  </si>
  <si>
    <t>RENOVATIONS-3 FL</t>
  </si>
  <si>
    <t>1517-000-000</t>
  </si>
  <si>
    <t>((1517-000-000)(000..999)(000..999))</t>
  </si>
  <si>
    <t>SECRETARIAT BUILDING</t>
  </si>
  <si>
    <t>1525-000-000</t>
  </si>
  <si>
    <t>((1525-000-000)(000..999)(000..999))</t>
  </si>
  <si>
    <t>PLANT &amp; MACHINERY</t>
  </si>
  <si>
    <t>1530-000-000</t>
  </si>
  <si>
    <t>((1530-000-000)(000..999)(000..999))</t>
  </si>
  <si>
    <t>FURNITURE &amp; EQUIPMENT</t>
  </si>
  <si>
    <t>1535-000-000</t>
  </si>
  <si>
    <t>((1535-000-000)(000..999)(000..999))</t>
  </si>
  <si>
    <t xml:space="preserve">          TOTAL PROPERTY AND EQUIPMENT</t>
  </si>
  <si>
    <t>ACC DEPR-PLANT/MACHINERY</t>
  </si>
  <si>
    <t>1605-000-000</t>
  </si>
  <si>
    <t>((1605-000-000)(000..999)(000..999))</t>
  </si>
  <si>
    <t>ACC DEPR-BUILDING</t>
  </si>
  <si>
    <t>1610-000-000</t>
  </si>
  <si>
    <t>((1610-000-000)(000..999)(000..999))</t>
  </si>
  <si>
    <t>ACC DEPR-FURNITURE</t>
  </si>
  <si>
    <t>1615-000-000</t>
  </si>
  <si>
    <t>((1615-000-000)(000..999)(000..999))</t>
  </si>
  <si>
    <t>ACC DEPR-3RD FL RENOVATIONS</t>
  </si>
  <si>
    <t>1622-000-000</t>
  </si>
  <si>
    <t>((1622-000-000)(000..999)(000..999))</t>
  </si>
  <si>
    <t>ACC DEPR-2/4 RENOVATIONS</t>
  </si>
  <si>
    <t>1625-000-000</t>
  </si>
  <si>
    <t>((1625-000-000)(000..999)(000..999))</t>
  </si>
  <si>
    <t xml:space="preserve">          TOTAL ACCUMULATED DEPRECIATION</t>
  </si>
  <si>
    <t>USJCC CONTRACT RIGHTS</t>
  </si>
  <si>
    <t>1705-000-000</t>
  </si>
  <si>
    <t>((1705-000-000)(000..999)(000..999))</t>
  </si>
  <si>
    <t>ACC AMORTIZATION - USJCC RIGHTS</t>
  </si>
  <si>
    <t>1805-000-000</t>
  </si>
  <si>
    <t>((1805-000-000)(000..999)(000..999))</t>
  </si>
  <si>
    <t xml:space="preserve">          TOTAL OTHER ASSETS</t>
  </si>
  <si>
    <t xml:space="preserve">                    TOTAL ASSETS</t>
  </si>
  <si>
    <t>LIABILITIES</t>
  </si>
  <si>
    <t>ACCOUNTS PAYABLE-GENERAL</t>
  </si>
  <si>
    <t>2005-000-000</t>
  </si>
  <si>
    <t>((2005-000-000)(000..999)(000..999))</t>
  </si>
  <si>
    <t>REFUNDS OVERPAYMENTS-SALES</t>
  </si>
  <si>
    <t>2006-000-000</t>
  </si>
  <si>
    <t>((2006-000-000)(000..999)(000..999))</t>
  </si>
  <si>
    <t>CANDIDATES FILING FEES</t>
  </si>
  <si>
    <t>2007-000-000</t>
  </si>
  <si>
    <t>((2007-000-000)(000..999)(000..999))</t>
  </si>
  <si>
    <t>A/P-DUE TO FOUNDATION</t>
  </si>
  <si>
    <t>2010-000-000</t>
  </si>
  <si>
    <t>((2010-000-000)(000..999)(000..999))</t>
  </si>
  <si>
    <t>WITHHOLDING TAXES</t>
  </si>
  <si>
    <t>2015-000-000</t>
  </si>
  <si>
    <t>((2015-000-000)(000..999)(000..999))</t>
  </si>
  <si>
    <t>MO STATE WITHHOLDING</t>
  </si>
  <si>
    <t>2016-000-000</t>
  </si>
  <si>
    <t>((2016-000-000)(000..999)(000..999))</t>
  </si>
  <si>
    <t>FED UNEMPLOYMENT</t>
  </si>
  <si>
    <t>2017-000-000</t>
  </si>
  <si>
    <t>((2017-000-000)(000..999)(000..999))</t>
  </si>
  <si>
    <t>2018-000-000</t>
  </si>
  <si>
    <t>((2018-000-000)(000..999)(000..999))</t>
  </si>
  <si>
    <t>SOCIAL SECURITY TAXES</t>
  </si>
  <si>
    <t>2020-000-000</t>
  </si>
  <si>
    <t>((2020-000-000)(000..999)(000..999))</t>
  </si>
  <si>
    <t>INSURANCE EMPLOYEE CO PAY</t>
  </si>
  <si>
    <t>2022-000-000</t>
  </si>
  <si>
    <t>((2022-000-000)(000..999)(000..999))</t>
  </si>
  <si>
    <t>401K EMPLOYEE</t>
  </si>
  <si>
    <t>2023-000-000</t>
  </si>
  <si>
    <t>((2023-000-000)(000..999)(000..999))</t>
  </si>
  <si>
    <t>DISABILITY</t>
  </si>
  <si>
    <t>2024-000-000</t>
  </si>
  <si>
    <t>((2024-000-000)(000..999)(000..999))</t>
  </si>
  <si>
    <t>A/P-SALES TAX</t>
  </si>
  <si>
    <t>2025-000-000</t>
  </si>
  <si>
    <t>((2025-000-000)(000..999)(000..999))</t>
  </si>
  <si>
    <t>401K EMPLOYER</t>
  </si>
  <si>
    <t>2026-000-000</t>
  </si>
  <si>
    <t>((2026-000-000)(000..999)(000..999))</t>
  </si>
  <si>
    <t>401K 2%</t>
  </si>
  <si>
    <t>2027-000-000</t>
  </si>
  <si>
    <t>((2027-000-000)(000..999)(000..999))</t>
  </si>
  <si>
    <t>PO CLEARING</t>
  </si>
  <si>
    <t>2030-000-000</t>
  </si>
  <si>
    <t>((2030-000-000)(000..999)(000..999))</t>
  </si>
  <si>
    <t xml:space="preserve">          TOTAL PAYABLES</t>
  </si>
  <si>
    <t>STAFF LEAVES</t>
  </si>
  <si>
    <t>2150-000-000</t>
  </si>
  <si>
    <t>((2150-000-000)(000..999)(000..999))</t>
  </si>
  <si>
    <t>RELOCATION EXPENSES</t>
  </si>
  <si>
    <t>2170-000-000</t>
  </si>
  <si>
    <t>((2170-000-000)(000..999)(000..999))</t>
  </si>
  <si>
    <t>COLOMBIA EARTHQUAKE RELIEF</t>
  </si>
  <si>
    <t>2175-000-000</t>
  </si>
  <si>
    <t>((2175-000-000)(000..999)(000..999))</t>
  </si>
  <si>
    <t>TURKEY EARTHQUAKE RELIEF</t>
  </si>
  <si>
    <t>2177-000-000</t>
  </si>
  <si>
    <t>((2177-000-000)(000..999)(000..999))</t>
  </si>
  <si>
    <t>UNICEF-POE DONATION</t>
  </si>
  <si>
    <t>2185-000-000</t>
  </si>
  <si>
    <t>((2185-000-000)(000..999)(000..999))</t>
  </si>
  <si>
    <t>HONDURAS HURRICANE RELIEF</t>
  </si>
  <si>
    <t>2190-000-000</t>
  </si>
  <si>
    <t>((2190-000-000)(000..999)(000..999))</t>
  </si>
  <si>
    <t>ACCRUED EXPENSES-SPC</t>
  </si>
  <si>
    <t>2195-000-000</t>
  </si>
  <si>
    <t>((2195-000-000)(000..999)(000..999))</t>
  </si>
  <si>
    <t xml:space="preserve">          TOTAL ACCRUED LIABILITIES</t>
  </si>
  <si>
    <t>CONGRESS BID BONDS</t>
  </si>
  <si>
    <t>BARCELONA-2001</t>
  </si>
  <si>
    <t>2205-000-000</t>
  </si>
  <si>
    <t>((2205-000-000)(000..999)(000..999))</t>
  </si>
  <si>
    <t>NEW DEHLI-2002</t>
  </si>
  <si>
    <t>2210-000-000</t>
  </si>
  <si>
    <t>((2210-000-000)(000..999)(000..999))</t>
  </si>
  <si>
    <t>LAS VEGAS-2002</t>
  </si>
  <si>
    <t>2215-000-000</t>
  </si>
  <si>
    <t>((2215-000-000)(000..999)(000..999))</t>
  </si>
  <si>
    <t>MANILA-1998</t>
  </si>
  <si>
    <t>2230-000-000</t>
  </si>
  <si>
    <t>((2230-000-000)(000..999)(000..999))</t>
  </si>
  <si>
    <t>CANNES-1999</t>
  </si>
  <si>
    <t>2240-000-000</t>
  </si>
  <si>
    <t>((2240-000-000)(000..999)(000..999))</t>
  </si>
  <si>
    <t>SAPPORO-2000</t>
  </si>
  <si>
    <t>2245-000-000</t>
  </si>
  <si>
    <t>((2245-000-000)(000..999)(000..999))</t>
  </si>
  <si>
    <t>FUKUOKA 2004</t>
  </si>
  <si>
    <t>2255-000-000</t>
  </si>
  <si>
    <t>((2255-000-000)(000..999)(000..999))</t>
  </si>
  <si>
    <t xml:space="preserve">          TOTAL CONGRESS BID BONDS</t>
  </si>
  <si>
    <t>CONFERENCE BID BONDS</t>
  </si>
  <si>
    <t>ISTANBUL-2002</t>
  </si>
  <si>
    <t>2305-000-000</t>
  </si>
  <si>
    <t>((2305-000-000)(000..999)(000..999))</t>
  </si>
  <si>
    <t>SENDAI-2002</t>
  </si>
  <si>
    <t>2310-000-000</t>
  </si>
  <si>
    <t>((2310-000-000)(000..999)(000..999))</t>
  </si>
  <si>
    <t>REP DOMINICANA - 2002</t>
  </si>
  <si>
    <t>2315-000-000</t>
  </si>
  <si>
    <t>((2315-000-000)(000..999)(000..999))</t>
  </si>
  <si>
    <t>CEBU - 2003</t>
  </si>
  <si>
    <t>2320-000-000</t>
  </si>
  <si>
    <t>((2320-000-000)(000..999)(000..999))</t>
  </si>
  <si>
    <t>EDMONTON 2003</t>
  </si>
  <si>
    <t>2325-000-000</t>
  </si>
  <si>
    <t>((2325-000-000)(000..999)(000..999))</t>
  </si>
  <si>
    <t>SOUSSE 2002</t>
  </si>
  <si>
    <t>2330-000-000</t>
  </si>
  <si>
    <t>((2330-000-000)(000..999)(000..999))</t>
  </si>
  <si>
    <t>LAUSANNE</t>
  </si>
  <si>
    <t>2335-000-000</t>
  </si>
  <si>
    <t>((2335-000-000)(000..999)(000..999))</t>
  </si>
  <si>
    <t>BIRMINGHAM 2003</t>
  </si>
  <si>
    <t>2340-000-000</t>
  </si>
  <si>
    <t>((2340-000-000)(000..999)(000..999))</t>
  </si>
  <si>
    <t>GABON 2003</t>
  </si>
  <si>
    <t>2345-000-000</t>
  </si>
  <si>
    <t>((2345-000-000)(000..999)(000..999))</t>
  </si>
  <si>
    <t>PENANG 2004</t>
  </si>
  <si>
    <t>2348-000-000</t>
  </si>
  <si>
    <t>((2348-000-000)(000..999)(000..999))</t>
  </si>
  <si>
    <t>MONACO-1998</t>
  </si>
  <si>
    <t>2410-000-000</t>
  </si>
  <si>
    <t>((2410-000-000)(000..999)(000..999))</t>
  </si>
  <si>
    <t>PAN-MAC (MACAU)-1998</t>
  </si>
  <si>
    <t>2415-000-000</t>
  </si>
  <si>
    <t>((2415-000-000)(000..999)(000..999))</t>
  </si>
  <si>
    <t>BOLIVIA-1998</t>
  </si>
  <si>
    <t>2420-000-000</t>
  </si>
  <si>
    <t>((2420-000-000)(000..999)(000..999))</t>
  </si>
  <si>
    <t>BALI (INDO)-1999</t>
  </si>
  <si>
    <t>2430-000-000</t>
  </si>
  <si>
    <t>((2430-000-000)(000..999)(000..999))</t>
  </si>
  <si>
    <t>JAKARTA (INDO)-1999</t>
  </si>
  <si>
    <t>2435-000-000</t>
  </si>
  <si>
    <t>((2435-000-000)(000..999)(000..999))</t>
  </si>
  <si>
    <t>KAOHSIUNG-2000</t>
  </si>
  <si>
    <t>2440-000-000</t>
  </si>
  <si>
    <t>((2440-000-000)(000..999)(000..999))</t>
  </si>
  <si>
    <t>MAURICE-1999</t>
  </si>
  <si>
    <t>2445-000-000</t>
  </si>
  <si>
    <t>((2445-000-000)(000..999)(000..999))</t>
  </si>
  <si>
    <t>GERMANY-1999</t>
  </si>
  <si>
    <t>2450-000-000</t>
  </si>
  <si>
    <t>((2450-000-000)(000..999)(000..999))</t>
  </si>
  <si>
    <t>PANAMA-1999</t>
  </si>
  <si>
    <t>2455-000-000</t>
  </si>
  <si>
    <t>((2455-000-000)(000..999)(000..999))</t>
  </si>
  <si>
    <t>NAIROBI - 2000</t>
  </si>
  <si>
    <t>2460-000-000</t>
  </si>
  <si>
    <t>((2460-000-000)(000..999)(000..999))</t>
  </si>
  <si>
    <t>OOSTENDE - 2000</t>
  </si>
  <si>
    <t>2465-000-000</t>
  </si>
  <si>
    <t>((2465-000-000)(000..999)(000..999))</t>
  </si>
  <si>
    <t>MALI - 2000</t>
  </si>
  <si>
    <t>2470-000-000</t>
  </si>
  <si>
    <t>((2470-000-000)(000..999)(000..999))</t>
  </si>
  <si>
    <t>CURITIBA - 2000</t>
  </si>
  <si>
    <t>2475-000-000</t>
  </si>
  <si>
    <t>((2475-000-000)(000..999)(000..999))</t>
  </si>
  <si>
    <t>TAMPERE-2001</t>
  </si>
  <si>
    <t>2480-000-000</t>
  </si>
  <si>
    <t>((2480-000-000)(000..999)(000..999))</t>
  </si>
  <si>
    <t>CAMEROUN-2001</t>
  </si>
  <si>
    <t>2485-000-000</t>
  </si>
  <si>
    <t>((2485-000-000)(000..999)(000..999))</t>
  </si>
  <si>
    <t>ATLANTA-2001</t>
  </si>
  <si>
    <t>2490-000-000</t>
  </si>
  <si>
    <t>((2490-000-000)(000..999)(000..999))</t>
  </si>
  <si>
    <t>TAEGU(KOREA)-2001</t>
  </si>
  <si>
    <t>2495-000-000</t>
  </si>
  <si>
    <t>((2495-000-000)(000..999)(000..999))</t>
  </si>
  <si>
    <t xml:space="preserve">          TOTAL CONFERENCE BID BONDS</t>
  </si>
  <si>
    <t xml:space="preserve">               TOTAL BID BONDS</t>
  </si>
  <si>
    <t>DEFERRED INCOME-SENATE</t>
  </si>
  <si>
    <t>2505-000-000</t>
  </si>
  <si>
    <t>((2505-000-000)(000..999)(000..999))</t>
  </si>
  <si>
    <t>DEFERRED INCOME-OTHER</t>
  </si>
  <si>
    <t>2515-000-000</t>
  </si>
  <si>
    <t>((2515-000-000)(000..999)(000..999))</t>
  </si>
  <si>
    <t xml:space="preserve">          TOTAL DEFERRED REVENUES</t>
  </si>
  <si>
    <t xml:space="preserve">               TOTAL LIABILITIES</t>
  </si>
  <si>
    <t>CAPITAL</t>
  </si>
  <si>
    <t>A/C REPAIRS</t>
  </si>
  <si>
    <t>3005-000-000</t>
  </si>
  <si>
    <t>((3005-000-000)(000..999)(000..999))</t>
  </si>
  <si>
    <t>BUILDING-GENERAL</t>
  </si>
  <si>
    <t>3010-000-000</t>
  </si>
  <si>
    <t>((3010-000-000)(000..999)(000..999))</t>
  </si>
  <si>
    <t>COMPUTER SYSTEM</t>
  </si>
  <si>
    <t>3015-000-000</t>
  </si>
  <si>
    <t>((3015-000-000)(000..999)(000..999))</t>
  </si>
  <si>
    <t>SECURITY SYSTEM-PARKING LOT</t>
  </si>
  <si>
    <t>3032-000-000</t>
  </si>
  <si>
    <t>((3032-000-000)(000..999)(000..999))</t>
  </si>
  <si>
    <t>NAGOYA AWARD FUND</t>
  </si>
  <si>
    <t>3035-000-000</t>
  </si>
  <si>
    <t>((3035-000-000)(000..999)(000..999))</t>
  </si>
  <si>
    <t>YOKOHAMA AWARD FUND</t>
  </si>
  <si>
    <t>3040-000-000</t>
  </si>
  <si>
    <t>((3040-000-000)(000..999)(000..999))</t>
  </si>
  <si>
    <t>JUNYA YOSHIDA FUND</t>
  </si>
  <si>
    <t>3045-000-000</t>
  </si>
  <si>
    <t>((3045-000-000)(000..999)(000..999))</t>
  </si>
  <si>
    <t>OPERATING SURPLUS RESERVE</t>
  </si>
  <si>
    <t>3130-000-000</t>
  </si>
  <si>
    <t>((3130-000-000)(000..999)(000..999))</t>
  </si>
  <si>
    <t xml:space="preserve">          TOTAL APPROPRIATED</t>
  </si>
  <si>
    <t>UNAPPROPRIATED SURPLUS</t>
  </si>
  <si>
    <t>3135-000-000</t>
  </si>
  <si>
    <t>((3135-000-000)(000..999)(000..999))</t>
  </si>
  <si>
    <t>NET INCOME/(LOSS)</t>
  </si>
  <si>
    <t xml:space="preserve">          UNAPPROPRIATED SURPLUS</t>
  </si>
  <si>
    <t>YTD ACTUAL</t>
  </si>
  <si>
    <t xml:space="preserve">               TOTAL CAPITAL</t>
  </si>
  <si>
    <t>PROFIT/LOSS</t>
  </si>
  <si>
    <t xml:space="preserve">                    TOTAL LIABILITIES &amp; CAPITAL</t>
  </si>
  <si>
    <t>FUND BALANCE</t>
  </si>
  <si>
    <t>ASSETS =</t>
  </si>
  <si>
    <t>LIABILITIES/CAPITAL</t>
  </si>
  <si>
    <t>2000..9999</t>
  </si>
  <si>
    <t>^-^-^((2000..9999)(000..999)(000..999))</t>
  </si>
  <si>
    <t>DIFF SHOULD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</si>
</sst>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hh:mm:ss\ AM/PM_)"/>
    <numFmt numFmtId="166" formatCode="mm/dd/yy_)"/>
  </numFmts>
  <fonts count="9">
    <font>
      <sz val="8"/>
      <name val="AvantGarde"/>
    </font>
    <font>
      <b/>
      <sz val="8"/>
      <color indexed="8"/>
      <name val="Times New Roman"/>
      <family val="1"/>
    </font>
    <font>
      <sz val="8"/>
      <color indexed="8"/>
      <name val="AvantGarde"/>
    </font>
    <font>
      <sz val="8"/>
      <color indexed="8"/>
      <name val="Times New Roman"/>
      <family val="1"/>
    </font>
    <font>
      <b/>
      <u/>
      <sz val="8"/>
      <color indexed="8"/>
      <name val="Times New Roman"/>
      <family val="1"/>
    </font>
    <font>
      <b/>
      <i/>
      <u/>
      <sz val="8"/>
      <color indexed="8"/>
      <name val="Times New Roman"/>
      <family val="1"/>
    </font>
    <font>
      <u/>
      <sz val="8"/>
      <color indexed="8"/>
      <name val="Times New Roman"/>
      <family val="1"/>
    </font>
    <font>
      <b/>
      <i/>
      <sz val="8"/>
      <color indexed="8"/>
      <name val="Times New Roman"/>
      <family val="1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37" fontId="0" fillId="0" borderId="0"/>
  </cellStyleXfs>
  <cellXfs count="29">
    <xf numFmtId="37" fontId="0" fillId="0" borderId="0" xfId="0"/>
    <xf numFmtId="37" fontId="1" fillId="0" borderId="0" xfId="0" applyNumberFormat="1" applyFont="1" applyProtection="1"/>
    <xf numFmtId="37" fontId="1" fillId="0" borderId="1" xfId="0" applyNumberFormat="1" applyFont="1" applyBorder="1" applyProtection="1"/>
    <xf numFmtId="39" fontId="1" fillId="0" borderId="2" xfId="0" applyNumberFormat="1" applyFont="1" applyBorder="1" applyProtection="1"/>
    <xf numFmtId="39" fontId="1" fillId="0" borderId="3" xfId="0" applyNumberFormat="1" applyFont="1" applyBorder="1" applyProtection="1"/>
    <xf numFmtId="37" fontId="2" fillId="0" borderId="0" xfId="0" applyNumberFormat="1" applyFont="1" applyProtection="1"/>
    <xf numFmtId="37" fontId="3" fillId="0" borderId="0" xfId="0" applyNumberFormat="1" applyFont="1" applyProtection="1"/>
    <xf numFmtId="37" fontId="1" fillId="0" borderId="4" xfId="0" applyNumberFormat="1" applyFont="1" applyBorder="1" applyProtection="1"/>
    <xf numFmtId="39" fontId="1" fillId="0" borderId="0" xfId="0" applyNumberFormat="1" applyFont="1" applyProtection="1"/>
    <xf numFmtId="39" fontId="1" fillId="0" borderId="5" xfId="0" applyNumberFormat="1" applyFont="1" applyBorder="1" applyProtection="1"/>
    <xf numFmtId="37" fontId="1" fillId="0" borderId="6" xfId="0" applyNumberFormat="1" applyFont="1" applyBorder="1" applyProtection="1"/>
    <xf numFmtId="37" fontId="1" fillId="0" borderId="7" xfId="0" applyNumberFormat="1" applyFont="1" applyBorder="1" applyProtection="1"/>
    <xf numFmtId="37" fontId="1" fillId="0" borderId="8" xfId="0" applyNumberFormat="1" applyFont="1" applyBorder="1" applyProtection="1"/>
    <xf numFmtId="39" fontId="3" fillId="0" borderId="0" xfId="0" applyNumberFormat="1" applyFont="1" applyProtection="1"/>
    <xf numFmtId="37" fontId="3" fillId="0" borderId="0" xfId="0" applyNumberFormat="1" applyFont="1" applyAlignment="1" applyProtection="1">
      <alignment horizontal="center"/>
    </xf>
    <xf numFmtId="37" fontId="3" fillId="0" borderId="9" xfId="0" applyNumberFormat="1" applyFont="1" applyBorder="1" applyProtection="1"/>
    <xf numFmtId="37" fontId="3" fillId="0" borderId="10" xfId="0" applyNumberFormat="1" applyFont="1" applyBorder="1" applyProtection="1"/>
    <xf numFmtId="37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39" fontId="1" fillId="0" borderId="0" xfId="0" applyNumberFormat="1" applyFont="1" applyAlignment="1" applyProtection="1">
      <alignment horizontal="center"/>
    </xf>
    <xf numFmtId="37" fontId="1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 applyProtection="1">
      <alignment horizontal="center"/>
    </xf>
    <xf numFmtId="39" fontId="4" fillId="0" borderId="0" xfId="0" applyNumberFormat="1" applyFont="1" applyAlignment="1" applyProtection="1">
      <alignment horizontal="center"/>
    </xf>
    <xf numFmtId="37" fontId="4" fillId="0" borderId="0" xfId="0" applyNumberFormat="1" applyFont="1" applyAlignment="1" applyProtection="1">
      <alignment horizontal="center"/>
    </xf>
    <xf numFmtId="37" fontId="5" fillId="0" borderId="0" xfId="0" applyNumberFormat="1" applyFont="1" applyProtection="1"/>
    <xf numFmtId="37" fontId="6" fillId="0" borderId="0" xfId="0" applyNumberFormat="1" applyFont="1" applyProtection="1"/>
    <xf numFmtId="37" fontId="7" fillId="0" borderId="0" xfId="0" applyNumberFormat="1" applyFont="1" applyProtection="1"/>
    <xf numFmtId="37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J317"/>
  <sheetViews>
    <sheetView tabSelected="1" defaultGridColor="0" colorId="22" zoomScale="87" workbookViewId="0">
      <selection activeCell="B2" sqref="B2"/>
    </sheetView>
  </sheetViews>
  <sheetFormatPr defaultColWidth="15.85546875" defaultRowHeight="10.199999999999999"/>
  <cols>
    <col min="1" max="2" width="12.85546875" customWidth="1"/>
    <col min="3" max="5" width="10.85546875" customWidth="1"/>
    <col min="6" max="6" width="9.85546875" customWidth="1"/>
    <col min="9" max="10" width="7.85546875" customWidth="1"/>
    <col min="11" max="11" width="12.85546875" customWidth="1"/>
  </cols>
  <sheetData>
    <row r="1" spans="1:10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6"/>
      <c r="J1" s="6"/>
    </row>
    <row r="2" spans="1:10">
      <c r="A2" s="6"/>
      <c r="B2" s="7" t="s">
        <v>2</v>
      </c>
      <c r="C2" s="8"/>
      <c r="D2" s="8"/>
      <c r="E2" s="9"/>
      <c r="F2" s="5"/>
      <c r="G2" s="5"/>
      <c r="H2" s="5"/>
      <c r="I2" s="6"/>
      <c r="J2" s="6"/>
    </row>
    <row r="3" spans="1:10" ht="10.8" thickBot="1">
      <c r="A3" s="6"/>
      <c r="B3" s="10" t="s">
        <v>3</v>
      </c>
      <c r="C3" s="11"/>
      <c r="D3" s="11"/>
      <c r="E3" s="12"/>
      <c r="F3" s="5"/>
      <c r="G3" s="5"/>
      <c r="H3" s="5"/>
      <c r="I3" s="6"/>
      <c r="J3" s="6"/>
    </row>
    <row r="4" spans="1:10">
      <c r="A4" s="6"/>
      <c r="B4" s="6"/>
      <c r="C4" s="13"/>
      <c r="D4" s="13"/>
      <c r="E4" s="13"/>
      <c r="F4" s="5"/>
      <c r="G4" s="5"/>
      <c r="H4" s="5"/>
      <c r="I4" s="6"/>
      <c r="J4" s="6"/>
    </row>
    <row r="5" spans="1:10">
      <c r="A5" s="6"/>
      <c r="B5" s="6"/>
      <c r="C5" s="13"/>
      <c r="D5" s="13"/>
      <c r="E5" s="13"/>
      <c r="F5" s="6"/>
      <c r="G5" s="6"/>
      <c r="H5" s="6"/>
      <c r="I5" s="6"/>
      <c r="J5" s="6"/>
    </row>
    <row r="6" spans="1:10">
      <c r="A6" s="6"/>
      <c r="B6" s="13" t="s">
        <v>4</v>
      </c>
      <c r="C6" s="5"/>
      <c r="D6" s="14" t="s">
        <v>5</v>
      </c>
      <c r="E6" s="14" t="s">
        <v>6</v>
      </c>
      <c r="F6" s="6"/>
      <c r="G6" s="6"/>
      <c r="H6" s="6"/>
      <c r="I6" s="6"/>
      <c r="J6" s="6"/>
    </row>
    <row r="7" spans="1:10">
      <c r="A7" s="6"/>
      <c r="B7" s="6"/>
      <c r="C7" s="13"/>
      <c r="D7" s="6"/>
      <c r="E7" s="6"/>
      <c r="F7" s="6"/>
      <c r="G7" s="6"/>
      <c r="H7" s="6"/>
      <c r="I7" s="6"/>
      <c r="J7" s="6"/>
    </row>
    <row r="8" spans="1:10">
      <c r="A8" s="6" t="s">
        <v>7</v>
      </c>
      <c r="B8" s="6"/>
      <c r="C8" s="13"/>
      <c r="D8" s="6"/>
      <c r="E8" s="6"/>
      <c r="F8" s="6"/>
      <c r="G8" s="6"/>
      <c r="H8" s="6"/>
      <c r="I8" s="6"/>
      <c r="J8" s="6"/>
    </row>
    <row r="9" spans="1:10">
      <c r="A9" s="6" t="s">
        <v>8</v>
      </c>
      <c r="B9" s="6"/>
      <c r="C9" s="13"/>
      <c r="D9" s="6">
        <f>D83</f>
        <v>356950.8</v>
      </c>
      <c r="E9" s="6">
        <f>E83</f>
        <v>744475.61</v>
      </c>
      <c r="F9" s="6"/>
      <c r="G9" s="6"/>
      <c r="H9" s="6"/>
      <c r="I9" s="6"/>
      <c r="J9" s="6"/>
    </row>
    <row r="10" spans="1:10">
      <c r="A10" s="6" t="s">
        <v>9</v>
      </c>
      <c r="B10" s="6"/>
      <c r="C10" s="13"/>
      <c r="D10" s="6">
        <f>D96</f>
        <v>1408082.6099999999</v>
      </c>
      <c r="E10" s="6">
        <f>E96</f>
        <v>2163863.1799999997</v>
      </c>
      <c r="F10" s="6"/>
      <c r="G10" s="6"/>
      <c r="H10" s="6"/>
      <c r="I10" s="6"/>
      <c r="J10" s="6"/>
    </row>
    <row r="11" spans="1:10">
      <c r="A11" s="6" t="s">
        <v>10</v>
      </c>
      <c r="B11" s="6"/>
      <c r="C11" s="13"/>
      <c r="D11" s="6">
        <f>D98+D99+D102+D103+D104+D105+D106+D107+D109+D110+D111+D112+D113</f>
        <v>1326155.8799999999</v>
      </c>
      <c r="E11" s="6">
        <f>E98+E99+E102+E103+E104+E105+E106+E107+E109+E110+E111+E112+E113</f>
        <v>59643.920000000013</v>
      </c>
      <c r="F11" s="6"/>
      <c r="G11" s="6"/>
      <c r="H11" s="6"/>
      <c r="I11" s="6"/>
      <c r="J11" s="6"/>
    </row>
    <row r="12" spans="1:10">
      <c r="A12" s="6" t="s">
        <v>11</v>
      </c>
      <c r="B12" s="6"/>
      <c r="C12" s="13"/>
      <c r="D12" s="6">
        <f>D100+D101</f>
        <v>59418.659999999996</v>
      </c>
      <c r="E12" s="6">
        <f>E100+E101</f>
        <v>10724.49</v>
      </c>
      <c r="F12" s="6"/>
      <c r="G12" s="6"/>
      <c r="H12" s="6"/>
      <c r="I12" s="6"/>
      <c r="J12" s="6"/>
    </row>
    <row r="13" spans="1:10">
      <c r="A13" s="6" t="s">
        <v>12</v>
      </c>
      <c r="B13" s="6"/>
      <c r="C13" s="13"/>
      <c r="D13" s="6">
        <f>D108</f>
        <v>46642.5</v>
      </c>
      <c r="E13" s="6">
        <f>E108</f>
        <v>122159.2</v>
      </c>
      <c r="F13" s="6"/>
      <c r="G13" s="6"/>
      <c r="H13" s="6"/>
      <c r="I13" s="6"/>
      <c r="J13" s="6"/>
    </row>
    <row r="14" spans="1:10">
      <c r="A14" s="6" t="s">
        <v>13</v>
      </c>
      <c r="B14" s="6"/>
      <c r="C14" s="13"/>
      <c r="D14" s="6">
        <f>D132</f>
        <v>111116.55</v>
      </c>
      <c r="E14" s="6">
        <f>E132</f>
        <v>112233.37000000001</v>
      </c>
      <c r="F14" s="6"/>
      <c r="G14" s="6"/>
      <c r="H14" s="6"/>
      <c r="I14" s="6"/>
      <c r="J14" s="6"/>
    </row>
    <row r="15" spans="1:10">
      <c r="A15" s="6" t="s">
        <v>14</v>
      </c>
      <c r="B15" s="6"/>
      <c r="C15" s="13"/>
      <c r="D15" s="6">
        <f>D139+D144</f>
        <v>88355.89</v>
      </c>
      <c r="E15" s="6">
        <f>E139+E144</f>
        <v>101617.34000000001</v>
      </c>
      <c r="F15" s="6"/>
      <c r="G15" s="6"/>
      <c r="H15" s="6"/>
      <c r="I15" s="6"/>
      <c r="J15" s="6"/>
    </row>
    <row r="16" spans="1:10">
      <c r="A16" s="6" t="s">
        <v>15</v>
      </c>
      <c r="B16" s="6"/>
      <c r="C16" s="13"/>
      <c r="D16" s="15">
        <f>D152</f>
        <v>-6960.9799999999959</v>
      </c>
      <c r="E16" s="15">
        <f>E152</f>
        <v>-34121.53</v>
      </c>
      <c r="F16" s="6"/>
      <c r="G16" s="6"/>
      <c r="H16" s="6"/>
      <c r="I16" s="6"/>
      <c r="J16" s="6"/>
    </row>
    <row r="17" spans="1:10">
      <c r="A17" s="6"/>
      <c r="B17" s="6"/>
      <c r="C17" s="13"/>
      <c r="D17" s="6"/>
      <c r="E17" s="6"/>
      <c r="F17" s="6"/>
      <c r="G17" s="6"/>
      <c r="H17" s="6"/>
      <c r="I17" s="6"/>
      <c r="J17" s="6"/>
    </row>
    <row r="18" spans="1:10">
      <c r="A18" s="6" t="s">
        <v>16</v>
      </c>
      <c r="B18" s="6"/>
      <c r="C18" s="13"/>
      <c r="D18" s="15">
        <f>SUM(D8:D17)</f>
        <v>3389761.91</v>
      </c>
      <c r="E18" s="15">
        <f>SUM(E8:E17)</f>
        <v>3280595.58</v>
      </c>
      <c r="F18" s="6"/>
      <c r="G18" s="6"/>
      <c r="H18" s="6"/>
      <c r="I18" s="6"/>
      <c r="J18" s="6"/>
    </row>
    <row r="19" spans="1:10">
      <c r="A19" s="6"/>
      <c r="B19" s="6"/>
      <c r="C19" s="13"/>
      <c r="D19" s="6"/>
      <c r="E19" s="6"/>
      <c r="F19" s="6"/>
      <c r="G19" s="6"/>
      <c r="H19" s="6"/>
      <c r="I19" s="6"/>
      <c r="J19" s="6"/>
    </row>
    <row r="20" spans="1:10">
      <c r="A20" s="6" t="s">
        <v>17</v>
      </c>
      <c r="B20" s="6"/>
      <c r="C20" s="13"/>
      <c r="D20" s="6"/>
      <c r="E20" s="6"/>
      <c r="F20" s="6"/>
      <c r="G20" s="6"/>
      <c r="H20" s="6"/>
      <c r="I20" s="6"/>
      <c r="J20" s="6"/>
    </row>
    <row r="21" spans="1:10">
      <c r="A21" s="6" t="s">
        <v>18</v>
      </c>
      <c r="B21" s="6"/>
      <c r="C21" s="13"/>
      <c r="D21" s="15"/>
      <c r="E21" s="15"/>
      <c r="F21" s="6"/>
      <c r="G21" s="6"/>
      <c r="H21" s="6"/>
      <c r="I21" s="6"/>
      <c r="J21" s="6"/>
    </row>
    <row r="22" spans="1:10">
      <c r="A22" s="6" t="s">
        <v>19</v>
      </c>
      <c r="B22" s="6"/>
      <c r="C22" s="13"/>
      <c r="D22" s="6">
        <f>SUM(D19:D21)</f>
        <v>0</v>
      </c>
      <c r="E22" s="6">
        <f>SUM(E19:E21)</f>
        <v>0</v>
      </c>
      <c r="F22" s="6"/>
      <c r="G22" s="6"/>
      <c r="H22" s="6"/>
      <c r="I22" s="6"/>
      <c r="J22" s="6"/>
    </row>
    <row r="23" spans="1:10">
      <c r="A23" s="6"/>
      <c r="B23" s="6"/>
      <c r="C23" s="13"/>
      <c r="D23" s="6"/>
      <c r="E23" s="6"/>
      <c r="F23" s="6"/>
      <c r="G23" s="6"/>
      <c r="H23" s="6"/>
      <c r="I23" s="6"/>
      <c r="J23" s="6"/>
    </row>
    <row r="24" spans="1:10">
      <c r="A24" s="6" t="s">
        <v>20</v>
      </c>
      <c r="B24" s="6"/>
      <c r="C24" s="13"/>
      <c r="D24" s="6"/>
      <c r="E24" s="6"/>
      <c r="F24" s="6"/>
      <c r="G24" s="6"/>
      <c r="H24" s="6"/>
      <c r="I24" s="6"/>
      <c r="J24" s="6"/>
    </row>
    <row r="25" spans="1:10">
      <c r="A25" s="6" t="s">
        <v>21</v>
      </c>
      <c r="B25" s="6"/>
      <c r="C25" s="13"/>
      <c r="D25" s="6">
        <f>D156</f>
        <v>63712.95</v>
      </c>
      <c r="E25" s="6">
        <f>E156</f>
        <v>63712.95</v>
      </c>
      <c r="F25" s="6"/>
      <c r="G25" s="6"/>
      <c r="H25" s="6"/>
      <c r="I25" s="6"/>
      <c r="J25" s="6"/>
    </row>
    <row r="26" spans="1:10">
      <c r="A26" s="6" t="s">
        <v>22</v>
      </c>
      <c r="B26" s="6"/>
      <c r="C26" s="13"/>
      <c r="D26" s="6">
        <f>D155+D157+D158+D159+D160</f>
        <v>1450653.37</v>
      </c>
      <c r="E26" s="6">
        <f>E155+E157+E158+E159+E160</f>
        <v>1450653.37</v>
      </c>
      <c r="F26" s="6"/>
      <c r="G26" s="6"/>
      <c r="H26" s="6"/>
      <c r="I26" s="6"/>
      <c r="J26" s="6"/>
    </row>
    <row r="27" spans="1:10">
      <c r="A27" s="6" t="s">
        <v>23</v>
      </c>
      <c r="B27" s="6"/>
      <c r="C27" s="13"/>
      <c r="D27" s="6"/>
      <c r="E27" s="6"/>
      <c r="F27" s="6"/>
      <c r="G27" s="6"/>
      <c r="H27" s="6"/>
      <c r="I27" s="6"/>
      <c r="J27" s="6"/>
    </row>
    <row r="28" spans="1:10">
      <c r="A28" s="6" t="s">
        <v>24</v>
      </c>
      <c r="B28" s="6"/>
      <c r="C28" s="13"/>
      <c r="D28" s="15">
        <f>D161</f>
        <v>373938.32</v>
      </c>
      <c r="E28" s="15">
        <f>E161</f>
        <v>367571.27</v>
      </c>
      <c r="F28" s="6"/>
      <c r="G28" s="6"/>
      <c r="H28" s="6"/>
      <c r="I28" s="6"/>
      <c r="J28" s="6"/>
    </row>
    <row r="29" spans="1:10">
      <c r="A29" s="6"/>
      <c r="B29" s="6"/>
      <c r="C29" s="13"/>
      <c r="D29" s="6"/>
      <c r="E29" s="6"/>
      <c r="F29" s="6"/>
      <c r="G29" s="6"/>
      <c r="H29" s="6"/>
      <c r="I29" s="6"/>
      <c r="J29" s="6"/>
    </row>
    <row r="30" spans="1:10">
      <c r="A30" s="6" t="s">
        <v>25</v>
      </c>
      <c r="B30" s="6"/>
      <c r="C30" s="13"/>
      <c r="D30" s="6">
        <f>SUM(D24:D29)</f>
        <v>1888304.6400000001</v>
      </c>
      <c r="E30" s="6">
        <f>SUM(E24:E29)</f>
        <v>1881937.59</v>
      </c>
      <c r="F30" s="6"/>
      <c r="G30" s="6"/>
      <c r="H30" s="6"/>
      <c r="I30" s="6"/>
      <c r="J30" s="6"/>
    </row>
    <row r="31" spans="1:10">
      <c r="A31" s="6"/>
      <c r="B31" s="6"/>
      <c r="C31" s="13"/>
      <c r="D31" s="6"/>
      <c r="E31" s="6"/>
      <c r="F31" s="6"/>
      <c r="G31" s="6"/>
      <c r="H31" s="6"/>
      <c r="I31" s="6"/>
      <c r="J31" s="6"/>
    </row>
    <row r="32" spans="1:10">
      <c r="A32" s="6" t="s">
        <v>26</v>
      </c>
      <c r="B32" s="6"/>
      <c r="C32" s="13"/>
      <c r="D32" s="15">
        <f>D170</f>
        <v>-1433439.4300000002</v>
      </c>
      <c r="E32" s="15">
        <f>E170</f>
        <v>-1343022.67</v>
      </c>
      <c r="F32" s="6"/>
      <c r="G32" s="6"/>
      <c r="H32" s="6"/>
      <c r="I32" s="6"/>
      <c r="J32" s="6"/>
    </row>
    <row r="33" spans="1:10">
      <c r="A33" s="6"/>
      <c r="B33" s="6"/>
      <c r="C33" s="13"/>
      <c r="D33" s="6"/>
      <c r="E33" s="6"/>
      <c r="F33" s="6"/>
      <c r="G33" s="6"/>
      <c r="H33" s="6"/>
      <c r="I33" s="6"/>
      <c r="J33" s="6"/>
    </row>
    <row r="34" spans="1:10">
      <c r="A34" s="6" t="s">
        <v>27</v>
      </c>
      <c r="B34" s="6"/>
      <c r="C34" s="13"/>
      <c r="D34" s="6">
        <f>D30+D32</f>
        <v>454865.20999999996</v>
      </c>
      <c r="E34" s="6">
        <f>E30+E32</f>
        <v>538914.92000000016</v>
      </c>
      <c r="F34" s="6"/>
      <c r="G34" s="6"/>
      <c r="H34" s="6"/>
      <c r="I34" s="6"/>
      <c r="J34" s="6"/>
    </row>
    <row r="35" spans="1:10">
      <c r="A35" s="6"/>
      <c r="B35" s="6"/>
      <c r="C35" s="13"/>
      <c r="D35" s="6"/>
      <c r="E35" s="6"/>
      <c r="F35" s="6"/>
      <c r="G35" s="6"/>
      <c r="H35" s="6"/>
      <c r="I35" s="6"/>
      <c r="J35" s="6"/>
    </row>
    <row r="36" spans="1:10">
      <c r="A36" s="6" t="s">
        <v>28</v>
      </c>
      <c r="B36" s="6"/>
      <c r="C36" s="13"/>
      <c r="D36" s="15">
        <f>D175</f>
        <v>9087.3999999999651</v>
      </c>
      <c r="E36" s="15">
        <f>E175</f>
        <v>9087.3999999999651</v>
      </c>
      <c r="F36" s="6"/>
      <c r="G36" s="6"/>
      <c r="H36" s="6"/>
      <c r="I36" s="6"/>
      <c r="J36" s="6"/>
    </row>
    <row r="37" spans="1:10">
      <c r="A37" s="6"/>
      <c r="B37" s="6"/>
      <c r="C37" s="13"/>
      <c r="D37" s="6"/>
      <c r="E37" s="6"/>
      <c r="F37" s="6"/>
      <c r="G37" s="6"/>
      <c r="H37" s="6"/>
      <c r="I37" s="6"/>
      <c r="J37" s="6"/>
    </row>
    <row r="38" spans="1:10" ht="10.8" thickBot="1">
      <c r="A38" s="6" t="s">
        <v>29</v>
      </c>
      <c r="B38" s="6"/>
      <c r="C38" s="13"/>
      <c r="D38" s="16">
        <f>D18+D22+D34+D36</f>
        <v>3853714.52</v>
      </c>
      <c r="E38" s="16">
        <f>E18+E22+E34+E36</f>
        <v>3828597.9</v>
      </c>
      <c r="F38" s="6"/>
      <c r="G38" s="6"/>
      <c r="H38" s="6"/>
      <c r="I38" s="6"/>
      <c r="J38" s="6"/>
    </row>
    <row r="39" spans="1:10" ht="10.8" thickTop="1">
      <c r="A39" s="6"/>
      <c r="B39" s="6"/>
      <c r="C39" s="13"/>
      <c r="D39" s="6"/>
      <c r="E39" s="6"/>
      <c r="F39" s="6"/>
      <c r="G39" s="6"/>
      <c r="H39" s="6"/>
      <c r="I39" s="6"/>
      <c r="J39" s="6"/>
    </row>
    <row r="40" spans="1:10">
      <c r="A40" s="6"/>
      <c r="B40" s="13" t="s">
        <v>30</v>
      </c>
      <c r="C40" s="5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13"/>
      <c r="D41" s="6"/>
      <c r="E41" s="6"/>
      <c r="F41" s="6"/>
      <c r="G41" s="6"/>
      <c r="H41" s="6"/>
      <c r="I41" s="6"/>
      <c r="J41" s="6"/>
    </row>
    <row r="42" spans="1:10">
      <c r="A42" s="6" t="s">
        <v>31</v>
      </c>
      <c r="B42" s="6"/>
      <c r="C42" s="13"/>
      <c r="D42" s="6"/>
      <c r="E42" s="6"/>
      <c r="F42" s="6"/>
      <c r="G42" s="6"/>
      <c r="H42" s="6"/>
      <c r="I42" s="6"/>
      <c r="J42" s="6"/>
    </row>
    <row r="43" spans="1:10">
      <c r="A43" s="6" t="s">
        <v>32</v>
      </c>
      <c r="B43" s="6"/>
      <c r="C43" s="13"/>
      <c r="D43" s="6">
        <f>D183+D184+D185+D187+D188+D189+D190+D191+D192+D193+D194+D195+D196+D197+D198</f>
        <v>52609.15</v>
      </c>
      <c r="E43" s="6">
        <f>E183+E184+E185+E187+E188+E189+E190+E191+E192+E193+E194+E195+E196+E197+E198</f>
        <v>96924.13</v>
      </c>
      <c r="F43" s="6"/>
      <c r="G43" s="6"/>
      <c r="H43" s="6"/>
      <c r="I43" s="6"/>
      <c r="J43" s="6"/>
    </row>
    <row r="44" spans="1:10">
      <c r="A44" s="6" t="s">
        <v>33</v>
      </c>
      <c r="B44" s="6"/>
      <c r="C44" s="13"/>
      <c r="D44" s="6">
        <f>D209</f>
        <v>80844.56</v>
      </c>
      <c r="E44" s="6">
        <f>E209</f>
        <v>190933.05999999997</v>
      </c>
      <c r="F44" s="6"/>
      <c r="G44" s="6"/>
      <c r="H44" s="6"/>
      <c r="I44" s="6"/>
      <c r="J44" s="6"/>
    </row>
    <row r="45" spans="1:10">
      <c r="A45" s="6" t="s">
        <v>34</v>
      </c>
      <c r="B45" s="6"/>
      <c r="C45" s="13"/>
      <c r="D45" s="6">
        <f>D186</f>
        <v>0</v>
      </c>
      <c r="E45" s="6">
        <f>E186</f>
        <v>34750</v>
      </c>
      <c r="F45" s="6"/>
      <c r="G45" s="6"/>
      <c r="H45" s="6"/>
      <c r="I45" s="6"/>
      <c r="J45" s="6"/>
    </row>
    <row r="46" spans="1:10">
      <c r="A46" s="6" t="s">
        <v>35</v>
      </c>
      <c r="B46" s="6"/>
      <c r="C46" s="13"/>
      <c r="D46" s="6">
        <f>D221+D253</f>
        <v>102944.04000000001</v>
      </c>
      <c r="E46" s="6">
        <f>E221+E253</f>
        <v>112107.73</v>
      </c>
      <c r="F46" s="6"/>
      <c r="G46" s="6"/>
      <c r="H46" s="6"/>
      <c r="I46" s="6"/>
      <c r="J46" s="6"/>
    </row>
    <row r="47" spans="1:10">
      <c r="A47" s="6" t="s">
        <v>36</v>
      </c>
      <c r="B47" s="6"/>
      <c r="C47" s="13"/>
      <c r="D47" s="15">
        <f>D260</f>
        <v>12808.2</v>
      </c>
      <c r="E47" s="15">
        <f>E260</f>
        <v>26004.2</v>
      </c>
      <c r="F47" s="6"/>
      <c r="G47" s="6"/>
      <c r="H47" s="6"/>
      <c r="I47" s="6"/>
      <c r="J47" s="6"/>
    </row>
    <row r="48" spans="1:10">
      <c r="A48" s="6"/>
      <c r="B48" s="6"/>
      <c r="C48" s="13"/>
      <c r="D48" s="6"/>
      <c r="E48" s="6"/>
      <c r="F48" s="6"/>
      <c r="G48" s="6"/>
      <c r="H48" s="6"/>
      <c r="I48" s="6"/>
      <c r="J48" s="6"/>
    </row>
    <row r="49" spans="1:10">
      <c r="A49" s="6" t="s">
        <v>37</v>
      </c>
      <c r="B49" s="6"/>
      <c r="C49" s="13"/>
      <c r="D49" s="15">
        <f>SUM(D42:D47)</f>
        <v>249205.95</v>
      </c>
      <c r="E49" s="15">
        <f>SUM(E42:E47)</f>
        <v>460719.11999999994</v>
      </c>
      <c r="F49" s="6"/>
      <c r="G49" s="6"/>
      <c r="H49" s="6"/>
      <c r="I49" s="6"/>
      <c r="J49" s="6"/>
    </row>
    <row r="50" spans="1:10">
      <c r="A50" s="6"/>
      <c r="B50" s="6"/>
      <c r="C50" s="13"/>
      <c r="D50" s="6"/>
      <c r="E50" s="6"/>
      <c r="F50" s="6"/>
      <c r="G50" s="6"/>
      <c r="H50" s="6"/>
      <c r="I50" s="6"/>
      <c r="J50" s="6"/>
    </row>
    <row r="51" spans="1:10">
      <c r="A51" s="6" t="s">
        <v>38</v>
      </c>
      <c r="B51" s="6"/>
      <c r="C51" s="13"/>
      <c r="D51" s="6"/>
      <c r="E51" s="6"/>
      <c r="F51" s="6"/>
      <c r="G51" s="6"/>
      <c r="H51" s="6"/>
      <c r="I51" s="6"/>
      <c r="J51" s="6"/>
    </row>
    <row r="52" spans="1:10">
      <c r="A52" s="6" t="s">
        <v>39</v>
      </c>
      <c r="B52" s="6"/>
      <c r="C52" s="13"/>
      <c r="D52" s="6">
        <f>-D273+D275+D277</f>
        <v>3320635.63</v>
      </c>
      <c r="E52" s="6">
        <f>-E273+E275+E277</f>
        <v>3246042.0300000003</v>
      </c>
      <c r="F52" s="6"/>
      <c r="G52" s="6"/>
      <c r="H52" s="6"/>
      <c r="I52" s="6"/>
      <c r="J52" s="6"/>
    </row>
    <row r="53" spans="1:10">
      <c r="A53" s="6" t="s">
        <v>40</v>
      </c>
      <c r="B53" s="6"/>
      <c r="C53" s="13"/>
      <c r="D53" s="6"/>
      <c r="E53" s="6"/>
      <c r="F53" s="6"/>
      <c r="G53" s="6"/>
      <c r="H53" s="6"/>
      <c r="I53" s="6"/>
      <c r="J53" s="6"/>
    </row>
    <row r="54" spans="1:10">
      <c r="A54" s="6" t="s">
        <v>41</v>
      </c>
      <c r="B54" s="6"/>
      <c r="C54" s="13"/>
      <c r="D54" s="6">
        <f>D273</f>
        <v>47940.15</v>
      </c>
      <c r="E54" s="6">
        <f>E273</f>
        <v>47940.15</v>
      </c>
      <c r="F54" s="6"/>
      <c r="G54" s="6"/>
      <c r="H54" s="6"/>
      <c r="I54" s="6"/>
      <c r="J54" s="6"/>
    </row>
    <row r="55" spans="1:10">
      <c r="A55" s="6" t="s">
        <v>42</v>
      </c>
      <c r="B55" s="6"/>
      <c r="C55" s="13"/>
      <c r="D55" s="15">
        <f>D278</f>
        <v>235932.79</v>
      </c>
      <c r="E55" s="15">
        <f>E278</f>
        <v>74593.600000000006</v>
      </c>
      <c r="F55" s="6"/>
      <c r="G55" s="6"/>
      <c r="H55" s="6"/>
      <c r="I55" s="6"/>
      <c r="J55" s="6"/>
    </row>
    <row r="56" spans="1:10">
      <c r="A56" s="6" t="s">
        <v>43</v>
      </c>
      <c r="B56" s="6"/>
      <c r="C56" s="13"/>
      <c r="D56" s="6"/>
      <c r="E56" s="6"/>
      <c r="F56" s="6"/>
      <c r="G56" s="6"/>
      <c r="H56" s="6"/>
      <c r="I56" s="6"/>
      <c r="J56" s="6"/>
    </row>
    <row r="57" spans="1:10">
      <c r="A57" s="6" t="s">
        <v>44</v>
      </c>
      <c r="B57" s="6"/>
      <c r="C57" s="13"/>
      <c r="D57" s="15">
        <f>SUM(D51:D56)</f>
        <v>3604508.57</v>
      </c>
      <c r="E57" s="15">
        <f>SUM(E51:E56)</f>
        <v>3368575.7800000003</v>
      </c>
      <c r="F57" s="6"/>
      <c r="G57" s="6"/>
      <c r="H57" s="6"/>
      <c r="I57" s="6"/>
      <c r="J57" s="6"/>
    </row>
    <row r="58" spans="1:10">
      <c r="A58" s="6"/>
      <c r="B58" s="6"/>
      <c r="C58" s="13"/>
      <c r="D58" s="6"/>
      <c r="E58" s="6"/>
      <c r="F58" s="6"/>
      <c r="G58" s="6"/>
      <c r="H58" s="6"/>
      <c r="I58" s="6"/>
      <c r="J58" s="6"/>
    </row>
    <row r="59" spans="1:10" ht="10.8" thickBot="1">
      <c r="A59" s="6" t="s">
        <v>45</v>
      </c>
      <c r="B59" s="6"/>
      <c r="C59" s="13"/>
      <c r="D59" s="16">
        <f>D49+D57</f>
        <v>3853714.52</v>
      </c>
      <c r="E59" s="16">
        <f>E49+E57</f>
        <v>3829294.9000000004</v>
      </c>
      <c r="F59" s="6"/>
      <c r="G59" s="6"/>
      <c r="H59" s="6"/>
      <c r="I59" s="6"/>
      <c r="J59" s="6"/>
    </row>
    <row r="60" spans="1:10" ht="10.8" thickTop="1">
      <c r="A60" s="6"/>
      <c r="B60" s="6"/>
      <c r="C60" s="13"/>
      <c r="D60" s="6"/>
      <c r="E60" s="6"/>
      <c r="F60" s="6"/>
      <c r="G60" s="6"/>
      <c r="H60" s="6"/>
      <c r="I60" s="6"/>
      <c r="J60" s="6"/>
    </row>
    <row r="61" spans="1:10">
      <c r="A61" s="6"/>
      <c r="B61" s="6"/>
      <c r="C61" s="13"/>
      <c r="D61" s="13"/>
      <c r="E61" s="13"/>
      <c r="F61" s="6"/>
      <c r="G61" s="6"/>
      <c r="H61" s="6"/>
      <c r="I61" s="6"/>
      <c r="J61" s="6"/>
    </row>
    <row r="62" spans="1:10">
      <c r="A62" s="6"/>
      <c r="B62" s="6"/>
      <c r="C62" s="13"/>
      <c r="D62" s="13"/>
      <c r="E62" s="13"/>
      <c r="F62" s="6"/>
      <c r="G62" s="17" t="s">
        <v>46</v>
      </c>
      <c r="H62" s="6" t="s">
        <v>47</v>
      </c>
      <c r="I62" s="6" t="s">
        <v>48</v>
      </c>
      <c r="J62" s="6"/>
    </row>
    <row r="63" spans="1:10">
      <c r="A63" s="6"/>
      <c r="B63" s="6"/>
      <c r="C63" s="13"/>
      <c r="D63" s="13"/>
      <c r="E63" s="13"/>
      <c r="F63" s="6"/>
      <c r="G63" s="18">
        <f ca="1">NOW()</f>
        <v>41183.644327592592</v>
      </c>
      <c r="H63" s="6" t="s">
        <v>49</v>
      </c>
      <c r="I63" s="6" t="s">
        <v>48</v>
      </c>
      <c r="J63" s="6"/>
    </row>
    <row r="64" spans="1:10">
      <c r="A64" s="6"/>
      <c r="B64" s="6"/>
      <c r="C64" s="13"/>
      <c r="D64" s="13"/>
      <c r="E64" s="13"/>
      <c r="F64" s="6"/>
      <c r="G64" s="19">
        <f ca="1">NOW()</f>
        <v>41183.644327592592</v>
      </c>
      <c r="H64" s="6" t="s">
        <v>50</v>
      </c>
      <c r="I64" s="6" t="s">
        <v>51</v>
      </c>
      <c r="J64" s="6"/>
    </row>
    <row r="65" spans="1:10">
      <c r="A65" s="6"/>
      <c r="B65" s="6"/>
      <c r="C65" s="13"/>
      <c r="D65" s="13"/>
      <c r="E65" s="13"/>
      <c r="F65" s="6"/>
      <c r="G65" s="6"/>
      <c r="H65" s="6" t="s">
        <v>52</v>
      </c>
      <c r="I65" s="6" t="s">
        <v>53</v>
      </c>
      <c r="J65" s="6"/>
    </row>
    <row r="66" spans="1:10">
      <c r="A66" s="6"/>
      <c r="B66" s="6"/>
      <c r="C66" s="13"/>
      <c r="D66" s="13"/>
      <c r="E66" s="13"/>
      <c r="F66" s="6"/>
      <c r="G66" s="6"/>
      <c r="H66" s="6"/>
      <c r="I66" s="6"/>
      <c r="J66" s="6"/>
    </row>
    <row r="67" spans="1:10">
      <c r="A67" s="6"/>
      <c r="B67" s="6"/>
      <c r="C67" s="13"/>
      <c r="D67" s="13"/>
      <c r="E67" s="13"/>
      <c r="F67" s="6"/>
      <c r="G67" s="6" t="s">
        <v>54</v>
      </c>
      <c r="H67" s="6" t="s">
        <v>55</v>
      </c>
      <c r="I67" s="6"/>
      <c r="J67" s="6"/>
    </row>
    <row r="68" spans="1:10">
      <c r="A68" s="6"/>
      <c r="B68" s="6"/>
      <c r="C68" s="13"/>
      <c r="D68" s="13"/>
      <c r="E68" s="13"/>
      <c r="F68" s="6"/>
      <c r="G68" s="6" t="s">
        <v>56</v>
      </c>
      <c r="H68" s="6" t="s">
        <v>57</v>
      </c>
      <c r="I68" s="6"/>
      <c r="J68" s="6"/>
    </row>
    <row r="69" spans="1:10">
      <c r="A69" s="6"/>
      <c r="B69" s="6"/>
      <c r="C69" s="20" t="s">
        <v>58</v>
      </c>
      <c r="D69" s="20" t="s">
        <v>59</v>
      </c>
      <c r="E69" s="20" t="s">
        <v>60</v>
      </c>
      <c r="F69" s="21"/>
      <c r="G69" s="6" t="s">
        <v>61</v>
      </c>
      <c r="H69" s="6" t="s">
        <v>62</v>
      </c>
      <c r="I69" s="6"/>
      <c r="J69" s="6"/>
    </row>
    <row r="70" spans="1:10">
      <c r="A70" s="6"/>
      <c r="B70" s="6"/>
      <c r="C70" s="22">
        <v>912</v>
      </c>
      <c r="D70" s="22">
        <v>912</v>
      </c>
      <c r="E70" s="23" t="s">
        <v>63</v>
      </c>
      <c r="F70" s="24"/>
      <c r="G70" s="6" t="s">
        <v>64</v>
      </c>
      <c r="H70" s="6" t="s">
        <v>65</v>
      </c>
      <c r="I70" s="6"/>
      <c r="J70" s="6"/>
    </row>
    <row r="71" spans="1:10">
      <c r="A71" s="6"/>
      <c r="B71" s="6"/>
      <c r="C71" s="13"/>
      <c r="D71" s="13"/>
      <c r="E71" s="13"/>
      <c r="F71" s="6"/>
      <c r="G71" s="6" t="s">
        <v>66</v>
      </c>
      <c r="H71" s="6" t="s">
        <v>67</v>
      </c>
      <c r="I71" s="6"/>
      <c r="J71" s="6"/>
    </row>
    <row r="72" spans="1:10" ht="10.8">
      <c r="A72" s="25" t="s">
        <v>68</v>
      </c>
      <c r="B72" s="6"/>
      <c r="C72" s="6"/>
      <c r="D72" s="6" t="s">
        <v>69</v>
      </c>
      <c r="E72" s="6" t="s">
        <v>69</v>
      </c>
      <c r="F72" s="6"/>
      <c r="G72" s="6" t="s">
        <v>70</v>
      </c>
      <c r="H72" s="6"/>
      <c r="I72" s="6"/>
      <c r="J72" s="6"/>
    </row>
    <row r="73" spans="1:10">
      <c r="A73" s="6"/>
      <c r="B73" s="6"/>
      <c r="C73" s="6" t="s">
        <v>69</v>
      </c>
      <c r="D73" s="6"/>
      <c r="E73" s="6"/>
      <c r="F73" s="6"/>
      <c r="G73" s="6" t="s">
        <v>71</v>
      </c>
      <c r="H73" s="6" t="s">
        <v>72</v>
      </c>
      <c r="I73" s="6"/>
      <c r="J73" s="6"/>
    </row>
    <row r="74" spans="1:10">
      <c r="A74" s="6" t="s">
        <v>73</v>
      </c>
      <c r="B74" s="6"/>
      <c r="C74" s="6">
        <f>0</f>
        <v>0</v>
      </c>
      <c r="D74" s="6">
        <f>700</f>
        <v>700</v>
      </c>
      <c r="E74" s="6">
        <f ca="1">3</f>
        <v>3</v>
      </c>
      <c r="F74" s="6"/>
      <c r="G74" s="6" t="s">
        <v>74</v>
      </c>
      <c r="H74" s="6" t="s">
        <v>75</v>
      </c>
      <c r="I74" s="17" t="s">
        <v>76</v>
      </c>
      <c r="J74" s="6"/>
    </row>
    <row r="75" spans="1:10">
      <c r="A75" s="6" t="s">
        <v>77</v>
      </c>
      <c r="B75" s="6"/>
      <c r="C75" s="6">
        <f>0</f>
        <v>0</v>
      </c>
      <c r="D75" s="6">
        <f>33654.45</f>
        <v>33654.449999999997</v>
      </c>
      <c r="E75" s="6">
        <f>33654.45</f>
        <v>33654.449999999997</v>
      </c>
      <c r="F75" s="6"/>
      <c r="G75" s="6" t="s">
        <v>78</v>
      </c>
      <c r="H75" s="6" t="s">
        <v>79</v>
      </c>
      <c r="I75" s="6"/>
      <c r="J75" s="6"/>
    </row>
    <row r="76" spans="1:10">
      <c r="A76" s="6" t="s">
        <v>80</v>
      </c>
      <c r="B76" s="6"/>
      <c r="C76" s="6">
        <f>0</f>
        <v>0</v>
      </c>
      <c r="D76" s="6">
        <f>-33654.45</f>
        <v>-33654.449999999997</v>
      </c>
      <c r="E76" s="6">
        <f>-33654.45</f>
        <v>-33654.449999999997</v>
      </c>
      <c r="F76" s="6"/>
      <c r="G76" s="6" t="s">
        <v>81</v>
      </c>
      <c r="H76" s="6" t="s">
        <v>82</v>
      </c>
      <c r="I76" s="6"/>
      <c r="J76" s="6"/>
    </row>
    <row r="77" spans="1:10">
      <c r="A77" s="6" t="s">
        <v>83</v>
      </c>
      <c r="B77" s="6"/>
      <c r="C77" s="6">
        <f>-33071.43</f>
        <v>-33071.43</v>
      </c>
      <c r="D77" s="6">
        <f>105041.72</f>
        <v>105041.72</v>
      </c>
      <c r="E77" s="6">
        <f>-21859.58</f>
        <v>-21859.58</v>
      </c>
      <c r="F77" s="6"/>
      <c r="G77" s="6" t="s">
        <v>84</v>
      </c>
      <c r="H77" s="6" t="s">
        <v>85</v>
      </c>
      <c r="I77" s="6"/>
      <c r="J77" s="6"/>
    </row>
    <row r="78" spans="1:10">
      <c r="A78" s="6" t="s">
        <v>86</v>
      </c>
      <c r="B78" s="6"/>
      <c r="C78" s="6">
        <f>0</f>
        <v>0</v>
      </c>
      <c r="D78" s="6">
        <f>0</f>
        <v>0</v>
      </c>
      <c r="E78" s="6">
        <f>17798.99</f>
        <v>17798.990000000002</v>
      </c>
      <c r="F78" s="6"/>
      <c r="G78" s="6" t="s">
        <v>87</v>
      </c>
      <c r="H78" s="6" t="s">
        <v>88</v>
      </c>
      <c r="I78" s="6"/>
      <c r="J78" s="6"/>
    </row>
    <row r="79" spans="1:10">
      <c r="A79" s="6" t="s">
        <v>89</v>
      </c>
      <c r="B79" s="6"/>
      <c r="C79" s="6">
        <f>0</f>
        <v>0</v>
      </c>
      <c r="D79" s="6">
        <f>-2205.94</f>
        <v>-2205.94</v>
      </c>
      <c r="E79" s="6">
        <f>900</f>
        <v>900</v>
      </c>
      <c r="F79" s="6"/>
      <c r="G79" s="6" t="s">
        <v>90</v>
      </c>
      <c r="H79" s="6" t="s">
        <v>91</v>
      </c>
      <c r="I79" s="6"/>
      <c r="J79" s="6"/>
    </row>
    <row r="80" spans="1:10">
      <c r="A80" s="6" t="s">
        <v>92</v>
      </c>
      <c r="B80" s="6"/>
      <c r="C80" s="6">
        <f>0</f>
        <v>0</v>
      </c>
      <c r="D80" s="6">
        <f>-6945.61</f>
        <v>-6945.61</v>
      </c>
      <c r="E80" s="6">
        <f>4527.51</f>
        <v>4527.51</v>
      </c>
      <c r="F80" s="6"/>
      <c r="G80" s="6" t="s">
        <v>93</v>
      </c>
      <c r="H80" s="6" t="s">
        <v>94</v>
      </c>
      <c r="I80" s="6"/>
      <c r="J80" s="6"/>
    </row>
    <row r="81" spans="1:10">
      <c r="A81" s="6" t="s">
        <v>95</v>
      </c>
      <c r="B81" s="6"/>
      <c r="C81" s="6">
        <f>0</f>
        <v>0</v>
      </c>
      <c r="D81" s="6">
        <f>92421.7</f>
        <v>92421.7</v>
      </c>
      <c r="E81" s="6">
        <f>743105.69</f>
        <v>743105.69</v>
      </c>
      <c r="F81" s="6"/>
      <c r="G81" s="6" t="s">
        <v>96</v>
      </c>
      <c r="H81" s="6" t="s">
        <v>97</v>
      </c>
      <c r="I81" s="6"/>
      <c r="J81" s="6"/>
    </row>
    <row r="82" spans="1:10">
      <c r="A82" s="6" t="s">
        <v>98</v>
      </c>
      <c r="B82" s="6"/>
      <c r="C82" s="15">
        <f>-290626.07</f>
        <v>-290626.07</v>
      </c>
      <c r="D82" s="15">
        <f>167938.93</f>
        <v>167938.93</v>
      </c>
      <c r="E82" s="15">
        <f>0</f>
        <v>0</v>
      </c>
      <c r="F82" s="6"/>
      <c r="G82" s="6" t="s">
        <v>99</v>
      </c>
      <c r="H82" s="6" t="s">
        <v>100</v>
      </c>
      <c r="I82" s="6"/>
      <c r="J82" s="6"/>
    </row>
    <row r="83" spans="1:10">
      <c r="A83" s="6" t="s">
        <v>101</v>
      </c>
      <c r="B83" s="6"/>
      <c r="C83" s="6">
        <f>SUM(C74:C82)</f>
        <v>-323697.5</v>
      </c>
      <c r="D83" s="6">
        <f>SUM(D74:D82)</f>
        <v>356950.8</v>
      </c>
      <c r="E83" s="6">
        <f>SUM(E74:E82)</f>
        <v>744475.61</v>
      </c>
      <c r="F83" s="6"/>
      <c r="G83" s="6"/>
      <c r="H83" s="6"/>
      <c r="I83" s="6"/>
      <c r="J83" s="6"/>
    </row>
    <row r="84" spans="1:10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>
      <c r="A86" s="6" t="s">
        <v>102</v>
      </c>
      <c r="B86" s="6"/>
      <c r="C86" s="6">
        <f>0</f>
        <v>0</v>
      </c>
      <c r="D86" s="6">
        <f>1397749.25</f>
        <v>1397749.25</v>
      </c>
      <c r="E86" s="6">
        <f>2130000</f>
        <v>2130000</v>
      </c>
      <c r="F86" s="6"/>
      <c r="G86" s="6" t="s">
        <v>103</v>
      </c>
      <c r="H86" s="6" t="s">
        <v>104</v>
      </c>
      <c r="I86" s="6"/>
      <c r="J86" s="6"/>
    </row>
    <row r="87" spans="1:10">
      <c r="A87" s="6" t="s">
        <v>105</v>
      </c>
      <c r="B87" s="6"/>
      <c r="C87" s="6">
        <f>0</f>
        <v>0</v>
      </c>
      <c r="D87" s="6">
        <f>0</f>
        <v>0</v>
      </c>
      <c r="E87" s="6">
        <f>0</f>
        <v>0</v>
      </c>
      <c r="F87" s="6"/>
      <c r="G87" s="6" t="s">
        <v>106</v>
      </c>
      <c r="H87" s="6" t="s">
        <v>107</v>
      </c>
      <c r="I87" s="6"/>
      <c r="J87" s="6"/>
    </row>
    <row r="88" spans="1:10">
      <c r="A88" s="6" t="s">
        <v>108</v>
      </c>
      <c r="B88" s="6"/>
      <c r="C88" s="6">
        <f>0</f>
        <v>0</v>
      </c>
      <c r="D88" s="6">
        <f>0</f>
        <v>0</v>
      </c>
      <c r="E88" s="6">
        <f>0</f>
        <v>0</v>
      </c>
      <c r="F88" s="6"/>
      <c r="G88" s="6" t="s">
        <v>109</v>
      </c>
      <c r="H88" s="6" t="s">
        <v>110</v>
      </c>
      <c r="I88" s="6"/>
      <c r="J88" s="6"/>
    </row>
    <row r="89" spans="1:10">
      <c r="A89" s="6" t="s">
        <v>111</v>
      </c>
      <c r="B89" s="6"/>
      <c r="C89" s="6">
        <f>0</f>
        <v>0</v>
      </c>
      <c r="D89" s="6">
        <f>1451.4</f>
        <v>1451.4</v>
      </c>
      <c r="E89" s="6">
        <f>1451.4</f>
        <v>1451.4</v>
      </c>
      <c r="F89" s="6"/>
      <c r="G89" s="6" t="s">
        <v>112</v>
      </c>
      <c r="H89" s="6" t="s">
        <v>113</v>
      </c>
      <c r="I89" s="6"/>
      <c r="J89" s="6"/>
    </row>
    <row r="90" spans="1:10">
      <c r="A90" s="6" t="s">
        <v>114</v>
      </c>
      <c r="B90" s="6"/>
      <c r="C90" s="6">
        <f>0</f>
        <v>0</v>
      </c>
      <c r="D90" s="6">
        <f>0</f>
        <v>0</v>
      </c>
      <c r="E90" s="6">
        <f>0</f>
        <v>0</v>
      </c>
      <c r="F90" s="6"/>
      <c r="G90" s="6" t="s">
        <v>115</v>
      </c>
      <c r="H90" s="6" t="s">
        <v>116</v>
      </c>
      <c r="I90" s="6"/>
      <c r="J90" s="6"/>
    </row>
    <row r="91" spans="1:10">
      <c r="A91" s="6" t="s">
        <v>117</v>
      </c>
      <c r="B91" s="6"/>
      <c r="C91" s="6">
        <f>0</f>
        <v>0</v>
      </c>
      <c r="D91" s="6">
        <f>0</f>
        <v>0</v>
      </c>
      <c r="E91" s="6">
        <f>0</f>
        <v>0</v>
      </c>
      <c r="F91" s="6"/>
      <c r="G91" s="6" t="s">
        <v>118</v>
      </c>
      <c r="H91" s="6" t="s">
        <v>119</v>
      </c>
      <c r="I91" s="6"/>
      <c r="J91" s="6"/>
    </row>
    <row r="92" spans="1:10">
      <c r="A92" s="6" t="s">
        <v>120</v>
      </c>
      <c r="B92" s="6"/>
      <c r="C92" s="6">
        <f>0</f>
        <v>0</v>
      </c>
      <c r="D92" s="6">
        <f>-3665.43</f>
        <v>-3665.43</v>
      </c>
      <c r="E92" s="6">
        <f>-12574.18</f>
        <v>-12574.18</v>
      </c>
      <c r="F92" s="6"/>
      <c r="G92" s="6" t="s">
        <v>121</v>
      </c>
      <c r="H92" s="6" t="s">
        <v>122</v>
      </c>
      <c r="I92" s="6"/>
      <c r="J92" s="6"/>
    </row>
    <row r="93" spans="1:10">
      <c r="A93" s="6" t="s">
        <v>123</v>
      </c>
      <c r="B93" s="6"/>
      <c r="C93" s="6">
        <f>0</f>
        <v>0</v>
      </c>
      <c r="D93" s="6">
        <f>0</f>
        <v>0</v>
      </c>
      <c r="E93" s="6">
        <f>30132.06</f>
        <v>30132.06</v>
      </c>
      <c r="F93" s="6"/>
      <c r="G93" s="6" t="s">
        <v>124</v>
      </c>
      <c r="H93" s="6" t="s">
        <v>125</v>
      </c>
      <c r="I93" s="6"/>
      <c r="J93" s="6"/>
    </row>
    <row r="94" spans="1:10">
      <c r="A94" s="6" t="s">
        <v>126</v>
      </c>
      <c r="B94" s="6"/>
      <c r="C94" s="6">
        <f>0</f>
        <v>0</v>
      </c>
      <c r="D94" s="6">
        <f>319.7</f>
        <v>319.7</v>
      </c>
      <c r="E94" s="6">
        <f>14853.9</f>
        <v>14853.9</v>
      </c>
      <c r="F94" s="6"/>
      <c r="G94" s="6" t="s">
        <v>127</v>
      </c>
      <c r="H94" s="6" t="s">
        <v>128</v>
      </c>
      <c r="I94" s="6"/>
      <c r="J94" s="6"/>
    </row>
    <row r="95" spans="1:10">
      <c r="A95" s="6" t="s">
        <v>129</v>
      </c>
      <c r="B95" s="6"/>
      <c r="C95" s="15">
        <f>0</f>
        <v>0</v>
      </c>
      <c r="D95" s="15">
        <f>12227.69</f>
        <v>12227.69</v>
      </c>
      <c r="E95" s="15">
        <f>0</f>
        <v>0</v>
      </c>
      <c r="F95" s="6"/>
      <c r="G95" s="6" t="s">
        <v>130</v>
      </c>
      <c r="H95" s="6" t="s">
        <v>131</v>
      </c>
      <c r="I95" s="6"/>
      <c r="J95" s="6"/>
    </row>
    <row r="96" spans="1:10">
      <c r="A96" s="6" t="s">
        <v>132</v>
      </c>
      <c r="B96" s="6"/>
      <c r="C96" s="6">
        <f>SUM(C86:C95)</f>
        <v>0</v>
      </c>
      <c r="D96" s="6">
        <f>SUM(D86:D95)</f>
        <v>1408082.6099999999</v>
      </c>
      <c r="E96" s="6">
        <f>SUM(E86:E95)</f>
        <v>2163863.1799999997</v>
      </c>
      <c r="F96" s="6"/>
      <c r="G96" s="6"/>
      <c r="H96" s="6"/>
      <c r="I96" s="6"/>
      <c r="J96" s="6"/>
    </row>
    <row r="97" spans="1:10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>
      <c r="A99" s="6" t="s">
        <v>133</v>
      </c>
      <c r="B99" s="6"/>
      <c r="C99" s="6">
        <f>0</f>
        <v>0</v>
      </c>
      <c r="D99" s="6">
        <f>1260374.99</f>
        <v>1260374.99</v>
      </c>
      <c r="E99" s="6">
        <f>114195.12</f>
        <v>114195.12</v>
      </c>
      <c r="F99" s="6"/>
      <c r="G99" s="6" t="s">
        <v>134</v>
      </c>
      <c r="H99" s="6" t="s">
        <v>135</v>
      </c>
      <c r="I99" s="6"/>
      <c r="J99" s="6"/>
    </row>
    <row r="100" spans="1:10">
      <c r="A100" s="6" t="s">
        <v>136</v>
      </c>
      <c r="B100" s="6"/>
      <c r="C100" s="6">
        <f>-12966.32</f>
        <v>-12966.32</v>
      </c>
      <c r="D100" s="6">
        <f>54558.96</f>
        <v>54558.96</v>
      </c>
      <c r="E100" s="6">
        <f>6712.66</f>
        <v>6712.66</v>
      </c>
      <c r="F100" s="6"/>
      <c r="G100" s="6" t="s">
        <v>137</v>
      </c>
      <c r="H100" s="6" t="s">
        <v>138</v>
      </c>
      <c r="I100" s="6"/>
      <c r="J100" s="6"/>
    </row>
    <row r="101" spans="1:10">
      <c r="A101" s="6" t="s">
        <v>139</v>
      </c>
      <c r="B101" s="6"/>
      <c r="C101" s="6">
        <f>-3866.57</f>
        <v>-3866.57</v>
      </c>
      <c r="D101" s="6">
        <f>4859.7</f>
        <v>4859.7</v>
      </c>
      <c r="E101" s="6">
        <f>4011.83</f>
        <v>4011.83</v>
      </c>
      <c r="F101" s="6"/>
      <c r="G101" s="6" t="s">
        <v>140</v>
      </c>
      <c r="H101" s="6" t="s">
        <v>141</v>
      </c>
      <c r="I101" s="6"/>
      <c r="J101" s="6"/>
    </row>
    <row r="102" spans="1:10">
      <c r="A102" s="6" t="s">
        <v>142</v>
      </c>
      <c r="B102" s="6"/>
      <c r="C102" s="6">
        <f>0</f>
        <v>0</v>
      </c>
      <c r="D102" s="6">
        <f>30230.45</f>
        <v>30230.45</v>
      </c>
      <c r="E102" s="6">
        <f>30230.45</f>
        <v>30230.45</v>
      </c>
      <c r="F102" s="6"/>
      <c r="G102" s="6" t="s">
        <v>143</v>
      </c>
      <c r="H102" s="6" t="s">
        <v>144</v>
      </c>
      <c r="I102" s="6"/>
      <c r="J102" s="6"/>
    </row>
    <row r="103" spans="1:10">
      <c r="A103" s="6" t="s">
        <v>145</v>
      </c>
      <c r="B103" s="6"/>
      <c r="C103" s="6">
        <f>0</f>
        <v>0</v>
      </c>
      <c r="D103" s="6">
        <f>50395.93</f>
        <v>50395.93</v>
      </c>
      <c r="E103" s="6">
        <f>-55347.74</f>
        <v>-55347.74</v>
      </c>
      <c r="F103" s="6"/>
      <c r="G103" s="6" t="s">
        <v>146</v>
      </c>
      <c r="H103" s="6" t="s">
        <v>147</v>
      </c>
      <c r="I103" s="6"/>
      <c r="J103" s="6"/>
    </row>
    <row r="104" spans="1:10">
      <c r="A104" s="6" t="s">
        <v>148</v>
      </c>
      <c r="B104" s="6"/>
      <c r="C104" s="6">
        <f>0</f>
        <v>0</v>
      </c>
      <c r="D104" s="6">
        <f>0</f>
        <v>0</v>
      </c>
      <c r="E104" s="6">
        <f>0</f>
        <v>0</v>
      </c>
      <c r="F104" s="6"/>
      <c r="G104" s="6" t="s">
        <v>149</v>
      </c>
      <c r="H104" s="6" t="s">
        <v>150</v>
      </c>
      <c r="I104" s="6"/>
      <c r="J104" s="6"/>
    </row>
    <row r="105" spans="1:10">
      <c r="A105" s="6" t="s">
        <v>151</v>
      </c>
      <c r="B105" s="6"/>
      <c r="C105" s="6">
        <f>0</f>
        <v>0</v>
      </c>
      <c r="D105" s="6">
        <f>2299.36</f>
        <v>2299.36</v>
      </c>
      <c r="E105" s="6">
        <f>1031.88</f>
        <v>1031.8800000000001</v>
      </c>
      <c r="F105" s="6"/>
      <c r="G105" s="6" t="s">
        <v>152</v>
      </c>
      <c r="H105" s="6" t="s">
        <v>153</v>
      </c>
      <c r="I105" s="6"/>
      <c r="J105" s="6"/>
    </row>
    <row r="106" spans="1:10">
      <c r="A106" s="6" t="s">
        <v>154</v>
      </c>
      <c r="B106" s="6"/>
      <c r="C106" s="6">
        <f>0</f>
        <v>0</v>
      </c>
      <c r="D106" s="6">
        <f>4170.17</f>
        <v>4170.17</v>
      </c>
      <c r="E106" s="6">
        <f>-8947.77</f>
        <v>-8947.77</v>
      </c>
      <c r="F106" s="6"/>
      <c r="G106" s="6" t="s">
        <v>155</v>
      </c>
      <c r="H106" s="6" t="s">
        <v>156</v>
      </c>
      <c r="I106" s="6"/>
      <c r="J106" s="6"/>
    </row>
    <row r="107" spans="1:10">
      <c r="A107" s="6" t="s">
        <v>157</v>
      </c>
      <c r="B107" s="6"/>
      <c r="C107" s="6">
        <f>0</f>
        <v>0</v>
      </c>
      <c r="D107" s="6">
        <f>311.5</f>
        <v>311.5</v>
      </c>
      <c r="E107" s="6">
        <f>108.5</f>
        <v>108.5</v>
      </c>
      <c r="F107" s="6"/>
      <c r="G107" s="6" t="s">
        <v>158</v>
      </c>
      <c r="H107" s="6" t="s">
        <v>159</v>
      </c>
      <c r="I107" s="6"/>
      <c r="J107" s="6"/>
    </row>
    <row r="108" spans="1:10">
      <c r="A108" s="6" t="s">
        <v>160</v>
      </c>
      <c r="B108" s="6"/>
      <c r="C108" s="6">
        <f>21762.9</f>
        <v>21762.9</v>
      </c>
      <c r="D108" s="6">
        <f>46642.5</f>
        <v>46642.5</v>
      </c>
      <c r="E108" s="6">
        <f>122159.2</f>
        <v>122159.2</v>
      </c>
      <c r="F108" s="6"/>
      <c r="G108" s="6" t="s">
        <v>161</v>
      </c>
      <c r="H108" s="6" t="s">
        <v>162</v>
      </c>
      <c r="I108" s="6"/>
      <c r="J108" s="6"/>
    </row>
    <row r="109" spans="1:10">
      <c r="A109" s="6" t="s">
        <v>163</v>
      </c>
      <c r="B109" s="6"/>
      <c r="C109" s="6">
        <f>0</f>
        <v>0</v>
      </c>
      <c r="D109" s="6">
        <f>0</f>
        <v>0</v>
      </c>
      <c r="E109" s="6">
        <f>0</f>
        <v>0</v>
      </c>
      <c r="F109" s="6"/>
      <c r="G109" s="6" t="s">
        <v>164</v>
      </c>
      <c r="H109" s="6" t="s">
        <v>165</v>
      </c>
      <c r="I109" s="6"/>
      <c r="J109" s="6"/>
    </row>
    <row r="110" spans="1:10">
      <c r="A110" s="6" t="s">
        <v>166</v>
      </c>
      <c r="B110" s="6"/>
      <c r="C110" s="6">
        <f>0</f>
        <v>0</v>
      </c>
      <c r="D110" s="6">
        <f>0</f>
        <v>0</v>
      </c>
      <c r="E110" s="6">
        <f>0</f>
        <v>0</v>
      </c>
      <c r="F110" s="6"/>
      <c r="G110" s="6" t="s">
        <v>167</v>
      </c>
      <c r="H110" s="6" t="s">
        <v>168</v>
      </c>
      <c r="I110" s="6"/>
      <c r="J110" s="6"/>
    </row>
    <row r="111" spans="1:10">
      <c r="A111" s="6" t="s">
        <v>169</v>
      </c>
      <c r="B111" s="6"/>
      <c r="C111" s="6">
        <f>0</f>
        <v>0</v>
      </c>
      <c r="D111" s="6">
        <f>0</f>
        <v>0</v>
      </c>
      <c r="E111" s="6">
        <f>0</f>
        <v>0</v>
      </c>
      <c r="F111" s="6"/>
      <c r="G111" s="6" t="s">
        <v>170</v>
      </c>
      <c r="H111" s="6" t="s">
        <v>171</v>
      </c>
      <c r="I111" s="6"/>
      <c r="J111" s="6"/>
    </row>
    <row r="112" spans="1:10">
      <c r="A112" s="6" t="s">
        <v>172</v>
      </c>
      <c r="B112" s="6"/>
      <c r="C112" s="6">
        <f>0</f>
        <v>0</v>
      </c>
      <c r="D112" s="6">
        <f>-21626.52</f>
        <v>-21626.52</v>
      </c>
      <c r="E112" s="6">
        <f>-21626.52</f>
        <v>-21626.52</v>
      </c>
      <c r="F112" s="6"/>
      <c r="G112" s="6" t="s">
        <v>173</v>
      </c>
      <c r="H112" s="6" t="s">
        <v>174</v>
      </c>
      <c r="I112" s="6"/>
      <c r="J112" s="6"/>
    </row>
    <row r="113" spans="1:10">
      <c r="A113" s="6" t="s">
        <v>175</v>
      </c>
      <c r="B113" s="6"/>
      <c r="C113" s="15">
        <f>0</f>
        <v>0</v>
      </c>
      <c r="D113" s="15">
        <f>0</f>
        <v>0</v>
      </c>
      <c r="E113" s="15">
        <f>0</f>
        <v>0</v>
      </c>
      <c r="F113" s="6"/>
      <c r="G113" s="6" t="s">
        <v>176</v>
      </c>
      <c r="H113" s="6" t="s">
        <v>177</v>
      </c>
      <c r="I113" s="6"/>
      <c r="J113" s="6"/>
    </row>
    <row r="114" spans="1:10">
      <c r="A114" s="6" t="s">
        <v>178</v>
      </c>
      <c r="B114" s="6"/>
      <c r="C114" s="6">
        <f>SUM(C99:C113)</f>
        <v>4930.010000000002</v>
      </c>
      <c r="D114" s="6">
        <f>SUM(D99:D113)</f>
        <v>1432217.0399999998</v>
      </c>
      <c r="E114" s="6">
        <f>SUM(E99:E113)</f>
        <v>192527.61000000002</v>
      </c>
      <c r="F114" s="6"/>
      <c r="G114" s="6"/>
      <c r="H114" s="6"/>
      <c r="I114" s="6"/>
      <c r="J114" s="6"/>
    </row>
    <row r="115" spans="1:10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>
      <c r="A117" s="6" t="s">
        <v>179</v>
      </c>
      <c r="B117" s="6"/>
      <c r="C117" s="6">
        <f>-93.65</f>
        <v>-93.65</v>
      </c>
      <c r="D117" s="6">
        <f>35967.39</f>
        <v>35967.39</v>
      </c>
      <c r="E117" s="6">
        <f>39568.97</f>
        <v>39568.97</v>
      </c>
      <c r="F117" s="6"/>
      <c r="G117" s="6" t="s">
        <v>180</v>
      </c>
      <c r="H117" s="6" t="s">
        <v>181</v>
      </c>
      <c r="I117" s="6"/>
      <c r="J117" s="6"/>
    </row>
    <row r="118" spans="1:10">
      <c r="A118" s="6" t="s">
        <v>182</v>
      </c>
      <c r="B118" s="6"/>
      <c r="C118" s="6">
        <f>-187.3</f>
        <v>-187.3</v>
      </c>
      <c r="D118" s="6">
        <f>11902.98</f>
        <v>11902.98</v>
      </c>
      <c r="E118" s="6">
        <f>18233.82</f>
        <v>18233.82</v>
      </c>
      <c r="F118" s="6"/>
      <c r="G118" s="6" t="s">
        <v>183</v>
      </c>
      <c r="H118" s="6" t="s">
        <v>184</v>
      </c>
      <c r="I118" s="6"/>
      <c r="J118" s="6"/>
    </row>
    <row r="119" spans="1:10">
      <c r="A119" s="6" t="s">
        <v>185</v>
      </c>
      <c r="B119" s="6"/>
      <c r="C119" s="6">
        <f>326.03</f>
        <v>326.02999999999997</v>
      </c>
      <c r="D119" s="6">
        <f>19030.52</f>
        <v>19030.52</v>
      </c>
      <c r="E119" s="6">
        <f>18704.49</f>
        <v>18704.490000000002</v>
      </c>
      <c r="F119" s="6"/>
      <c r="G119" s="6" t="s">
        <v>186</v>
      </c>
      <c r="H119" s="6" t="s">
        <v>187</v>
      </c>
      <c r="I119" s="6"/>
      <c r="J119" s="6"/>
    </row>
    <row r="120" spans="1:10">
      <c r="A120" s="6" t="s">
        <v>188</v>
      </c>
      <c r="B120" s="6"/>
      <c r="C120" s="6">
        <f>4203.92</f>
        <v>4203.92</v>
      </c>
      <c r="D120" s="6">
        <f>39114.31</f>
        <v>39114.31</v>
      </c>
      <c r="E120" s="6">
        <f>30531.74</f>
        <v>30531.74</v>
      </c>
      <c r="F120" s="6"/>
      <c r="G120" s="6" t="s">
        <v>189</v>
      </c>
      <c r="H120" s="6" t="s">
        <v>190</v>
      </c>
      <c r="I120" s="6"/>
      <c r="J120" s="6"/>
    </row>
    <row r="121" spans="1:10">
      <c r="A121" s="6" t="s">
        <v>191</v>
      </c>
      <c r="B121" s="6"/>
      <c r="C121" s="6">
        <f>0</f>
        <v>0</v>
      </c>
      <c r="D121" s="6">
        <f>5101.35</f>
        <v>5101.3500000000004</v>
      </c>
      <c r="E121" s="6">
        <f>5194.35</f>
        <v>5194.3500000000004</v>
      </c>
      <c r="F121" s="6"/>
      <c r="G121" s="6" t="s">
        <v>192</v>
      </c>
      <c r="H121" s="6" t="s">
        <v>193</v>
      </c>
      <c r="I121" s="6"/>
      <c r="J121" s="6"/>
    </row>
    <row r="122" spans="1:10">
      <c r="A122" s="6" t="s">
        <v>194</v>
      </c>
      <c r="B122" s="6"/>
      <c r="C122" s="6">
        <f>0</f>
        <v>0</v>
      </c>
      <c r="D122" s="6">
        <f>0</f>
        <v>0</v>
      </c>
      <c r="E122" s="6">
        <f>0</f>
        <v>0</v>
      </c>
      <c r="F122" s="6"/>
      <c r="G122" s="6" t="s">
        <v>195</v>
      </c>
      <c r="H122" s="6" t="s">
        <v>196</v>
      </c>
      <c r="I122" s="6"/>
      <c r="J122" s="6"/>
    </row>
    <row r="123" spans="1:10">
      <c r="A123" s="6" t="s">
        <v>197</v>
      </c>
      <c r="B123" s="6"/>
      <c r="C123" s="6">
        <f>0</f>
        <v>0</v>
      </c>
      <c r="D123" s="6">
        <f>0</f>
        <v>0</v>
      </c>
      <c r="E123" s="6">
        <f>0</f>
        <v>0</v>
      </c>
      <c r="F123" s="6"/>
      <c r="G123" s="6" t="s">
        <v>198</v>
      </c>
      <c r="H123" s="6" t="s">
        <v>199</v>
      </c>
      <c r="I123" s="6"/>
      <c r="J123" s="6"/>
    </row>
    <row r="124" spans="1:10">
      <c r="A124" s="6" t="s">
        <v>200</v>
      </c>
      <c r="B124" s="6"/>
      <c r="C124" s="6">
        <f>0</f>
        <v>0</v>
      </c>
      <c r="D124" s="6">
        <f>0</f>
        <v>0</v>
      </c>
      <c r="E124" s="6">
        <f>0</f>
        <v>0</v>
      </c>
      <c r="F124" s="6"/>
      <c r="G124" s="6" t="s">
        <v>201</v>
      </c>
      <c r="H124" s="6" t="s">
        <v>202</v>
      </c>
      <c r="I124" s="6"/>
      <c r="J124" s="6"/>
    </row>
    <row r="125" spans="1:10">
      <c r="A125" s="6" t="s">
        <v>203</v>
      </c>
      <c r="B125" s="6"/>
      <c r="C125" s="6">
        <f>0</f>
        <v>0</v>
      </c>
      <c r="D125" s="6">
        <f>0</f>
        <v>0</v>
      </c>
      <c r="E125" s="6">
        <f>0</f>
        <v>0</v>
      </c>
      <c r="F125" s="6"/>
      <c r="G125" s="6" t="s">
        <v>204</v>
      </c>
      <c r="H125" s="6" t="s">
        <v>205</v>
      </c>
      <c r="I125" s="6"/>
      <c r="J125" s="6"/>
    </row>
    <row r="126" spans="1:10">
      <c r="A126" s="6" t="s">
        <v>206</v>
      </c>
      <c r="B126" s="6"/>
      <c r="C126" s="6">
        <f>0</f>
        <v>0</v>
      </c>
      <c r="D126" s="6">
        <f>0</f>
        <v>0</v>
      </c>
      <c r="E126" s="6">
        <f>0</f>
        <v>0</v>
      </c>
      <c r="F126" s="6"/>
      <c r="G126" s="6" t="s">
        <v>207</v>
      </c>
      <c r="H126" s="6" t="s">
        <v>208</v>
      </c>
      <c r="I126" s="6"/>
      <c r="J126" s="6"/>
    </row>
    <row r="127" spans="1:10">
      <c r="A127" s="6" t="s">
        <v>209</v>
      </c>
      <c r="B127" s="6"/>
      <c r="C127" s="6">
        <f>0</f>
        <v>0</v>
      </c>
      <c r="D127" s="6">
        <f>0</f>
        <v>0</v>
      </c>
      <c r="E127" s="6">
        <f>0</f>
        <v>0</v>
      </c>
      <c r="F127" s="6"/>
      <c r="G127" s="6" t="s">
        <v>210</v>
      </c>
      <c r="H127" s="6" t="s">
        <v>211</v>
      </c>
      <c r="I127" s="6"/>
      <c r="J127" s="6"/>
    </row>
    <row r="128" spans="1:10">
      <c r="A128" s="6" t="s">
        <v>212</v>
      </c>
      <c r="B128" s="6"/>
      <c r="C128" s="6">
        <f>0</f>
        <v>0</v>
      </c>
      <c r="D128" s="6">
        <f>0</f>
        <v>0</v>
      </c>
      <c r="E128" s="6">
        <f>0</f>
        <v>0</v>
      </c>
      <c r="F128" s="6"/>
      <c r="G128" s="6" t="s">
        <v>213</v>
      </c>
      <c r="H128" s="6" t="s">
        <v>214</v>
      </c>
      <c r="I128" s="6"/>
      <c r="J128" s="6"/>
    </row>
    <row r="129" spans="1:10">
      <c r="A129" s="6" t="s">
        <v>215</v>
      </c>
      <c r="B129" s="6"/>
      <c r="C129" s="6">
        <f>0</f>
        <v>0</v>
      </c>
      <c r="D129" s="6">
        <f>0</f>
        <v>0</v>
      </c>
      <c r="E129" s="6">
        <f>0</f>
        <v>0</v>
      </c>
      <c r="F129" s="6"/>
      <c r="G129" s="6" t="s">
        <v>216</v>
      </c>
      <c r="H129" s="6" t="s">
        <v>217</v>
      </c>
      <c r="I129" s="6"/>
      <c r="J129" s="6"/>
    </row>
    <row r="130" spans="1:10">
      <c r="A130" s="6" t="s">
        <v>218</v>
      </c>
      <c r="B130" s="6"/>
      <c r="C130" s="6">
        <f>0</f>
        <v>0</v>
      </c>
      <c r="D130" s="6">
        <f>0</f>
        <v>0</v>
      </c>
      <c r="E130" s="6">
        <f>0</f>
        <v>0</v>
      </c>
      <c r="F130" s="6"/>
      <c r="G130" s="6" t="s">
        <v>219</v>
      </c>
      <c r="H130" s="6" t="s">
        <v>220</v>
      </c>
      <c r="I130" s="6"/>
      <c r="J130" s="6"/>
    </row>
    <row r="131" spans="1:10">
      <c r="A131" s="6" t="s">
        <v>221</v>
      </c>
      <c r="B131" s="6"/>
      <c r="C131" s="15">
        <f>0</f>
        <v>0</v>
      </c>
      <c r="D131" s="15">
        <f>0</f>
        <v>0</v>
      </c>
      <c r="E131" s="15">
        <f>0</f>
        <v>0</v>
      </c>
      <c r="F131" s="6"/>
      <c r="G131" s="6" t="s">
        <v>222</v>
      </c>
      <c r="H131" s="6" t="s">
        <v>223</v>
      </c>
      <c r="I131" s="6"/>
      <c r="J131" s="6"/>
    </row>
    <row r="132" spans="1:10">
      <c r="A132" s="6" t="s">
        <v>224</v>
      </c>
      <c r="B132" s="6"/>
      <c r="C132" s="6">
        <f>SUM(C117:C131)</f>
        <v>4249</v>
      </c>
      <c r="D132" s="6">
        <f>SUM(D117:D131)</f>
        <v>111116.55</v>
      </c>
      <c r="E132" s="6">
        <f>SUM(E117:E131)</f>
        <v>112233.37000000001</v>
      </c>
      <c r="F132" s="6"/>
      <c r="G132" s="6"/>
      <c r="H132" s="6"/>
      <c r="I132" s="6"/>
      <c r="J132" s="6"/>
    </row>
    <row r="133" spans="1:10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>
      <c r="A135" s="6" t="s">
        <v>225</v>
      </c>
      <c r="B135" s="6"/>
      <c r="C135" s="6">
        <f>46200.18</f>
        <v>46200.18</v>
      </c>
      <c r="D135" s="6">
        <f>86101.47</f>
        <v>86101.47</v>
      </c>
      <c r="E135" s="6">
        <f>99443.57</f>
        <v>99443.57</v>
      </c>
      <c r="F135" s="6"/>
      <c r="G135" s="6" t="s">
        <v>226</v>
      </c>
      <c r="H135" s="6" t="s">
        <v>227</v>
      </c>
      <c r="I135" s="6"/>
      <c r="J135" s="6"/>
    </row>
    <row r="136" spans="1:10">
      <c r="A136" s="6" t="s">
        <v>228</v>
      </c>
      <c r="B136" s="6"/>
      <c r="C136" s="6">
        <f>0</f>
        <v>0</v>
      </c>
      <c r="D136" s="6">
        <f>5798.24</f>
        <v>5798.24</v>
      </c>
      <c r="E136" s="6">
        <f>2173.77</f>
        <v>2173.77</v>
      </c>
      <c r="F136" s="6"/>
      <c r="G136" s="6" t="s">
        <v>229</v>
      </c>
      <c r="H136" s="6" t="s">
        <v>230</v>
      </c>
      <c r="I136" s="6"/>
      <c r="J136" s="6"/>
    </row>
    <row r="137" spans="1:10">
      <c r="A137" s="6" t="s">
        <v>231</v>
      </c>
      <c r="B137" s="6"/>
      <c r="C137" s="6">
        <f>0</f>
        <v>0</v>
      </c>
      <c r="D137" s="6">
        <f>0</f>
        <v>0</v>
      </c>
      <c r="E137" s="6">
        <f>0</f>
        <v>0</v>
      </c>
      <c r="F137" s="6"/>
      <c r="G137" s="6" t="s">
        <v>232</v>
      </c>
      <c r="H137" s="6" t="s">
        <v>233</v>
      </c>
      <c r="I137" s="6"/>
      <c r="J137" s="6"/>
    </row>
    <row r="138" spans="1:10">
      <c r="A138" s="6" t="s">
        <v>234</v>
      </c>
      <c r="B138" s="6"/>
      <c r="C138" s="15">
        <f>-7087.64</f>
        <v>-7087.64</v>
      </c>
      <c r="D138" s="15">
        <f>-3543.82</f>
        <v>-3543.82</v>
      </c>
      <c r="E138" s="15">
        <f>0</f>
        <v>0</v>
      </c>
      <c r="F138" s="6"/>
      <c r="G138" s="6" t="s">
        <v>235</v>
      </c>
      <c r="H138" s="6" t="s">
        <v>236</v>
      </c>
      <c r="I138" s="6"/>
      <c r="J138" s="6"/>
    </row>
    <row r="139" spans="1:10">
      <c r="A139" s="6" t="s">
        <v>237</v>
      </c>
      <c r="B139" s="6"/>
      <c r="C139" s="6">
        <f>SUM(C135:C138)</f>
        <v>39112.54</v>
      </c>
      <c r="D139" s="6">
        <f>SUM(D135:D138)</f>
        <v>88355.89</v>
      </c>
      <c r="E139" s="6">
        <f>SUM(E135:E138)</f>
        <v>101617.34000000001</v>
      </c>
      <c r="F139" s="6"/>
      <c r="G139" s="6"/>
      <c r="H139" s="6"/>
      <c r="I139" s="6"/>
      <c r="J139" s="6"/>
    </row>
    <row r="140" spans="1:10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>
      <c r="A142" s="6" t="s">
        <v>238</v>
      </c>
      <c r="B142" s="6"/>
      <c r="C142" s="6">
        <f>0</f>
        <v>0</v>
      </c>
      <c r="D142" s="6">
        <f>0</f>
        <v>0</v>
      </c>
      <c r="E142" s="6">
        <f>0</f>
        <v>0</v>
      </c>
      <c r="F142" s="6"/>
      <c r="G142" s="6" t="s">
        <v>239</v>
      </c>
      <c r="H142" s="6" t="s">
        <v>240</v>
      </c>
      <c r="I142" s="6" t="s">
        <v>241</v>
      </c>
      <c r="J142" s="6" t="s">
        <v>242</v>
      </c>
    </row>
    <row r="143" spans="1:10">
      <c r="A143" s="6" t="s">
        <v>243</v>
      </c>
      <c r="B143" s="6"/>
      <c r="C143" s="15">
        <f>-500</f>
        <v>-500</v>
      </c>
      <c r="D143" s="15">
        <f>0</f>
        <v>0</v>
      </c>
      <c r="E143" s="15">
        <f>0</f>
        <v>0</v>
      </c>
      <c r="F143" s="6"/>
      <c r="G143" s="6" t="s">
        <v>244</v>
      </c>
      <c r="H143" s="6" t="s">
        <v>245</v>
      </c>
      <c r="I143" s="6" t="s">
        <v>246</v>
      </c>
      <c r="J143" s="6" t="s">
        <v>247</v>
      </c>
    </row>
    <row r="144" spans="1:10">
      <c r="A144" s="6" t="s">
        <v>248</v>
      </c>
      <c r="B144" s="6"/>
      <c r="C144" s="6">
        <f>SUM(C142:C143)</f>
        <v>-500</v>
      </c>
      <c r="D144" s="6">
        <f>SUM(D142:D143)</f>
        <v>0</v>
      </c>
      <c r="E144" s="6">
        <f>SUM(E142:E143)</f>
        <v>0</v>
      </c>
      <c r="F144" s="6"/>
      <c r="G144" s="6"/>
      <c r="H144" s="6"/>
      <c r="I144" s="6"/>
      <c r="J144" s="6"/>
    </row>
    <row r="145" spans="1:10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>
      <c r="A147" s="6" t="s">
        <v>249</v>
      </c>
      <c r="B147" s="6"/>
      <c r="C147" s="6">
        <f>0</f>
        <v>0</v>
      </c>
      <c r="D147" s="6">
        <f>-5897.9</f>
        <v>-5897.9</v>
      </c>
      <c r="E147" s="6">
        <f>0</f>
        <v>0</v>
      </c>
      <c r="F147" s="6"/>
      <c r="G147" s="6" t="s">
        <v>250</v>
      </c>
      <c r="H147" s="6" t="s">
        <v>251</v>
      </c>
      <c r="I147" s="6"/>
      <c r="J147" s="6"/>
    </row>
    <row r="148" spans="1:10">
      <c r="A148" s="6" t="s">
        <v>252</v>
      </c>
      <c r="B148" s="6"/>
      <c r="C148" s="6">
        <f>-81442.7</f>
        <v>-81442.7</v>
      </c>
      <c r="D148" s="6">
        <f>27408.45</f>
        <v>27408.45</v>
      </c>
      <c r="E148" s="6">
        <f>0</f>
        <v>0</v>
      </c>
      <c r="F148" s="6"/>
      <c r="G148" s="6" t="s">
        <v>253</v>
      </c>
      <c r="H148" s="6" t="s">
        <v>254</v>
      </c>
      <c r="I148" s="6"/>
      <c r="J148" s="6"/>
    </row>
    <row r="149" spans="1:10">
      <c r="A149" s="6" t="s">
        <v>255</v>
      </c>
      <c r="B149" s="6"/>
      <c r="C149" s="6">
        <f>0</f>
        <v>0</v>
      </c>
      <c r="D149" s="6">
        <f>5650</f>
        <v>5650</v>
      </c>
      <c r="E149" s="6">
        <f>0</f>
        <v>0</v>
      </c>
      <c r="F149" s="6"/>
      <c r="G149" s="6" t="s">
        <v>256</v>
      </c>
      <c r="H149" s="6" t="s">
        <v>257</v>
      </c>
      <c r="I149" s="6" t="s">
        <v>258</v>
      </c>
      <c r="J149" s="6" t="s">
        <v>259</v>
      </c>
    </row>
    <row r="150" spans="1:10">
      <c r="A150" s="6" t="s">
        <v>260</v>
      </c>
      <c r="B150" s="6"/>
      <c r="C150" s="6">
        <f>0</f>
        <v>0</v>
      </c>
      <c r="D150" s="6">
        <f>-3031.09</f>
        <v>-3031.09</v>
      </c>
      <c r="E150" s="6">
        <f>-3031.09</f>
        <v>-3031.09</v>
      </c>
      <c r="F150" s="6"/>
      <c r="G150" s="6" t="s">
        <v>261</v>
      </c>
      <c r="H150" s="6" t="s">
        <v>262</v>
      </c>
      <c r="I150" s="6"/>
      <c r="J150" s="6"/>
    </row>
    <row r="151" spans="1:10">
      <c r="A151" s="6" t="s">
        <v>263</v>
      </c>
      <c r="B151" s="6"/>
      <c r="C151" s="15">
        <f>0</f>
        <v>0</v>
      </c>
      <c r="D151" s="15">
        <f>-31090.44</f>
        <v>-31090.44</v>
      </c>
      <c r="E151" s="15">
        <f>-31090.44</f>
        <v>-31090.44</v>
      </c>
      <c r="F151" s="6"/>
      <c r="G151" s="6" t="s">
        <v>264</v>
      </c>
      <c r="H151" s="6" t="s">
        <v>265</v>
      </c>
      <c r="I151" s="6"/>
      <c r="J151" s="6"/>
    </row>
    <row r="152" spans="1:10">
      <c r="A152" s="6" t="s">
        <v>266</v>
      </c>
      <c r="B152" s="6"/>
      <c r="C152" s="6">
        <f>SUM(C147:C151)</f>
        <v>-81442.7</v>
      </c>
      <c r="D152" s="6">
        <f>SUM(D147:D151)</f>
        <v>-6960.9799999999959</v>
      </c>
      <c r="E152" s="6">
        <f>SUM(E147:E151)</f>
        <v>-34121.53</v>
      </c>
      <c r="F152" s="6"/>
      <c r="G152" s="6"/>
      <c r="H152" s="6"/>
      <c r="I152" s="6"/>
      <c r="J152" s="6"/>
    </row>
    <row r="153" spans="1:10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>
      <c r="A155" s="6" t="s">
        <v>267</v>
      </c>
      <c r="B155" s="6"/>
      <c r="C155" s="6">
        <f>0</f>
        <v>0</v>
      </c>
      <c r="D155" s="6">
        <f>57399.18</f>
        <v>57399.18</v>
      </c>
      <c r="E155" s="6">
        <f>57399.18</f>
        <v>57399.18</v>
      </c>
      <c r="F155" s="6"/>
      <c r="G155" s="6" t="s">
        <v>268</v>
      </c>
      <c r="H155" s="6" t="s">
        <v>269</v>
      </c>
      <c r="I155" s="6"/>
      <c r="J155" s="6"/>
    </row>
    <row r="156" spans="1:10">
      <c r="A156" s="6" t="s">
        <v>270</v>
      </c>
      <c r="B156" s="6"/>
      <c r="C156" s="6">
        <f>0</f>
        <v>0</v>
      </c>
      <c r="D156" s="6">
        <f>63712.95</f>
        <v>63712.95</v>
      </c>
      <c r="E156" s="6">
        <f>63712.95</f>
        <v>63712.95</v>
      </c>
      <c r="F156" s="6"/>
      <c r="G156" s="6" t="s">
        <v>271</v>
      </c>
      <c r="H156" s="6" t="s">
        <v>272</v>
      </c>
      <c r="I156" s="6"/>
      <c r="J156" s="6"/>
    </row>
    <row r="157" spans="1:10">
      <c r="A157" s="6" t="s">
        <v>273</v>
      </c>
      <c r="B157" s="6"/>
      <c r="C157" s="6">
        <f>0</f>
        <v>0</v>
      </c>
      <c r="D157" s="6">
        <f>92127.66</f>
        <v>92127.66</v>
      </c>
      <c r="E157" s="6">
        <f>92127.66</f>
        <v>92127.66</v>
      </c>
      <c r="F157" s="6"/>
      <c r="G157" s="6" t="s">
        <v>274</v>
      </c>
      <c r="H157" s="6" t="s">
        <v>275</v>
      </c>
      <c r="I157" s="6"/>
      <c r="J157" s="6"/>
    </row>
    <row r="158" spans="1:10">
      <c r="A158" s="6" t="s">
        <v>276</v>
      </c>
      <c r="B158" s="6"/>
      <c r="C158" s="6">
        <f>0</f>
        <v>0</v>
      </c>
      <c r="D158" s="6">
        <f>60000</f>
        <v>60000</v>
      </c>
      <c r="E158" s="6">
        <f>60000</f>
        <v>60000</v>
      </c>
      <c r="F158" s="6"/>
      <c r="G158" s="6" t="s">
        <v>277</v>
      </c>
      <c r="H158" s="6" t="s">
        <v>278</v>
      </c>
      <c r="I158" s="6"/>
      <c r="J158" s="6"/>
    </row>
    <row r="159" spans="1:10">
      <c r="A159" s="6" t="s">
        <v>279</v>
      </c>
      <c r="B159" s="6"/>
      <c r="C159" s="6">
        <f>0</f>
        <v>0</v>
      </c>
      <c r="D159" s="6">
        <f>869022.26</f>
        <v>869022.26</v>
      </c>
      <c r="E159" s="6">
        <f>869022.26</f>
        <v>869022.26</v>
      </c>
      <c r="F159" s="6"/>
      <c r="G159" s="6" t="s">
        <v>280</v>
      </c>
      <c r="H159" s="6" t="s">
        <v>281</v>
      </c>
      <c r="I159" s="6"/>
      <c r="J159" s="6"/>
    </row>
    <row r="160" spans="1:10">
      <c r="A160" s="6" t="s">
        <v>282</v>
      </c>
      <c r="B160" s="6"/>
      <c r="C160" s="6">
        <f>0</f>
        <v>0</v>
      </c>
      <c r="D160" s="6">
        <f>372104.27</f>
        <v>372104.27</v>
      </c>
      <c r="E160" s="6">
        <f>372104.27</f>
        <v>372104.27</v>
      </c>
      <c r="F160" s="6"/>
      <c r="G160" s="6" t="s">
        <v>283</v>
      </c>
      <c r="H160" s="6" t="s">
        <v>284</v>
      </c>
      <c r="I160" s="6"/>
      <c r="J160" s="6"/>
    </row>
    <row r="161" spans="1:10">
      <c r="A161" s="6" t="s">
        <v>285</v>
      </c>
      <c r="B161" s="6"/>
      <c r="C161" s="15">
        <f>3869.64</f>
        <v>3869.64</v>
      </c>
      <c r="D161" s="15">
        <f>373938.32</f>
        <v>373938.32</v>
      </c>
      <c r="E161" s="15">
        <f>367571.27</f>
        <v>367571.27</v>
      </c>
      <c r="F161" s="6"/>
      <c r="G161" s="6" t="s">
        <v>286</v>
      </c>
      <c r="H161" s="6" t="s">
        <v>287</v>
      </c>
      <c r="I161" s="6"/>
      <c r="J161" s="6"/>
    </row>
    <row r="162" spans="1:10">
      <c r="A162" s="6" t="s">
        <v>288</v>
      </c>
      <c r="B162" s="6"/>
      <c r="C162" s="6">
        <f>SUM(C155:C161)</f>
        <v>3869.64</v>
      </c>
      <c r="D162" s="6">
        <f>SUM(D155:D161)</f>
        <v>1888304.6400000001</v>
      </c>
      <c r="E162" s="6">
        <f>SUM(E155:E161)</f>
        <v>1881937.59</v>
      </c>
      <c r="F162" s="6"/>
      <c r="G162" s="6"/>
      <c r="H162" s="6"/>
      <c r="I162" s="6"/>
      <c r="J162" s="6"/>
    </row>
    <row r="163" spans="1:10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>
      <c r="A165" s="6" t="s">
        <v>289</v>
      </c>
      <c r="B165" s="6"/>
      <c r="C165" s="6">
        <f>-1591.67</f>
        <v>-1591.67</v>
      </c>
      <c r="D165" s="6">
        <f>-134995.52</f>
        <v>-134995.51999999999</v>
      </c>
      <c r="E165" s="6">
        <f>-123853.83</f>
        <v>-123853.83</v>
      </c>
      <c r="F165" s="6"/>
      <c r="G165" s="6" t="s">
        <v>290</v>
      </c>
      <c r="H165" s="6" t="s">
        <v>291</v>
      </c>
      <c r="I165" s="6"/>
      <c r="J165" s="6"/>
    </row>
    <row r="166" spans="1:10">
      <c r="A166" s="6" t="s">
        <v>292</v>
      </c>
      <c r="B166" s="6"/>
      <c r="C166" s="6">
        <f>-3425</f>
        <v>-3425</v>
      </c>
      <c r="D166" s="6">
        <f>-828635.8</f>
        <v>-828635.8</v>
      </c>
      <c r="E166" s="6">
        <f>-804660.8</f>
        <v>-804660.8</v>
      </c>
      <c r="F166" s="6"/>
      <c r="G166" s="6" t="s">
        <v>293</v>
      </c>
      <c r="H166" s="6" t="s">
        <v>294</v>
      </c>
      <c r="I166" s="6"/>
      <c r="J166" s="6"/>
    </row>
    <row r="167" spans="1:10">
      <c r="A167" s="6" t="s">
        <v>295</v>
      </c>
      <c r="B167" s="6"/>
      <c r="C167" s="6">
        <f>-6666.67</f>
        <v>-6666.67</v>
      </c>
      <c r="D167" s="6">
        <f>-344963.33</f>
        <v>-344963.33</v>
      </c>
      <c r="E167" s="6">
        <f>-298296.64</f>
        <v>-298296.64</v>
      </c>
      <c r="F167" s="6"/>
      <c r="G167" s="6" t="s">
        <v>296</v>
      </c>
      <c r="H167" s="6" t="s">
        <v>297</v>
      </c>
      <c r="I167" s="6"/>
      <c r="J167" s="6"/>
    </row>
    <row r="168" spans="1:10">
      <c r="A168" s="6" t="s">
        <v>298</v>
      </c>
      <c r="B168" s="6"/>
      <c r="C168" s="6">
        <f>-500</f>
        <v>-500</v>
      </c>
      <c r="D168" s="6">
        <f>-33500.01</f>
        <v>-33500.01</v>
      </c>
      <c r="E168" s="6">
        <f>-30000.01</f>
        <v>-30000.01</v>
      </c>
      <c r="F168" s="6"/>
      <c r="G168" s="6" t="s">
        <v>299</v>
      </c>
      <c r="H168" s="6" t="s">
        <v>300</v>
      </c>
      <c r="I168" s="6"/>
      <c r="J168" s="6"/>
    </row>
    <row r="169" spans="1:10">
      <c r="A169" s="6" t="s">
        <v>301</v>
      </c>
      <c r="B169" s="6"/>
      <c r="C169" s="15">
        <f>-733.34</f>
        <v>-733.34</v>
      </c>
      <c r="D169" s="15">
        <f>-91344.77</f>
        <v>-91344.77</v>
      </c>
      <c r="E169" s="15">
        <f>-86211.39</f>
        <v>-86211.39</v>
      </c>
      <c r="F169" s="6"/>
      <c r="G169" s="6" t="s">
        <v>302</v>
      </c>
      <c r="H169" s="6" t="s">
        <v>303</v>
      </c>
      <c r="I169" s="6"/>
      <c r="J169" s="6"/>
    </row>
    <row r="170" spans="1:10">
      <c r="A170" s="6" t="s">
        <v>304</v>
      </c>
      <c r="B170" s="6"/>
      <c r="C170" s="6">
        <f>SUM(C165:C169)</f>
        <v>-12916.68</v>
      </c>
      <c r="D170" s="6">
        <f>SUM(D165:D169)</f>
        <v>-1433439.4300000002</v>
      </c>
      <c r="E170" s="6">
        <f>SUM(E165:E169)</f>
        <v>-1343022.67</v>
      </c>
      <c r="F170" s="6"/>
      <c r="G170" s="6"/>
      <c r="H170" s="6"/>
      <c r="I170" s="6"/>
      <c r="J170" s="6"/>
    </row>
    <row r="171" spans="1:10">
      <c r="A171" s="6"/>
      <c r="B171" s="6"/>
      <c r="C171" s="26"/>
      <c r="D171" s="26"/>
      <c r="E171" s="26"/>
      <c r="F171" s="6"/>
      <c r="G171" s="6"/>
      <c r="H171" s="6"/>
      <c r="I171" s="6"/>
      <c r="J171" s="6"/>
    </row>
    <row r="172" spans="1:10">
      <c r="A172" s="6"/>
      <c r="B172" s="6"/>
      <c r="C172" s="26"/>
      <c r="D172" s="26"/>
      <c r="E172" s="26"/>
      <c r="F172" s="6"/>
      <c r="G172" s="6"/>
      <c r="H172" s="6"/>
      <c r="I172" s="6"/>
      <c r="J172" s="6"/>
    </row>
    <row r="173" spans="1:10">
      <c r="A173" s="6" t="s">
        <v>305</v>
      </c>
      <c r="B173" s="6"/>
      <c r="C173" s="6">
        <f>0</f>
        <v>0</v>
      </c>
      <c r="D173" s="6">
        <f>394974.85</f>
        <v>394974.85</v>
      </c>
      <c r="E173" s="6">
        <f>394974.85</f>
        <v>394974.85</v>
      </c>
      <c r="F173" s="6"/>
      <c r="G173" s="6" t="s">
        <v>306</v>
      </c>
      <c r="H173" s="6" t="s">
        <v>307</v>
      </c>
      <c r="I173" s="6"/>
      <c r="J173" s="6"/>
    </row>
    <row r="174" spans="1:10">
      <c r="A174" s="6" t="s">
        <v>308</v>
      </c>
      <c r="B174" s="6"/>
      <c r="C174" s="15">
        <f>0</f>
        <v>0</v>
      </c>
      <c r="D174" s="15">
        <f>-385887.45</f>
        <v>-385887.45</v>
      </c>
      <c r="E174" s="15">
        <f>-385887.45</f>
        <v>-385887.45</v>
      </c>
      <c r="F174" s="6"/>
      <c r="G174" s="6" t="s">
        <v>309</v>
      </c>
      <c r="H174" s="6" t="s">
        <v>310</v>
      </c>
      <c r="I174" s="6"/>
      <c r="J174" s="6"/>
    </row>
    <row r="175" spans="1:10">
      <c r="A175" s="6" t="s">
        <v>311</v>
      </c>
      <c r="B175" s="6"/>
      <c r="C175" s="6">
        <f>SUM(C173:C174)</f>
        <v>0</v>
      </c>
      <c r="D175" s="6">
        <f>SUM(D173:D174)</f>
        <v>9087.3999999999651</v>
      </c>
      <c r="E175" s="6">
        <f>SUM(E173:E174)</f>
        <v>9087.3999999999651</v>
      </c>
      <c r="F175" s="6"/>
      <c r="G175" s="6"/>
      <c r="H175" s="6"/>
      <c r="I175" s="6"/>
      <c r="J175" s="6"/>
    </row>
    <row r="176" spans="1:10">
      <c r="A176" s="6"/>
      <c r="B176" s="6"/>
      <c r="C176" s="26"/>
      <c r="D176" s="26"/>
      <c r="E176" s="26"/>
      <c r="F176" s="6"/>
      <c r="G176" s="6"/>
      <c r="H176" s="6"/>
      <c r="I176" s="6"/>
      <c r="J176" s="6"/>
    </row>
    <row r="177" spans="1:10">
      <c r="A177" s="6"/>
      <c r="B177" s="6"/>
      <c r="C177" s="26"/>
      <c r="D177" s="26"/>
      <c r="E177" s="26"/>
      <c r="F177" s="6"/>
      <c r="G177" s="6"/>
      <c r="H177" s="6"/>
      <c r="I177" s="6"/>
      <c r="J177" s="6"/>
    </row>
    <row r="178" spans="1:10" ht="11.4" thickBot="1">
      <c r="A178" s="27" t="s">
        <v>312</v>
      </c>
      <c r="B178" s="6"/>
      <c r="C178" s="16">
        <f>C83+C96+C114+C132+C139+C144+C152+C162+C170+C175</f>
        <v>-366395.69</v>
      </c>
      <c r="D178" s="16">
        <f>D83+D96+D114+D132+D139+D144+D152+D162+D170+D175</f>
        <v>3853714.5199999996</v>
      </c>
      <c r="E178" s="16">
        <f>E83+E96+E114+E132+E139+E144+E152+E162+E170+E175</f>
        <v>3828597.9</v>
      </c>
      <c r="F178" s="6"/>
      <c r="G178" s="6"/>
      <c r="H178" s="6"/>
      <c r="I178" s="6"/>
      <c r="J178" s="6"/>
    </row>
    <row r="179" spans="1:10" ht="10.8" thickTop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0.8">
      <c r="A181" s="25" t="s">
        <v>313</v>
      </c>
      <c r="B181" s="6"/>
      <c r="C181" s="6"/>
      <c r="D181" s="6"/>
      <c r="E181" s="6"/>
      <c r="F181" s="6"/>
      <c r="G181" s="6"/>
      <c r="H181" s="6"/>
      <c r="I181" s="6"/>
      <c r="J181" s="6"/>
    </row>
    <row r="182" spans="1:10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>
      <c r="A183" s="6" t="s">
        <v>314</v>
      </c>
      <c r="B183" s="6"/>
      <c r="C183" s="6">
        <f>12654.77</f>
        <v>12654.77</v>
      </c>
      <c r="D183" s="6">
        <f>33994.93</f>
        <v>33994.93</v>
      </c>
      <c r="E183" s="6">
        <f>93119.64</f>
        <v>93119.64</v>
      </c>
      <c r="F183" s="6"/>
      <c r="G183" s="6" t="s">
        <v>315</v>
      </c>
      <c r="H183" s="6" t="s">
        <v>316</v>
      </c>
      <c r="I183" s="6"/>
      <c r="J183" s="6"/>
    </row>
    <row r="184" spans="1:10">
      <c r="A184" s="6" t="s">
        <v>317</v>
      </c>
      <c r="B184" s="6"/>
      <c r="C184" s="6">
        <f>0</f>
        <v>0</v>
      </c>
      <c r="D184" s="6">
        <f>466.5</f>
        <v>466.5</v>
      </c>
      <c r="E184" s="6">
        <f>174.5</f>
        <v>174.5</v>
      </c>
      <c r="F184" s="6"/>
      <c r="G184" s="6" t="s">
        <v>318</v>
      </c>
      <c r="H184" s="6" t="s">
        <v>319</v>
      </c>
      <c r="I184" s="6"/>
      <c r="J184" s="6"/>
    </row>
    <row r="185" spans="1:10">
      <c r="A185" s="6" t="s">
        <v>320</v>
      </c>
      <c r="B185" s="6"/>
      <c r="C185" s="6">
        <f>-500</f>
        <v>-500</v>
      </c>
      <c r="D185" s="6">
        <f>2680</f>
        <v>2680</v>
      </c>
      <c r="E185" s="6">
        <f>3630</f>
        <v>3630</v>
      </c>
      <c r="F185" s="6"/>
      <c r="G185" s="6" t="s">
        <v>321</v>
      </c>
      <c r="H185" s="6" t="s">
        <v>322</v>
      </c>
      <c r="I185" s="6"/>
      <c r="J185" s="6"/>
    </row>
    <row r="186" spans="1:10">
      <c r="A186" s="6" t="s">
        <v>323</v>
      </c>
      <c r="B186" s="6"/>
      <c r="C186" s="6">
        <f>0</f>
        <v>0</v>
      </c>
      <c r="D186" s="6">
        <f>0</f>
        <v>0</v>
      </c>
      <c r="E186" s="6">
        <f>34750</f>
        <v>34750</v>
      </c>
      <c r="F186" s="6"/>
      <c r="G186" s="6" t="s">
        <v>324</v>
      </c>
      <c r="H186" s="6" t="s">
        <v>325</v>
      </c>
      <c r="I186" s="6"/>
      <c r="J186" s="6"/>
    </row>
    <row r="187" spans="1:10">
      <c r="A187" s="6" t="s">
        <v>326</v>
      </c>
      <c r="B187" s="6"/>
      <c r="C187" s="6">
        <f>-9626.55</f>
        <v>-9626.5499999999993</v>
      </c>
      <c r="D187" s="6">
        <f>0</f>
        <v>0</v>
      </c>
      <c r="E187" s="6">
        <f>0</f>
        <v>0</v>
      </c>
      <c r="F187" s="6"/>
      <c r="G187" s="6" t="s">
        <v>327</v>
      </c>
      <c r="H187" s="6" t="s">
        <v>328</v>
      </c>
      <c r="I187" s="6"/>
      <c r="J187" s="6"/>
    </row>
    <row r="188" spans="1:10">
      <c r="A188" s="6" t="s">
        <v>329</v>
      </c>
      <c r="B188" s="6"/>
      <c r="C188" s="6">
        <f>-2230</f>
        <v>-2230</v>
      </c>
      <c r="D188" s="6">
        <f>0</f>
        <v>0</v>
      </c>
      <c r="E188" s="6">
        <f>0</f>
        <v>0</v>
      </c>
      <c r="F188" s="6"/>
      <c r="G188" s="6" t="s">
        <v>330</v>
      </c>
      <c r="H188" s="6" t="s">
        <v>331</v>
      </c>
      <c r="I188" s="6"/>
      <c r="J188" s="6"/>
    </row>
    <row r="189" spans="1:10">
      <c r="A189" s="6" t="s">
        <v>332</v>
      </c>
      <c r="B189" s="6"/>
      <c r="C189" s="6">
        <f>-117.47</f>
        <v>-117.47</v>
      </c>
      <c r="D189" s="6">
        <f>0</f>
        <v>0</v>
      </c>
      <c r="E189" s="6">
        <f>0</f>
        <v>0</v>
      </c>
      <c r="F189" s="6"/>
      <c r="G189" s="6" t="s">
        <v>333</v>
      </c>
      <c r="H189" s="6" t="s">
        <v>334</v>
      </c>
      <c r="I189" s="6"/>
      <c r="J189" s="6"/>
    </row>
    <row r="190" spans="1:10">
      <c r="A190" s="6" t="s">
        <v>329</v>
      </c>
      <c r="B190" s="6"/>
      <c r="C190" s="6">
        <f>-497.05</f>
        <v>-497.05</v>
      </c>
      <c r="D190" s="6">
        <f>0</f>
        <v>0</v>
      </c>
      <c r="E190" s="6">
        <f>0</f>
        <v>0</v>
      </c>
      <c r="F190" s="6"/>
      <c r="G190" s="6" t="s">
        <v>335</v>
      </c>
      <c r="H190" s="6" t="s">
        <v>336</v>
      </c>
      <c r="I190" s="6"/>
      <c r="J190" s="6"/>
    </row>
    <row r="191" spans="1:10">
      <c r="A191" s="6" t="s">
        <v>337</v>
      </c>
      <c r="B191" s="6"/>
      <c r="C191" s="6">
        <f>-25513.8</f>
        <v>-25513.8</v>
      </c>
      <c r="D191" s="6">
        <f>0</f>
        <v>0</v>
      </c>
      <c r="E191" s="6">
        <f>-0.01</f>
        <v>-0.01</v>
      </c>
      <c r="F191" s="6"/>
      <c r="G191" s="6" t="s">
        <v>338</v>
      </c>
      <c r="H191" s="6" t="s">
        <v>339</v>
      </c>
      <c r="I191" s="6"/>
      <c r="J191" s="6"/>
    </row>
    <row r="192" spans="1:10">
      <c r="A192" s="6" t="s">
        <v>340</v>
      </c>
      <c r="B192" s="6"/>
      <c r="C192" s="6">
        <f>-2592.5</f>
        <v>-2592.5</v>
      </c>
      <c r="D192" s="6">
        <f>442.5</f>
        <v>442.5</v>
      </c>
      <c r="E192" s="6">
        <f>0</f>
        <v>0</v>
      </c>
      <c r="F192" s="6"/>
      <c r="G192" s="6" t="s">
        <v>341</v>
      </c>
      <c r="H192" s="6" t="s">
        <v>342</v>
      </c>
      <c r="I192" s="6"/>
      <c r="J192" s="6"/>
    </row>
    <row r="193" spans="1:10">
      <c r="A193" s="6" t="s">
        <v>343</v>
      </c>
      <c r="B193" s="6"/>
      <c r="C193" s="6">
        <f>2072.5</f>
        <v>2072.5</v>
      </c>
      <c r="D193" s="6">
        <f>7397.5</f>
        <v>7397.5</v>
      </c>
      <c r="E193" s="6">
        <f>0</f>
        <v>0</v>
      </c>
      <c r="F193" s="6"/>
      <c r="G193" s="6" t="s">
        <v>344</v>
      </c>
      <c r="H193" s="6" t="s">
        <v>345</v>
      </c>
      <c r="I193" s="6"/>
      <c r="J193" s="6"/>
    </row>
    <row r="194" spans="1:10">
      <c r="A194" s="6" t="s">
        <v>346</v>
      </c>
      <c r="B194" s="6"/>
      <c r="C194" s="6">
        <f>196</f>
        <v>196</v>
      </c>
      <c r="D194" s="6">
        <f>672</f>
        <v>672</v>
      </c>
      <c r="E194" s="6">
        <f>0</f>
        <v>0</v>
      </c>
      <c r="F194" s="6"/>
      <c r="G194" s="6" t="s">
        <v>347</v>
      </c>
      <c r="H194" s="6" t="s">
        <v>348</v>
      </c>
      <c r="I194" s="6"/>
      <c r="J194" s="6"/>
    </row>
    <row r="195" spans="1:10">
      <c r="A195" s="6" t="s">
        <v>349</v>
      </c>
      <c r="B195" s="6"/>
      <c r="C195" s="6">
        <f>0</f>
        <v>0</v>
      </c>
      <c r="D195" s="6">
        <f>0</f>
        <v>0</v>
      </c>
      <c r="E195" s="6">
        <f>0</f>
        <v>0</v>
      </c>
      <c r="F195" s="6"/>
      <c r="G195" s="6" t="s">
        <v>350</v>
      </c>
      <c r="H195" s="6" t="s">
        <v>351</v>
      </c>
      <c r="I195" s="6"/>
      <c r="J195" s="6"/>
    </row>
    <row r="196" spans="1:10">
      <c r="A196" s="6" t="s">
        <v>352</v>
      </c>
      <c r="B196" s="6"/>
      <c r="C196" s="6">
        <f>883.34</f>
        <v>883.34</v>
      </c>
      <c r="D196" s="6">
        <f>2673.34</f>
        <v>2673.34</v>
      </c>
      <c r="E196" s="6">
        <f>0</f>
        <v>0</v>
      </c>
      <c r="F196" s="6"/>
      <c r="G196" s="6" t="s">
        <v>353</v>
      </c>
      <c r="H196" s="6" t="s">
        <v>354</v>
      </c>
      <c r="I196" s="6"/>
      <c r="J196" s="6"/>
    </row>
    <row r="197" spans="1:10">
      <c r="A197" s="6" t="s">
        <v>355</v>
      </c>
      <c r="B197" s="6"/>
      <c r="C197" s="6">
        <f>1025.85</f>
        <v>1025.8499999999999</v>
      </c>
      <c r="D197" s="6">
        <f>4282.38</f>
        <v>4282.38</v>
      </c>
      <c r="E197" s="6">
        <f>0</f>
        <v>0</v>
      </c>
      <c r="F197" s="6"/>
      <c r="G197" s="6" t="s">
        <v>356</v>
      </c>
      <c r="H197" s="6" t="s">
        <v>357</v>
      </c>
      <c r="I197" s="6"/>
      <c r="J197" s="6"/>
    </row>
    <row r="198" spans="1:10">
      <c r="A198" s="6" t="s">
        <v>358</v>
      </c>
      <c r="B198" s="6"/>
      <c r="C198" s="15">
        <f>0</f>
        <v>0</v>
      </c>
      <c r="D198" s="15">
        <f>0</f>
        <v>0</v>
      </c>
      <c r="E198" s="15">
        <f>0</f>
        <v>0</v>
      </c>
      <c r="F198" s="6"/>
      <c r="G198" s="6" t="s">
        <v>359</v>
      </c>
      <c r="H198" s="6" t="s">
        <v>360</v>
      </c>
      <c r="I198" s="6"/>
      <c r="J198" s="6"/>
    </row>
    <row r="199" spans="1:10">
      <c r="A199" s="6" t="s">
        <v>361</v>
      </c>
      <c r="B199" s="6"/>
      <c r="C199" s="6">
        <f>SUM(C182:C198)</f>
        <v>-24244.91</v>
      </c>
      <c r="D199" s="6">
        <f>SUM(D182:D198)</f>
        <v>52609.15</v>
      </c>
      <c r="E199" s="6">
        <f>SUM(E182:E198)</f>
        <v>131674.13</v>
      </c>
      <c r="F199" s="6"/>
      <c r="G199" s="6"/>
      <c r="H199" s="6"/>
      <c r="I199" s="6"/>
      <c r="J199" s="6"/>
    </row>
    <row r="200" spans="1:10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>
      <c r="A202" s="6" t="s">
        <v>362</v>
      </c>
      <c r="B202" s="6"/>
      <c r="C202" s="6">
        <f>0</f>
        <v>0</v>
      </c>
      <c r="D202" s="6">
        <f>-23311.4</f>
        <v>-23311.4</v>
      </c>
      <c r="E202" s="6">
        <f>88491.5</f>
        <v>88491.5</v>
      </c>
      <c r="F202" s="6"/>
      <c r="G202" s="6" t="s">
        <v>363</v>
      </c>
      <c r="H202" s="6" t="s">
        <v>364</v>
      </c>
      <c r="I202" s="6"/>
      <c r="J202" s="6"/>
    </row>
    <row r="203" spans="1:10">
      <c r="A203" s="6" t="s">
        <v>365</v>
      </c>
      <c r="B203" s="6"/>
      <c r="C203" s="6">
        <f>0</f>
        <v>0</v>
      </c>
      <c r="D203" s="6">
        <f>75339.17</f>
        <v>75339.17</v>
      </c>
      <c r="E203" s="6">
        <f>79458.15</f>
        <v>79458.149999999994</v>
      </c>
      <c r="F203" s="6"/>
      <c r="G203" s="6" t="s">
        <v>366</v>
      </c>
      <c r="H203" s="6" t="s">
        <v>367</v>
      </c>
      <c r="I203" s="6"/>
      <c r="J203" s="6"/>
    </row>
    <row r="204" spans="1:10">
      <c r="A204" s="6" t="s">
        <v>368</v>
      </c>
      <c r="B204" s="6"/>
      <c r="C204" s="6">
        <f>0</f>
        <v>0</v>
      </c>
      <c r="D204" s="6">
        <f>1017.8</f>
        <v>1017.8</v>
      </c>
      <c r="E204" s="6">
        <f>1017.8</f>
        <v>1017.8</v>
      </c>
      <c r="F204" s="6"/>
      <c r="G204" s="6" t="s">
        <v>369</v>
      </c>
      <c r="H204" s="6" t="s">
        <v>370</v>
      </c>
      <c r="I204" s="6"/>
      <c r="J204" s="6"/>
    </row>
    <row r="205" spans="1:10">
      <c r="A205" s="6" t="s">
        <v>371</v>
      </c>
      <c r="B205" s="6"/>
      <c r="C205" s="6">
        <f>0</f>
        <v>0</v>
      </c>
      <c r="D205" s="6">
        <f>210.15</f>
        <v>210.15</v>
      </c>
      <c r="E205" s="6">
        <f>210.15</f>
        <v>210.15</v>
      </c>
      <c r="F205" s="6"/>
      <c r="G205" s="6" t="s">
        <v>372</v>
      </c>
      <c r="H205" s="6" t="s">
        <v>373</v>
      </c>
      <c r="I205" s="6"/>
      <c r="J205" s="6"/>
    </row>
    <row r="206" spans="1:10">
      <c r="A206" s="6" t="s">
        <v>374</v>
      </c>
      <c r="B206" s="6"/>
      <c r="C206" s="6">
        <f>0</f>
        <v>0</v>
      </c>
      <c r="D206" s="6">
        <f>922</f>
        <v>922</v>
      </c>
      <c r="E206" s="6">
        <f>922</f>
        <v>922</v>
      </c>
      <c r="F206" s="6"/>
      <c r="G206" s="6" t="s">
        <v>375</v>
      </c>
      <c r="H206" s="6" t="s">
        <v>376</v>
      </c>
      <c r="I206" s="6"/>
      <c r="J206" s="6"/>
    </row>
    <row r="207" spans="1:10">
      <c r="A207" s="6" t="s">
        <v>377</v>
      </c>
      <c r="B207" s="6"/>
      <c r="C207" s="6">
        <f>0</f>
        <v>0</v>
      </c>
      <c r="D207" s="6">
        <f>0</f>
        <v>0</v>
      </c>
      <c r="E207" s="6">
        <f>0</f>
        <v>0</v>
      </c>
      <c r="F207" s="6"/>
      <c r="G207" s="6" t="s">
        <v>378</v>
      </c>
      <c r="H207" s="6" t="s">
        <v>379</v>
      </c>
      <c r="I207" s="6"/>
      <c r="J207" s="6"/>
    </row>
    <row r="208" spans="1:10">
      <c r="A208" s="6" t="s">
        <v>380</v>
      </c>
      <c r="B208" s="6"/>
      <c r="C208" s="15">
        <f>833.34</f>
        <v>833.34</v>
      </c>
      <c r="D208" s="15">
        <f>26666.84</f>
        <v>26666.84</v>
      </c>
      <c r="E208" s="15">
        <f>20833.46</f>
        <v>20833.46</v>
      </c>
      <c r="F208" s="6"/>
      <c r="G208" s="6" t="s">
        <v>381</v>
      </c>
      <c r="H208" s="6" t="s">
        <v>382</v>
      </c>
      <c r="I208" s="6"/>
      <c r="J208" s="6"/>
    </row>
    <row r="209" spans="1:10">
      <c r="A209" s="6" t="s">
        <v>383</v>
      </c>
      <c r="B209" s="6"/>
      <c r="C209" s="6">
        <f>SUM(C202:C208)</f>
        <v>833.34</v>
      </c>
      <c r="D209" s="6">
        <f>SUM(D202:D208)</f>
        <v>80844.56</v>
      </c>
      <c r="E209" s="6">
        <f>SUM(E202:E208)</f>
        <v>190933.05999999997</v>
      </c>
      <c r="F209" s="6"/>
      <c r="G209" s="6"/>
      <c r="H209" s="6"/>
      <c r="I209" s="6"/>
      <c r="J209" s="6"/>
    </row>
    <row r="210" spans="1:10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>
      <c r="A212" s="6" t="s">
        <v>384</v>
      </c>
      <c r="B212" s="6"/>
      <c r="C212" s="6"/>
      <c r="D212" s="6"/>
      <c r="E212" s="6"/>
      <c r="F212" s="6"/>
      <c r="G212" s="6"/>
      <c r="H212" s="6"/>
      <c r="I212" s="6"/>
      <c r="J212" s="6"/>
    </row>
    <row r="213" spans="1:10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>
      <c r="A214" s="6" t="s">
        <v>385</v>
      </c>
      <c r="B214" s="6"/>
      <c r="C214" s="6">
        <f>-5000</f>
        <v>-5000</v>
      </c>
      <c r="D214" s="6">
        <f>16720.88</f>
        <v>16720.88</v>
      </c>
      <c r="E214" s="6">
        <f>25881.72</f>
        <v>25881.72</v>
      </c>
      <c r="F214" s="6"/>
      <c r="G214" s="6" t="s">
        <v>386</v>
      </c>
      <c r="H214" s="6" t="s">
        <v>387</v>
      </c>
      <c r="I214" s="6"/>
      <c r="J214" s="6"/>
    </row>
    <row r="215" spans="1:10">
      <c r="A215" s="6" t="s">
        <v>388</v>
      </c>
      <c r="B215" s="6"/>
      <c r="C215" s="6">
        <f>0</f>
        <v>0</v>
      </c>
      <c r="D215" s="6">
        <f>5113.34</f>
        <v>5113.34</v>
      </c>
      <c r="E215" s="6">
        <f>5113.34</f>
        <v>5113.34</v>
      </c>
      <c r="F215" s="6"/>
      <c r="G215" s="6" t="s">
        <v>389</v>
      </c>
      <c r="H215" s="6" t="s">
        <v>390</v>
      </c>
      <c r="I215" s="6"/>
      <c r="J215" s="6"/>
    </row>
    <row r="216" spans="1:10">
      <c r="A216" s="6" t="s">
        <v>391</v>
      </c>
      <c r="B216" s="6"/>
      <c r="C216" s="6">
        <f>0</f>
        <v>0</v>
      </c>
      <c r="D216" s="6">
        <f>5229.26</f>
        <v>5229.26</v>
      </c>
      <c r="E216" s="6">
        <f>5229.26</f>
        <v>5229.26</v>
      </c>
      <c r="F216" s="6"/>
      <c r="G216" s="6" t="s">
        <v>392</v>
      </c>
      <c r="H216" s="6" t="s">
        <v>393</v>
      </c>
      <c r="I216" s="6"/>
      <c r="J216" s="6"/>
    </row>
    <row r="217" spans="1:10">
      <c r="A217" s="6" t="s">
        <v>394</v>
      </c>
      <c r="B217" s="6"/>
      <c r="C217" s="6">
        <f>0</f>
        <v>0</v>
      </c>
      <c r="D217" s="6">
        <f>0</f>
        <v>0</v>
      </c>
      <c r="E217" s="6">
        <f>0</f>
        <v>0</v>
      </c>
      <c r="F217" s="6"/>
      <c r="G217" s="6" t="s">
        <v>395</v>
      </c>
      <c r="H217" s="6" t="s">
        <v>396</v>
      </c>
      <c r="I217" s="6"/>
      <c r="J217" s="6"/>
    </row>
    <row r="218" spans="1:10">
      <c r="A218" s="6" t="s">
        <v>397</v>
      </c>
      <c r="B218" s="6"/>
      <c r="C218" s="6">
        <f>0</f>
        <v>0</v>
      </c>
      <c r="D218" s="6">
        <f>0</f>
        <v>0</v>
      </c>
      <c r="E218" s="6">
        <f>0</f>
        <v>0</v>
      </c>
      <c r="F218" s="6"/>
      <c r="G218" s="6" t="s">
        <v>398</v>
      </c>
      <c r="H218" s="6" t="s">
        <v>399</v>
      </c>
      <c r="I218" s="6"/>
      <c r="J218" s="6"/>
    </row>
    <row r="219" spans="1:10">
      <c r="A219" s="6" t="s">
        <v>400</v>
      </c>
      <c r="B219" s="6"/>
      <c r="C219" s="6">
        <f>0</f>
        <v>0</v>
      </c>
      <c r="D219" s="6">
        <f>25112.02</f>
        <v>25112.02</v>
      </c>
      <c r="E219" s="6">
        <f>25112.02</f>
        <v>25112.02</v>
      </c>
      <c r="F219" s="6"/>
      <c r="G219" s="6" t="s">
        <v>401</v>
      </c>
      <c r="H219" s="6" t="s">
        <v>402</v>
      </c>
      <c r="I219" s="6"/>
      <c r="J219" s="6"/>
    </row>
    <row r="220" spans="1:10">
      <c r="A220" s="6" t="s">
        <v>403</v>
      </c>
      <c r="B220" s="6"/>
      <c r="C220" s="15">
        <f>0</f>
        <v>0</v>
      </c>
      <c r="D220" s="15">
        <f>5037.5</f>
        <v>5037.5</v>
      </c>
      <c r="E220" s="15">
        <f>5037.5</f>
        <v>5037.5</v>
      </c>
      <c r="F220" s="6"/>
      <c r="G220" s="6" t="s">
        <v>404</v>
      </c>
      <c r="H220" s="6" t="s">
        <v>405</v>
      </c>
      <c r="I220" s="6"/>
      <c r="J220" s="6"/>
    </row>
    <row r="221" spans="1:10">
      <c r="A221" s="6" t="s">
        <v>406</v>
      </c>
      <c r="B221" s="6"/>
      <c r="C221" s="15">
        <f>SUM(C213:C220)</f>
        <v>-5000</v>
      </c>
      <c r="D221" s="15">
        <f>SUM(D213:D220)</f>
        <v>57213</v>
      </c>
      <c r="E221" s="15">
        <f>SUM(E213:E220)</f>
        <v>66373.84</v>
      </c>
      <c r="F221" s="6"/>
      <c r="G221" s="6"/>
      <c r="H221" s="6"/>
      <c r="I221" s="6"/>
      <c r="J221" s="6"/>
    </row>
    <row r="222" spans="1:10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>
      <c r="A223" s="6"/>
      <c r="B223" s="6"/>
      <c r="C223" s="26"/>
      <c r="D223" s="26"/>
      <c r="E223" s="26"/>
      <c r="F223" s="6"/>
      <c r="G223" s="6"/>
      <c r="H223" s="6"/>
      <c r="I223" s="6"/>
      <c r="J223" s="6"/>
    </row>
    <row r="224" spans="1:10">
      <c r="A224" s="6" t="s">
        <v>407</v>
      </c>
      <c r="B224" s="6"/>
      <c r="C224" s="6"/>
      <c r="D224" s="6"/>
      <c r="E224" s="6"/>
      <c r="F224" s="6"/>
      <c r="G224" s="6"/>
      <c r="H224" s="6"/>
      <c r="I224" s="6"/>
      <c r="J224" s="6"/>
    </row>
    <row r="225" spans="1:10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>
      <c r="A226" s="6" t="s">
        <v>408</v>
      </c>
      <c r="B226" s="6"/>
      <c r="C226" s="6">
        <f>0</f>
        <v>0</v>
      </c>
      <c r="D226" s="6">
        <f>2654</f>
        <v>2654</v>
      </c>
      <c r="E226" s="6">
        <f>2654</f>
        <v>2654</v>
      </c>
      <c r="F226" s="6"/>
      <c r="G226" s="6" t="s">
        <v>409</v>
      </c>
      <c r="H226" s="6" t="s">
        <v>410</v>
      </c>
      <c r="I226" s="6"/>
      <c r="J226" s="6"/>
    </row>
    <row r="227" spans="1:10">
      <c r="A227" s="6" t="s">
        <v>411</v>
      </c>
      <c r="B227" s="6"/>
      <c r="C227" s="6">
        <f>0</f>
        <v>0</v>
      </c>
      <c r="D227" s="6">
        <f>2614.63</f>
        <v>2614.63</v>
      </c>
      <c r="E227" s="6">
        <f>2614.63</f>
        <v>2614.63</v>
      </c>
      <c r="F227" s="6"/>
      <c r="G227" s="6" t="s">
        <v>412</v>
      </c>
      <c r="H227" s="6" t="s">
        <v>413</v>
      </c>
      <c r="I227" s="6"/>
      <c r="J227" s="6"/>
    </row>
    <row r="228" spans="1:10">
      <c r="A228" s="6" t="s">
        <v>414</v>
      </c>
      <c r="B228" s="6"/>
      <c r="C228" s="6">
        <f>0</f>
        <v>0</v>
      </c>
      <c r="D228" s="6">
        <f>2595.17</f>
        <v>2595.17</v>
      </c>
      <c r="E228" s="6">
        <f>2595.17</f>
        <v>2595.17</v>
      </c>
      <c r="F228" s="6"/>
      <c r="G228" s="6" t="s">
        <v>415</v>
      </c>
      <c r="H228" s="6" t="s">
        <v>416</v>
      </c>
      <c r="I228" s="6"/>
      <c r="J228" s="6"/>
    </row>
    <row r="229" spans="1:10">
      <c r="A229" s="6" t="s">
        <v>417</v>
      </c>
      <c r="B229" s="6"/>
      <c r="C229" s="6">
        <f>0</f>
        <v>0</v>
      </c>
      <c r="D229" s="6">
        <f t="shared" ref="D229:E231" si="0">2575.85</f>
        <v>2575.85</v>
      </c>
      <c r="E229" s="6">
        <f t="shared" si="0"/>
        <v>2575.85</v>
      </c>
      <c r="F229" s="6"/>
      <c r="G229" s="6" t="s">
        <v>418</v>
      </c>
      <c r="H229" s="6" t="s">
        <v>419</v>
      </c>
      <c r="I229" s="6"/>
      <c r="J229" s="6"/>
    </row>
    <row r="230" spans="1:10">
      <c r="A230" s="6" t="s">
        <v>420</v>
      </c>
      <c r="B230" s="6"/>
      <c r="C230" s="6">
        <f>0</f>
        <v>0</v>
      </c>
      <c r="D230" s="6">
        <f t="shared" si="0"/>
        <v>2575.85</v>
      </c>
      <c r="E230" s="6">
        <f t="shared" si="0"/>
        <v>2575.85</v>
      </c>
      <c r="F230" s="6"/>
      <c r="G230" s="6" t="s">
        <v>421</v>
      </c>
      <c r="H230" s="6" t="s">
        <v>422</v>
      </c>
      <c r="I230" s="6"/>
      <c r="J230" s="6"/>
    </row>
    <row r="231" spans="1:10">
      <c r="A231" s="6" t="s">
        <v>423</v>
      </c>
      <c r="B231" s="6"/>
      <c r="C231" s="6">
        <f>0</f>
        <v>0</v>
      </c>
      <c r="D231" s="6">
        <f t="shared" si="0"/>
        <v>2575.85</v>
      </c>
      <c r="E231" s="6">
        <f t="shared" si="0"/>
        <v>2575.85</v>
      </c>
      <c r="F231" s="6"/>
      <c r="G231" s="6" t="s">
        <v>424</v>
      </c>
      <c r="H231" s="6" t="s">
        <v>425</v>
      </c>
      <c r="I231" s="6"/>
      <c r="J231" s="6"/>
    </row>
    <row r="232" spans="1:10">
      <c r="A232" s="6" t="s">
        <v>426</v>
      </c>
      <c r="B232" s="6"/>
      <c r="C232" s="6">
        <f>0</f>
        <v>0</v>
      </c>
      <c r="D232" s="6">
        <f>2561.79</f>
        <v>2561.79</v>
      </c>
      <c r="E232" s="6">
        <f>2561.79</f>
        <v>2561.79</v>
      </c>
      <c r="F232" s="6"/>
      <c r="G232" s="6" t="s">
        <v>427</v>
      </c>
      <c r="H232" s="6" t="s">
        <v>428</v>
      </c>
      <c r="I232" s="6"/>
      <c r="J232" s="6"/>
    </row>
    <row r="233" spans="1:10">
      <c r="A233" s="6" t="s">
        <v>429</v>
      </c>
      <c r="B233" s="6"/>
      <c r="C233" s="6">
        <f>0</f>
        <v>0</v>
      </c>
      <c r="D233" s="6">
        <f>2514.93</f>
        <v>2514.9299999999998</v>
      </c>
      <c r="E233" s="6">
        <f>2514.93</f>
        <v>2514.9299999999998</v>
      </c>
      <c r="F233" s="6"/>
      <c r="G233" s="6" t="s">
        <v>430</v>
      </c>
      <c r="H233" s="6" t="s">
        <v>431</v>
      </c>
      <c r="I233" s="6"/>
      <c r="J233" s="6"/>
    </row>
    <row r="234" spans="1:10">
      <c r="A234" s="6" t="s">
        <v>432</v>
      </c>
      <c r="B234" s="6"/>
      <c r="C234" s="6">
        <f>0</f>
        <v>0</v>
      </c>
      <c r="D234" s="6">
        <f>2506.32</f>
        <v>2506.3200000000002</v>
      </c>
      <c r="E234" s="6">
        <f>2506.32</f>
        <v>2506.3200000000002</v>
      </c>
      <c r="F234" s="6"/>
      <c r="G234" s="6" t="s">
        <v>433</v>
      </c>
      <c r="H234" s="6" t="s">
        <v>434</v>
      </c>
      <c r="I234" s="6"/>
      <c r="J234" s="6"/>
    </row>
    <row r="235" spans="1:10">
      <c r="A235" s="6" t="s">
        <v>435</v>
      </c>
      <c r="B235" s="6"/>
      <c r="C235" s="6">
        <f>0</f>
        <v>0</v>
      </c>
      <c r="D235" s="6">
        <f>2500</f>
        <v>2500</v>
      </c>
      <c r="E235" s="6">
        <f>0</f>
        <v>0</v>
      </c>
      <c r="F235" s="6"/>
      <c r="G235" s="6" t="s">
        <v>436</v>
      </c>
      <c r="H235" s="6" t="s">
        <v>437</v>
      </c>
      <c r="I235" s="6"/>
      <c r="J235" s="6"/>
    </row>
    <row r="236" spans="1:10">
      <c r="A236" s="6" t="s">
        <v>438</v>
      </c>
      <c r="B236" s="6"/>
      <c r="C236" s="6">
        <f>0</f>
        <v>0</v>
      </c>
      <c r="D236" s="6">
        <f>2991.04</f>
        <v>2991.04</v>
      </c>
      <c r="E236" s="6">
        <f>2991.04</f>
        <v>2991.04</v>
      </c>
      <c r="F236" s="6"/>
      <c r="G236" s="6" t="s">
        <v>439</v>
      </c>
      <c r="H236" s="6" t="s">
        <v>440</v>
      </c>
      <c r="I236" s="6"/>
      <c r="J236" s="6"/>
    </row>
    <row r="237" spans="1:10">
      <c r="A237" s="6" t="s">
        <v>441</v>
      </c>
      <c r="B237" s="6"/>
      <c r="C237" s="6">
        <f>0</f>
        <v>0</v>
      </c>
      <c r="D237" s="6">
        <f>462.24</f>
        <v>462.24</v>
      </c>
      <c r="E237" s="6">
        <f>462.24</f>
        <v>462.24</v>
      </c>
      <c r="F237" s="6"/>
      <c r="G237" s="6" t="s">
        <v>442</v>
      </c>
      <c r="H237" s="6" t="s">
        <v>443</v>
      </c>
      <c r="I237" s="6"/>
      <c r="J237" s="6"/>
    </row>
    <row r="238" spans="1:10">
      <c r="A238" s="6" t="s">
        <v>444</v>
      </c>
      <c r="B238" s="6"/>
      <c r="C238" s="6">
        <f>0</f>
        <v>0</v>
      </c>
      <c r="D238" s="6">
        <f>0</f>
        <v>0</v>
      </c>
      <c r="E238" s="6">
        <f>0</f>
        <v>0</v>
      </c>
      <c r="F238" s="6"/>
      <c r="G238" s="6" t="s">
        <v>445</v>
      </c>
      <c r="H238" s="6" t="s">
        <v>446</v>
      </c>
      <c r="I238" s="6"/>
      <c r="J238" s="6"/>
    </row>
    <row r="239" spans="1:10">
      <c r="A239" s="6" t="s">
        <v>447</v>
      </c>
      <c r="B239" s="6"/>
      <c r="C239" s="6">
        <f>0</f>
        <v>0</v>
      </c>
      <c r="D239" s="6">
        <f>0</f>
        <v>0</v>
      </c>
      <c r="E239" s="6">
        <f>0</f>
        <v>0</v>
      </c>
      <c r="F239" s="6"/>
      <c r="G239" s="6" t="s">
        <v>448</v>
      </c>
      <c r="H239" s="6" t="s">
        <v>449</v>
      </c>
      <c r="I239" s="6"/>
      <c r="J239" s="6"/>
    </row>
    <row r="240" spans="1:10">
      <c r="A240" s="6" t="s">
        <v>450</v>
      </c>
      <c r="B240" s="6"/>
      <c r="C240" s="6">
        <f>0</f>
        <v>0</v>
      </c>
      <c r="D240" s="6">
        <f>0</f>
        <v>0</v>
      </c>
      <c r="E240" s="6">
        <f>0</f>
        <v>0</v>
      </c>
      <c r="F240" s="6"/>
      <c r="G240" s="6" t="s">
        <v>451</v>
      </c>
      <c r="H240" s="6" t="s">
        <v>452</v>
      </c>
      <c r="I240" s="6"/>
      <c r="J240" s="6"/>
    </row>
    <row r="241" spans="1:10">
      <c r="A241" s="6" t="s">
        <v>453</v>
      </c>
      <c r="B241" s="6"/>
      <c r="C241" s="6">
        <f>0</f>
        <v>0</v>
      </c>
      <c r="D241" s="6">
        <f>2035.63</f>
        <v>2035.63</v>
      </c>
      <c r="E241" s="6">
        <f>2035.63</f>
        <v>2035.63</v>
      </c>
      <c r="F241" s="6"/>
      <c r="G241" s="6" t="s">
        <v>454</v>
      </c>
      <c r="H241" s="6" t="s">
        <v>455</v>
      </c>
      <c r="I241" s="6"/>
      <c r="J241" s="6"/>
    </row>
    <row r="242" spans="1:10">
      <c r="A242" s="6" t="s">
        <v>456</v>
      </c>
      <c r="B242" s="6"/>
      <c r="C242" s="6">
        <f>0</f>
        <v>0</v>
      </c>
      <c r="D242" s="6">
        <f>0</f>
        <v>0</v>
      </c>
      <c r="E242" s="6">
        <f>0</f>
        <v>0</v>
      </c>
      <c r="F242" s="6"/>
      <c r="G242" s="6" t="s">
        <v>457</v>
      </c>
      <c r="H242" s="6" t="s">
        <v>458</v>
      </c>
      <c r="I242" s="6"/>
      <c r="J242" s="6"/>
    </row>
    <row r="243" spans="1:10">
      <c r="A243" s="6" t="s">
        <v>459</v>
      </c>
      <c r="B243" s="6"/>
      <c r="C243" s="6">
        <f>0</f>
        <v>0</v>
      </c>
      <c r="D243" s="6">
        <f>1791.68</f>
        <v>1791.68</v>
      </c>
      <c r="E243" s="6">
        <f>1791.68</f>
        <v>1791.68</v>
      </c>
      <c r="F243" s="6"/>
      <c r="G243" s="6" t="s">
        <v>460</v>
      </c>
      <c r="H243" s="6" t="s">
        <v>461</v>
      </c>
      <c r="I243" s="6"/>
      <c r="J243" s="6"/>
    </row>
    <row r="244" spans="1:10">
      <c r="A244" s="6" t="s">
        <v>462</v>
      </c>
      <c r="B244" s="6"/>
      <c r="C244" s="6">
        <f>0</f>
        <v>0</v>
      </c>
      <c r="D244" s="6">
        <f>0</f>
        <v>0</v>
      </c>
      <c r="E244" s="6">
        <f>0</f>
        <v>0</v>
      </c>
      <c r="F244" s="6"/>
      <c r="G244" s="6" t="s">
        <v>463</v>
      </c>
      <c r="H244" s="6" t="s">
        <v>464</v>
      </c>
      <c r="I244" s="6"/>
      <c r="J244" s="6"/>
    </row>
    <row r="245" spans="1:10">
      <c r="A245" s="6" t="s">
        <v>465</v>
      </c>
      <c r="B245" s="6"/>
      <c r="C245" s="6">
        <f>0</f>
        <v>0</v>
      </c>
      <c r="D245" s="6">
        <f>2817.48</f>
        <v>2817.48</v>
      </c>
      <c r="E245" s="6">
        <f>2817.48</f>
        <v>2817.48</v>
      </c>
      <c r="F245" s="6"/>
      <c r="G245" s="6" t="s">
        <v>466</v>
      </c>
      <c r="H245" s="6" t="s">
        <v>467</v>
      </c>
      <c r="I245" s="6"/>
      <c r="J245" s="6"/>
    </row>
    <row r="246" spans="1:10">
      <c r="A246" s="6" t="s">
        <v>468</v>
      </c>
      <c r="B246" s="6"/>
      <c r="C246" s="6">
        <f>0</f>
        <v>0</v>
      </c>
      <c r="D246" s="6">
        <f>2105.41</f>
        <v>2105.41</v>
      </c>
      <c r="E246" s="6">
        <f>2105.41</f>
        <v>2105.41</v>
      </c>
      <c r="F246" s="6"/>
      <c r="G246" s="6" t="s">
        <v>469</v>
      </c>
      <c r="H246" s="6" t="s">
        <v>470</v>
      </c>
      <c r="I246" s="6"/>
      <c r="J246" s="6"/>
    </row>
    <row r="247" spans="1:10">
      <c r="A247" s="6" t="s">
        <v>471</v>
      </c>
      <c r="B247" s="6"/>
      <c r="C247" s="6">
        <f>0</f>
        <v>0</v>
      </c>
      <c r="D247" s="6">
        <f>0</f>
        <v>0</v>
      </c>
      <c r="E247" s="6">
        <f>0</f>
        <v>0</v>
      </c>
      <c r="F247" s="6"/>
      <c r="G247" s="6" t="s">
        <v>472</v>
      </c>
      <c r="H247" s="6" t="s">
        <v>473</v>
      </c>
      <c r="I247" s="6"/>
      <c r="J247" s="6"/>
    </row>
    <row r="248" spans="1:10">
      <c r="A248" s="6" t="s">
        <v>474</v>
      </c>
      <c r="B248" s="6"/>
      <c r="C248" s="6">
        <f>0</f>
        <v>0</v>
      </c>
      <c r="D248" s="6">
        <f>2520.2</f>
        <v>2520.1999999999998</v>
      </c>
      <c r="E248" s="6">
        <f>2520.2</f>
        <v>2520.1999999999998</v>
      </c>
      <c r="F248" s="6"/>
      <c r="G248" s="6" t="s">
        <v>475</v>
      </c>
      <c r="H248" s="6" t="s">
        <v>476</v>
      </c>
      <c r="I248" s="6"/>
      <c r="J248" s="6"/>
    </row>
    <row r="249" spans="1:10">
      <c r="A249" s="6" t="s">
        <v>477</v>
      </c>
      <c r="B249" s="6"/>
      <c r="C249" s="6">
        <f>0</f>
        <v>0</v>
      </c>
      <c r="D249" s="6">
        <f>0</f>
        <v>0</v>
      </c>
      <c r="E249" s="6">
        <f>2502.85</f>
        <v>2502.85</v>
      </c>
      <c r="F249" s="6"/>
      <c r="G249" s="6" t="s">
        <v>478</v>
      </c>
      <c r="H249" s="6" t="s">
        <v>479</v>
      </c>
      <c r="I249" s="6"/>
      <c r="J249" s="6"/>
    </row>
    <row r="250" spans="1:10">
      <c r="A250" s="6" t="s">
        <v>480</v>
      </c>
      <c r="B250" s="6"/>
      <c r="C250" s="6">
        <f>0</f>
        <v>0</v>
      </c>
      <c r="D250" s="6">
        <f>-136.07</f>
        <v>-136.07</v>
      </c>
      <c r="E250" s="6">
        <f>-136.07</f>
        <v>-136.07</v>
      </c>
      <c r="F250" s="6"/>
      <c r="G250" s="6" t="s">
        <v>481</v>
      </c>
      <c r="H250" s="6" t="s">
        <v>482</v>
      </c>
      <c r="I250" s="6"/>
      <c r="J250" s="6"/>
    </row>
    <row r="251" spans="1:10">
      <c r="A251" s="6" t="s">
        <v>483</v>
      </c>
      <c r="B251" s="6"/>
      <c r="C251" s="6">
        <f>0</f>
        <v>0</v>
      </c>
      <c r="D251" s="6">
        <f>2734.52</f>
        <v>2734.52</v>
      </c>
      <c r="E251" s="6">
        <f>2734.52</f>
        <v>2734.52</v>
      </c>
      <c r="F251" s="6"/>
      <c r="G251" s="6" t="s">
        <v>484</v>
      </c>
      <c r="H251" s="6" t="s">
        <v>485</v>
      </c>
      <c r="I251" s="6"/>
      <c r="J251" s="6"/>
    </row>
    <row r="252" spans="1:10">
      <c r="A252" s="6" t="s">
        <v>486</v>
      </c>
      <c r="B252" s="6"/>
      <c r="C252" s="15">
        <f>0</f>
        <v>0</v>
      </c>
      <c r="D252" s="15">
        <f>2734.52</f>
        <v>2734.52</v>
      </c>
      <c r="E252" s="15">
        <f>2734.52</f>
        <v>2734.52</v>
      </c>
      <c r="F252" s="6"/>
      <c r="G252" s="6" t="s">
        <v>487</v>
      </c>
      <c r="H252" s="6" t="s">
        <v>488</v>
      </c>
      <c r="I252" s="6"/>
      <c r="J252" s="6"/>
    </row>
    <row r="253" spans="1:10">
      <c r="A253" s="6" t="s">
        <v>489</v>
      </c>
      <c r="B253" s="6"/>
      <c r="C253" s="15">
        <f>SUM(C225:C252)</f>
        <v>0</v>
      </c>
      <c r="D253" s="15">
        <f>SUM(D225:D252)</f>
        <v>45731.040000000001</v>
      </c>
      <c r="E253" s="15">
        <f>SUM(E225:E252)</f>
        <v>45733.89</v>
      </c>
      <c r="F253" s="6"/>
      <c r="G253" s="6"/>
      <c r="H253" s="6"/>
      <c r="I253" s="6"/>
      <c r="J253" s="6"/>
    </row>
    <row r="254" spans="1:10">
      <c r="A254" s="6"/>
      <c r="B254" s="6"/>
      <c r="C254" s="15"/>
      <c r="D254" s="15"/>
      <c r="E254" s="15"/>
      <c r="F254" s="6"/>
      <c r="G254" s="6"/>
      <c r="H254" s="6"/>
      <c r="I254" s="6"/>
      <c r="J254" s="6"/>
    </row>
    <row r="255" spans="1:10">
      <c r="A255" s="6" t="s">
        <v>490</v>
      </c>
      <c r="B255" s="6"/>
      <c r="C255" s="6">
        <f>C221+C253</f>
        <v>-5000</v>
      </c>
      <c r="D255" s="6">
        <f>D221+D253</f>
        <v>102944.04000000001</v>
      </c>
      <c r="E255" s="6">
        <f>E221+E253</f>
        <v>112107.73</v>
      </c>
      <c r="F255" s="6"/>
      <c r="G255" s="6"/>
      <c r="H255" s="6"/>
      <c r="I255" s="6"/>
      <c r="J255" s="6"/>
    </row>
    <row r="256" spans="1:10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>
      <c r="A258" s="6" t="s">
        <v>491</v>
      </c>
      <c r="B258" s="6"/>
      <c r="C258" s="6">
        <f>0</f>
        <v>0</v>
      </c>
      <c r="D258" s="6">
        <f>0</f>
        <v>0</v>
      </c>
      <c r="E258" s="6">
        <f>13196</f>
        <v>13196</v>
      </c>
      <c r="F258" s="6"/>
      <c r="G258" s="6" t="s">
        <v>492</v>
      </c>
      <c r="H258" s="6" t="s">
        <v>493</v>
      </c>
      <c r="I258" s="6"/>
      <c r="J258" s="6"/>
    </row>
    <row r="259" spans="1:10">
      <c r="A259" s="6" t="s">
        <v>494</v>
      </c>
      <c r="B259" s="6"/>
      <c r="C259" s="15">
        <f>0</f>
        <v>0</v>
      </c>
      <c r="D259" s="15">
        <f>12808.2</f>
        <v>12808.2</v>
      </c>
      <c r="E259" s="15">
        <f>12808.2</f>
        <v>12808.2</v>
      </c>
      <c r="F259" s="6"/>
      <c r="G259" s="6" t="s">
        <v>495</v>
      </c>
      <c r="H259" s="6" t="s">
        <v>496</v>
      </c>
      <c r="I259" s="6"/>
      <c r="J259" s="6"/>
    </row>
    <row r="260" spans="1:10">
      <c r="A260" s="6" t="s">
        <v>497</v>
      </c>
      <c r="B260" s="6"/>
      <c r="C260" s="6">
        <f>SUM(C258:C259)</f>
        <v>0</v>
      </c>
      <c r="D260" s="6">
        <f>SUM(D258:D259)</f>
        <v>12808.2</v>
      </c>
      <c r="E260" s="6">
        <f>SUM(E258:E259)</f>
        <v>26004.2</v>
      </c>
      <c r="F260" s="6"/>
      <c r="G260" s="6"/>
      <c r="H260" s="6"/>
      <c r="I260" s="6"/>
      <c r="J260" s="6"/>
    </row>
    <row r="261" spans="1:10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ht="10.8">
      <c r="A262" s="27" t="s">
        <v>498</v>
      </c>
      <c r="B262" s="6"/>
      <c r="C262" s="6">
        <f>C199+C209+C221+C253+C260</f>
        <v>-28411.57</v>
      </c>
      <c r="D262" s="6">
        <f>D199+D209+D221+D253+D260</f>
        <v>249205.95</v>
      </c>
      <c r="E262" s="6">
        <f>E199+E209+E221+E253+E260</f>
        <v>460719.11999999994</v>
      </c>
      <c r="F262" s="6"/>
      <c r="G262" s="6"/>
      <c r="H262" s="6"/>
      <c r="I262" s="6"/>
      <c r="J262" s="6"/>
    </row>
    <row r="263" spans="1:10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ht="10.8">
      <c r="A265" s="25" t="s">
        <v>499</v>
      </c>
      <c r="B265" s="6"/>
      <c r="C265" s="6"/>
      <c r="D265" s="6"/>
      <c r="E265" s="6"/>
      <c r="F265" s="6"/>
      <c r="G265" s="6"/>
      <c r="H265" s="6"/>
      <c r="I265" s="6"/>
      <c r="J265" s="6"/>
    </row>
    <row r="266" spans="1:10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>
      <c r="A267" s="6" t="s">
        <v>500</v>
      </c>
      <c r="B267" s="6"/>
      <c r="C267" s="6">
        <f>0</f>
        <v>0</v>
      </c>
      <c r="D267" s="6">
        <f>-16777.29</f>
        <v>-16777.29</v>
      </c>
      <c r="E267" s="6">
        <f>-16777.29</f>
        <v>-16777.29</v>
      </c>
      <c r="F267" s="6"/>
      <c r="G267" s="6" t="s">
        <v>501</v>
      </c>
      <c r="H267" s="6" t="s">
        <v>502</v>
      </c>
      <c r="I267" s="6"/>
      <c r="J267" s="6"/>
    </row>
    <row r="268" spans="1:10">
      <c r="A268" s="6" t="s">
        <v>503</v>
      </c>
      <c r="B268" s="6"/>
      <c r="C268" s="6">
        <f>0</f>
        <v>0</v>
      </c>
      <c r="D268" s="6">
        <f>24791.9</f>
        <v>24791.9</v>
      </c>
      <c r="E268" s="6">
        <f>24791.9</f>
        <v>24791.9</v>
      </c>
      <c r="F268" s="6"/>
      <c r="G268" s="6" t="s">
        <v>504</v>
      </c>
      <c r="H268" s="6" t="s">
        <v>505</v>
      </c>
      <c r="I268" s="6"/>
      <c r="J268" s="6"/>
    </row>
    <row r="269" spans="1:10">
      <c r="A269" s="6" t="s">
        <v>506</v>
      </c>
      <c r="B269" s="6"/>
      <c r="C269" s="6">
        <f>0</f>
        <v>0</v>
      </c>
      <c r="D269" s="6">
        <f>69659.38</f>
        <v>69659.38</v>
      </c>
      <c r="E269" s="6">
        <f>69659.38</f>
        <v>69659.38</v>
      </c>
      <c r="F269" s="6"/>
      <c r="G269" s="6" t="s">
        <v>507</v>
      </c>
      <c r="H269" s="6" t="s">
        <v>508</v>
      </c>
      <c r="I269" s="6"/>
      <c r="J269" s="6"/>
    </row>
    <row r="270" spans="1:10">
      <c r="A270" s="6" t="s">
        <v>509</v>
      </c>
      <c r="B270" s="6"/>
      <c r="C270" s="6">
        <f>0</f>
        <v>0</v>
      </c>
      <c r="D270" s="6">
        <f>2500</f>
        <v>2500</v>
      </c>
      <c r="E270" s="6">
        <f>2500</f>
        <v>2500</v>
      </c>
      <c r="F270" s="6"/>
      <c r="G270" s="6" t="s">
        <v>510</v>
      </c>
      <c r="H270" s="6" t="s">
        <v>511</v>
      </c>
      <c r="I270" s="6"/>
      <c r="J270" s="6"/>
    </row>
    <row r="271" spans="1:10">
      <c r="A271" s="6" t="s">
        <v>512</v>
      </c>
      <c r="B271" s="6"/>
      <c r="C271" s="6">
        <f>0</f>
        <v>0</v>
      </c>
      <c r="D271" s="6">
        <f>6062.97</f>
        <v>6062.97</v>
      </c>
      <c r="E271" s="6">
        <f>6062.97</f>
        <v>6062.97</v>
      </c>
      <c r="F271" s="6"/>
      <c r="G271" s="6" t="s">
        <v>513</v>
      </c>
      <c r="H271" s="6" t="s">
        <v>514</v>
      </c>
      <c r="I271" s="6"/>
      <c r="J271" s="6"/>
    </row>
    <row r="272" spans="1:10">
      <c r="A272" s="6" t="s">
        <v>515</v>
      </c>
      <c r="B272" s="6"/>
      <c r="C272" s="6">
        <f>0</f>
        <v>0</v>
      </c>
      <c r="D272" s="6">
        <f>1000</f>
        <v>1000</v>
      </c>
      <c r="E272" s="6">
        <f>1000</f>
        <v>1000</v>
      </c>
      <c r="F272" s="6"/>
      <c r="G272" s="6" t="s">
        <v>516</v>
      </c>
      <c r="H272" s="6" t="s">
        <v>517</v>
      </c>
      <c r="I272" s="6"/>
      <c r="J272" s="6"/>
    </row>
    <row r="273" spans="1:10">
      <c r="A273" s="6" t="s">
        <v>518</v>
      </c>
      <c r="B273" s="6"/>
      <c r="C273" s="6">
        <f>0</f>
        <v>0</v>
      </c>
      <c r="D273" s="6">
        <f>47940.15</f>
        <v>47940.15</v>
      </c>
      <c r="E273" s="6">
        <f>47940.15</f>
        <v>47940.15</v>
      </c>
      <c r="F273" s="6"/>
      <c r="G273" s="6" t="s">
        <v>519</v>
      </c>
      <c r="H273" s="6" t="s">
        <v>520</v>
      </c>
      <c r="I273" s="6"/>
      <c r="J273" s="6"/>
    </row>
    <row r="274" spans="1:10">
      <c r="A274" s="6" t="s">
        <v>521</v>
      </c>
      <c r="B274" s="6"/>
      <c r="C274" s="15">
        <f>5329.42</f>
        <v>5329.42</v>
      </c>
      <c r="D274" s="15">
        <f>1195951.66</f>
        <v>1195951.6599999999</v>
      </c>
      <c r="E274" s="15">
        <f>1158645.72</f>
        <v>1158645.72</v>
      </c>
      <c r="F274" s="6"/>
      <c r="G274" s="6" t="s">
        <v>522</v>
      </c>
      <c r="H274" s="6" t="s">
        <v>523</v>
      </c>
      <c r="I274" s="6"/>
      <c r="J274" s="6"/>
    </row>
    <row r="275" spans="1:10">
      <c r="A275" s="6" t="s">
        <v>524</v>
      </c>
      <c r="B275" s="6"/>
      <c r="C275" s="6">
        <f>SUM(C266:C274)</f>
        <v>5329.42</v>
      </c>
      <c r="D275" s="6">
        <f>SUM(D266:D274)</f>
        <v>1331128.77</v>
      </c>
      <c r="E275" s="6">
        <f>SUM(E266:E274)</f>
        <v>1293822.83</v>
      </c>
      <c r="F275" s="6"/>
      <c r="G275" s="6"/>
      <c r="H275" s="6"/>
      <c r="I275" s="6"/>
      <c r="J275" s="6"/>
    </row>
    <row r="276" spans="1:10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>
      <c r="A277" s="6" t="s">
        <v>525</v>
      </c>
      <c r="B277" s="6"/>
      <c r="C277" s="6">
        <f>-5329.42</f>
        <v>-5329.42</v>
      </c>
      <c r="D277" s="6">
        <f>2037447.01</f>
        <v>2037447.01</v>
      </c>
      <c r="E277" s="6">
        <f>2000159.35</f>
        <v>2000159.35</v>
      </c>
      <c r="F277" s="6"/>
      <c r="G277" s="6" t="s">
        <v>526</v>
      </c>
      <c r="H277" s="6" t="s">
        <v>527</v>
      </c>
      <c r="I277" s="6"/>
      <c r="J277" s="6"/>
    </row>
    <row r="278" spans="1:10">
      <c r="A278" s="6" t="s">
        <v>528</v>
      </c>
      <c r="B278" s="6"/>
      <c r="C278" s="15">
        <f>-337984.12</f>
        <v>-337984.12</v>
      </c>
      <c r="D278" s="15">
        <f>235932.79</f>
        <v>235932.79</v>
      </c>
      <c r="E278" s="15">
        <f>74593.6</f>
        <v>74593.600000000006</v>
      </c>
      <c r="F278" s="6"/>
      <c r="G278" s="6" t="s">
        <v>246</v>
      </c>
      <c r="H278" s="6" t="s">
        <v>247</v>
      </c>
      <c r="I278" s="6"/>
      <c r="J278" s="6"/>
    </row>
    <row r="279" spans="1:10">
      <c r="A279" s="6" t="s">
        <v>529</v>
      </c>
      <c r="B279" s="6"/>
      <c r="C279" s="6">
        <f>SUM(C277:C278)</f>
        <v>-343313.54</v>
      </c>
      <c r="D279" s="6">
        <f>SUM(D277:D278)</f>
        <v>2273379.7999999998</v>
      </c>
      <c r="E279" s="6">
        <f>SUM(E277:E278)</f>
        <v>2074752.9500000002</v>
      </c>
      <c r="F279" s="6"/>
      <c r="G279" s="6"/>
      <c r="H279" s="6"/>
      <c r="I279" s="6"/>
      <c r="J279" s="6"/>
    </row>
    <row r="280" spans="1:10">
      <c r="A280" s="6"/>
      <c r="B280" s="6"/>
      <c r="C280" s="6"/>
      <c r="D280" s="6"/>
      <c r="E280" s="6"/>
      <c r="F280" s="6"/>
      <c r="G280" s="6" t="s">
        <v>530</v>
      </c>
      <c r="H280" s="6"/>
      <c r="I280" s="6"/>
      <c r="J280" s="6"/>
    </row>
    <row r="281" spans="1:10" ht="10.8">
      <c r="A281" s="27" t="s">
        <v>531</v>
      </c>
      <c r="B281" s="6"/>
      <c r="C281" s="6">
        <f>C275+C279</f>
        <v>-337984.12</v>
      </c>
      <c r="D281" s="6">
        <f>D275+D279</f>
        <v>3604508.57</v>
      </c>
      <c r="E281" s="6">
        <f>E275+E279</f>
        <v>3368575.7800000003</v>
      </c>
      <c r="F281" s="6"/>
      <c r="G281" s="6" t="s">
        <v>499</v>
      </c>
      <c r="H281" s="6">
        <f>3368575.78</f>
        <v>3368575.78</v>
      </c>
      <c r="I281" s="6" t="s">
        <v>241</v>
      </c>
      <c r="J281" s="6" t="s">
        <v>242</v>
      </c>
    </row>
    <row r="282" spans="1:10" ht="10.8">
      <c r="A282" s="27"/>
      <c r="B282" s="6"/>
      <c r="C282" s="6"/>
      <c r="D282" s="6"/>
      <c r="E282" s="6"/>
      <c r="F282" s="6"/>
      <c r="G282" s="6" t="s">
        <v>532</v>
      </c>
      <c r="H282" s="26">
        <f>235932.79</f>
        <v>235932.79</v>
      </c>
      <c r="I282" s="6" t="s">
        <v>246</v>
      </c>
      <c r="J282" s="6" t="s">
        <v>247</v>
      </c>
    </row>
    <row r="283" spans="1:10" ht="11.4" thickBot="1">
      <c r="A283" s="27" t="s">
        <v>533</v>
      </c>
      <c r="B283" s="6"/>
      <c r="C283" s="16">
        <f>C262+C281</f>
        <v>-366395.69</v>
      </c>
      <c r="D283" s="16">
        <f>D262+D281</f>
        <v>3853714.52</v>
      </c>
      <c r="E283" s="16">
        <f>E262+E281</f>
        <v>3829294.9000000004</v>
      </c>
      <c r="F283" s="6"/>
      <c r="G283" s="6" t="s">
        <v>534</v>
      </c>
      <c r="H283" s="6">
        <f>SUM(H281:H282)</f>
        <v>3604508.57</v>
      </c>
      <c r="I283" s="6"/>
      <c r="J283" s="6"/>
    </row>
    <row r="284" spans="1:10" ht="10.8" thickTop="1">
      <c r="A284" s="6"/>
      <c r="B284" s="6"/>
      <c r="C284" s="6"/>
      <c r="D284" s="6"/>
      <c r="E284" s="6"/>
      <c r="F284" s="6"/>
      <c r="G284" s="6" t="s">
        <v>69</v>
      </c>
      <c r="H284" s="6"/>
      <c r="I284" s="6"/>
      <c r="J284" s="6"/>
    </row>
    <row r="285" spans="1:10">
      <c r="A285" s="6"/>
      <c r="B285" s="6"/>
      <c r="C285" s="6"/>
      <c r="D285" s="6"/>
      <c r="E285" s="6"/>
      <c r="F285" s="6"/>
      <c r="G285" s="6" t="s">
        <v>535</v>
      </c>
      <c r="H285" s="6">
        <f>3855164.52</f>
        <v>3855164.52</v>
      </c>
      <c r="I285" s="6" t="s">
        <v>258</v>
      </c>
      <c r="J285" s="6" t="s">
        <v>259</v>
      </c>
    </row>
    <row r="286" spans="1:10">
      <c r="A286" s="6"/>
      <c r="B286" s="6"/>
      <c r="C286" s="6"/>
      <c r="D286" s="6"/>
      <c r="E286" s="6"/>
      <c r="F286" s="6"/>
      <c r="G286" s="6" t="s">
        <v>536</v>
      </c>
      <c r="H286" s="6">
        <f>3855164.52</f>
        <v>3855164.52</v>
      </c>
      <c r="I286" s="6" t="s">
        <v>537</v>
      </c>
      <c r="J286" s="6" t="s">
        <v>538</v>
      </c>
    </row>
    <row r="287" spans="1:10">
      <c r="A287" s="6"/>
      <c r="B287" s="6"/>
      <c r="C287" s="6"/>
      <c r="D287" s="6"/>
      <c r="E287" s="6"/>
      <c r="F287" s="6"/>
      <c r="G287" s="6" t="s">
        <v>539</v>
      </c>
      <c r="H287" s="6">
        <f>H285-H286</f>
        <v>0</v>
      </c>
      <c r="I287" s="6"/>
      <c r="J287" s="6"/>
    </row>
    <row r="288" spans="1:10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>
      <c r="A289" s="6"/>
      <c r="B289" s="6"/>
      <c r="C289" s="6"/>
      <c r="D289" s="6"/>
      <c r="E289" s="6"/>
      <c r="F289" s="6"/>
      <c r="G289" s="6"/>
      <c r="H289" s="6">
        <f>D178</f>
        <v>3853714.5199999996</v>
      </c>
      <c r="I289" s="6"/>
      <c r="J289" s="6"/>
    </row>
    <row r="290" spans="1:10">
      <c r="A290" s="6"/>
      <c r="B290" s="6"/>
      <c r="C290" s="6"/>
      <c r="D290" s="6"/>
      <c r="E290" s="6"/>
      <c r="F290" s="6"/>
      <c r="G290" s="6"/>
      <c r="H290" s="6">
        <f>-D283</f>
        <v>-3853714.52</v>
      </c>
      <c r="I290" s="6"/>
      <c r="J290" s="6"/>
    </row>
    <row r="291" spans="1:10">
      <c r="A291" s="6"/>
      <c r="B291" s="6"/>
      <c r="C291" s="6"/>
      <c r="D291" s="6"/>
      <c r="E291" s="6"/>
      <c r="F291" s="6"/>
      <c r="G291" s="6"/>
      <c r="H291" s="6">
        <f>SUM(H289:H290)</f>
        <v>-4.6566128730773926E-10</v>
      </c>
      <c r="I291" s="6"/>
      <c r="J291" s="6"/>
    </row>
    <row r="292" spans="1:10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5">
      <c r="A305" s="28"/>
      <c r="B305" s="28"/>
      <c r="C305" s="5"/>
      <c r="D305" s="5"/>
      <c r="E305" s="5"/>
    </row>
    <row r="306" spans="1:5">
      <c r="A306" s="28"/>
      <c r="B306" s="28"/>
      <c r="C306" s="5"/>
      <c r="D306" s="5"/>
      <c r="E306" s="5"/>
    </row>
    <row r="307" spans="1:5">
      <c r="A307" s="28"/>
      <c r="B307" s="28"/>
      <c r="C307" s="5"/>
      <c r="D307" s="5"/>
      <c r="E307" s="5"/>
    </row>
    <row r="308" spans="1:5">
      <c r="A308" s="28"/>
      <c r="B308" s="28"/>
      <c r="C308" s="5"/>
      <c r="D308" s="5"/>
      <c r="E308" s="5"/>
    </row>
    <row r="309" spans="1:5">
      <c r="A309" s="28"/>
      <c r="B309" s="28"/>
      <c r="C309" s="5"/>
      <c r="D309" s="5"/>
      <c r="E309" s="5"/>
    </row>
    <row r="310" spans="1:5">
      <c r="A310" s="28"/>
      <c r="B310" s="28"/>
      <c r="C310" s="5"/>
      <c r="D310" s="5"/>
      <c r="E310" s="5"/>
    </row>
    <row r="311" spans="1:5">
      <c r="A311" s="28"/>
      <c r="B311" s="28"/>
      <c r="C311" s="5"/>
      <c r="D311" s="5"/>
      <c r="E311" s="5"/>
    </row>
    <row r="312" spans="1:5">
      <c r="A312" s="28"/>
      <c r="B312" s="28"/>
      <c r="C312" s="5"/>
      <c r="D312" s="5"/>
      <c r="E312" s="5"/>
    </row>
    <row r="313" spans="1:5">
      <c r="A313" s="28"/>
      <c r="B313" s="28"/>
      <c r="C313" s="5"/>
      <c r="D313" s="5"/>
      <c r="E313" s="5"/>
    </row>
    <row r="314" spans="1:5">
      <c r="A314" s="28"/>
      <c r="B314" s="28"/>
      <c r="C314" s="5"/>
      <c r="D314" s="5"/>
      <c r="E314" s="5"/>
    </row>
    <row r="315" spans="1:5">
      <c r="A315" s="28"/>
      <c r="B315" s="28"/>
      <c r="C315" s="5"/>
      <c r="D315" s="5"/>
      <c r="E315" s="5"/>
    </row>
    <row r="316" spans="1:5">
      <c r="A316" s="28"/>
      <c r="B316" s="28"/>
      <c r="C316" s="5"/>
      <c r="D316" s="5"/>
      <c r="E316" s="5"/>
    </row>
    <row r="317" spans="1:5">
      <c r="A317" s="28"/>
      <c r="B317" s="28"/>
      <c r="C317" s="5"/>
      <c r="D317" s="5"/>
      <c r="E317" s="5"/>
    </row>
  </sheetData>
  <phoneticPr fontId="0" type="noConversion"/>
  <pageMargins left="1" right="0.75" top="0.5" bottom="0.55000000000000004" header="0.5" footer="0.5"/>
  <pageSetup orientation="portrait" copies="0" r:id="rId1"/>
  <headerFooter alignWithMargins="0">
    <oddFooter>&amp;L^&amp;C&amp;P</oddFooter>
  </headerFooter>
  <rowBreaks count="2" manualBreakCount="2">
    <brk id="61" max="16383" man="1"/>
    <brk id="18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"/>
  <sheetViews>
    <sheetView defaultGridColor="0" colorId="22" zoomScale="87" workbookViewId="0">
      <selection activeCell="B2" sqref="B2"/>
    </sheetView>
  </sheetViews>
  <sheetFormatPr defaultColWidth="9.85546875" defaultRowHeight="10.199999999999999"/>
  <sheetData/>
  <phoneticPr fontId="0" type="noConversion"/>
  <pageMargins left="1" right="0.75" top="0.5" bottom="0.55000000000000004" header="0.5" footer="0.5"/>
  <pageSetup orientation="portrait" copies="0" r:id="rId1"/>
  <headerFooter alignWithMargins="0">
    <oddFooter>&amp;L^&amp;C&amp;P</oddFooter>
  </headerFooter>
  <colBreaks count="2" manualBreakCount="2">
    <brk id="11" max="1048575" man="1"/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A</vt:lpstr>
      <vt:lpstr>B</vt:lpstr>
      <vt:lpstr>ACCOUNT</vt:lpstr>
      <vt:lpstr>COMPANY</vt:lpstr>
      <vt:lpstr>EXPENSE</vt:lpstr>
      <vt:lpstr>EXTENSION</vt:lpstr>
      <vt:lpstr>MAIN</vt:lpstr>
      <vt:lpstr>MASK</vt:lpstr>
      <vt:lpstr>PERIOD</vt:lpstr>
      <vt:lpstr>PERIOD1</vt:lpstr>
      <vt:lpstr>A!Print_Area</vt:lpstr>
      <vt:lpstr>Print_Area</vt:lpstr>
      <vt:lpstr>PRINT_AREA_MI</vt:lpstr>
      <vt:lpstr>TYPE</vt:lpstr>
      <vt:lpstr>TYPE2</vt:lpstr>
      <vt:lpstr>YEAR</vt:lpstr>
    </vt:vector>
  </TitlesOfParts>
  <Company>JCI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gist</dc:creator>
  <cp:lastModifiedBy>Aniket Gupta</cp:lastModifiedBy>
  <dcterms:created xsi:type="dcterms:W3CDTF">2002-08-19T12:10:04Z</dcterms:created>
  <dcterms:modified xsi:type="dcterms:W3CDTF">2024-02-03T22:30:47Z</dcterms:modified>
</cp:coreProperties>
</file>