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84BF190A-C99E-4E75-914F-6F7C15CB6C92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G9" i="1"/>
  <c r="G42" i="1" s="1"/>
  <c r="I9" i="1"/>
  <c r="K9" i="1"/>
  <c r="E15" i="1"/>
  <c r="E42" i="1" s="1"/>
  <c r="E151" i="1" s="1"/>
  <c r="G15" i="1"/>
  <c r="I15" i="1"/>
  <c r="K15" i="1"/>
  <c r="E20" i="1"/>
  <c r="G20" i="1"/>
  <c r="I20" i="1"/>
  <c r="K20" i="1"/>
  <c r="E26" i="1"/>
  <c r="G26" i="1"/>
  <c r="I26" i="1"/>
  <c r="K26" i="1"/>
  <c r="E31" i="1"/>
  <c r="G31" i="1"/>
  <c r="I31" i="1"/>
  <c r="K31" i="1"/>
  <c r="E38" i="1"/>
  <c r="G38" i="1"/>
  <c r="I38" i="1"/>
  <c r="K38" i="1"/>
  <c r="I42" i="1"/>
  <c r="K42" i="1"/>
  <c r="E48" i="1"/>
  <c r="G48" i="1"/>
  <c r="I48" i="1"/>
  <c r="K48" i="1"/>
  <c r="E54" i="1"/>
  <c r="G54" i="1"/>
  <c r="I54" i="1"/>
  <c r="K54" i="1"/>
  <c r="K95" i="1" s="1"/>
  <c r="K151" i="1" s="1"/>
  <c r="E60" i="1"/>
  <c r="G60" i="1"/>
  <c r="I60" i="1"/>
  <c r="K60" i="1"/>
  <c r="E66" i="1"/>
  <c r="G66" i="1"/>
  <c r="I66" i="1"/>
  <c r="K66" i="1"/>
  <c r="E74" i="1"/>
  <c r="G74" i="1"/>
  <c r="I74" i="1"/>
  <c r="K74" i="1"/>
  <c r="E80" i="1"/>
  <c r="G80" i="1"/>
  <c r="I80" i="1"/>
  <c r="K80" i="1"/>
  <c r="E86" i="1"/>
  <c r="G86" i="1"/>
  <c r="I86" i="1"/>
  <c r="K86" i="1"/>
  <c r="E92" i="1"/>
  <c r="G92" i="1"/>
  <c r="I92" i="1"/>
  <c r="K92" i="1"/>
  <c r="E95" i="1"/>
  <c r="G95" i="1"/>
  <c r="I95" i="1"/>
  <c r="E104" i="1"/>
  <c r="G104" i="1"/>
  <c r="I104" i="1"/>
  <c r="K104" i="1"/>
  <c r="E110" i="1"/>
  <c r="E149" i="1" s="1"/>
  <c r="G110" i="1"/>
  <c r="G149" i="1" s="1"/>
  <c r="I110" i="1"/>
  <c r="K110" i="1"/>
  <c r="E116" i="1"/>
  <c r="G116" i="1"/>
  <c r="I116" i="1"/>
  <c r="K116" i="1"/>
  <c r="E123" i="1"/>
  <c r="G123" i="1"/>
  <c r="I123" i="1"/>
  <c r="K123" i="1"/>
  <c r="E133" i="1"/>
  <c r="G133" i="1"/>
  <c r="E234" i="1" s="1"/>
  <c r="I133" i="1"/>
  <c r="K133" i="1"/>
  <c r="E135" i="1"/>
  <c r="G135" i="1"/>
  <c r="I135" i="1"/>
  <c r="K135" i="1"/>
  <c r="E140" i="1"/>
  <c r="G140" i="1"/>
  <c r="I140" i="1"/>
  <c r="K140" i="1"/>
  <c r="E146" i="1"/>
  <c r="G146" i="1"/>
  <c r="I146" i="1"/>
  <c r="K146" i="1"/>
  <c r="K149" i="1"/>
  <c r="C210" i="1"/>
  <c r="G210" i="1"/>
  <c r="I210" i="1"/>
  <c r="C211" i="1"/>
  <c r="C216" i="1" s="1"/>
  <c r="C252" i="1" s="1"/>
  <c r="E211" i="1"/>
  <c r="G211" i="1"/>
  <c r="G216" i="1" s="1"/>
  <c r="G252" i="1" s="1"/>
  <c r="I211" i="1"/>
  <c r="C212" i="1"/>
  <c r="E212" i="1"/>
  <c r="G212" i="1"/>
  <c r="I212" i="1"/>
  <c r="C213" i="1"/>
  <c r="E213" i="1"/>
  <c r="G213" i="1"/>
  <c r="I213" i="1"/>
  <c r="C214" i="1"/>
  <c r="E214" i="1"/>
  <c r="G214" i="1"/>
  <c r="I214" i="1"/>
  <c r="C215" i="1"/>
  <c r="E215" i="1"/>
  <c r="G215" i="1"/>
  <c r="I215" i="1"/>
  <c r="I216" i="1"/>
  <c r="I252" i="1" s="1"/>
  <c r="C219" i="1"/>
  <c r="E219" i="1"/>
  <c r="G219" i="1"/>
  <c r="I219" i="1"/>
  <c r="C220" i="1"/>
  <c r="E220" i="1"/>
  <c r="G220" i="1"/>
  <c r="I220" i="1"/>
  <c r="I227" i="1" s="1"/>
  <c r="I253" i="1" s="1"/>
  <c r="C221" i="1"/>
  <c r="E221" i="1"/>
  <c r="G221" i="1"/>
  <c r="I221" i="1"/>
  <c r="C222" i="1"/>
  <c r="E222" i="1"/>
  <c r="G222" i="1"/>
  <c r="I222" i="1"/>
  <c r="C223" i="1"/>
  <c r="E223" i="1"/>
  <c r="G223" i="1"/>
  <c r="G227" i="1" s="1"/>
  <c r="G253" i="1" s="1"/>
  <c r="I223" i="1"/>
  <c r="C224" i="1"/>
  <c r="E224" i="1"/>
  <c r="G224" i="1"/>
  <c r="I224" i="1"/>
  <c r="C225" i="1"/>
  <c r="E225" i="1"/>
  <c r="G225" i="1"/>
  <c r="I225" i="1"/>
  <c r="C226" i="1"/>
  <c r="E226" i="1"/>
  <c r="G226" i="1"/>
  <c r="I226" i="1"/>
  <c r="C227" i="1"/>
  <c r="C253" i="1" s="1"/>
  <c r="E227" i="1"/>
  <c r="E253" i="1" s="1"/>
  <c r="C230" i="1"/>
  <c r="E230" i="1"/>
  <c r="G230" i="1"/>
  <c r="I230" i="1"/>
  <c r="C231" i="1"/>
  <c r="C238" i="1" s="1"/>
  <c r="C254" i="1" s="1"/>
  <c r="E231" i="1"/>
  <c r="E238" i="1" s="1"/>
  <c r="E254" i="1" s="1"/>
  <c r="G231" i="1"/>
  <c r="G238" i="1" s="1"/>
  <c r="G254" i="1" s="1"/>
  <c r="I231" i="1"/>
  <c r="C232" i="1"/>
  <c r="E232" i="1"/>
  <c r="G232" i="1"/>
  <c r="I232" i="1"/>
  <c r="C233" i="1"/>
  <c r="E233" i="1"/>
  <c r="G233" i="1"/>
  <c r="I233" i="1"/>
  <c r="C234" i="1"/>
  <c r="G234" i="1"/>
  <c r="I234" i="1"/>
  <c r="C235" i="1"/>
  <c r="E235" i="1"/>
  <c r="G235" i="1"/>
  <c r="I235" i="1"/>
  <c r="C236" i="1"/>
  <c r="E236" i="1"/>
  <c r="G236" i="1"/>
  <c r="I236" i="1"/>
  <c r="C237" i="1"/>
  <c r="E237" i="1"/>
  <c r="G237" i="1"/>
  <c r="I237" i="1"/>
  <c r="I238" i="1"/>
  <c r="I254" i="1" s="1"/>
  <c r="E257" i="1"/>
  <c r="G257" i="1"/>
  <c r="I257" i="1"/>
  <c r="E258" i="1"/>
  <c r="G258" i="1"/>
  <c r="I258" i="1"/>
  <c r="E259" i="1"/>
  <c r="I255" i="1" l="1"/>
  <c r="G255" i="1"/>
  <c r="C255" i="1"/>
  <c r="I149" i="1"/>
  <c r="G151" i="1"/>
  <c r="I151" i="1" s="1"/>
  <c r="E210" i="1"/>
  <c r="E216" i="1" s="1"/>
  <c r="E252" i="1" s="1"/>
  <c r="E255" i="1" s="1"/>
  <c r="E262" i="1" l="1"/>
  <c r="E266" i="1"/>
  <c r="E264" i="1"/>
  <c r="C262" i="1"/>
  <c r="C266" i="1"/>
  <c r="C264" i="1"/>
  <c r="G266" i="1"/>
  <c r="G262" i="1"/>
  <c r="G264" i="1"/>
  <c r="I266" i="1"/>
  <c r="I262" i="1"/>
  <c r="I264" i="1"/>
</calcChain>
</file>

<file path=xl/sharedStrings.xml><?xml version="1.0" encoding="utf-8"?>
<sst xmlns="http://schemas.openxmlformats.org/spreadsheetml/2006/main" count="233" uniqueCount="131">
  <si>
    <t>Benefit</t>
  </si>
  <si>
    <t>Data</t>
  </si>
  <si>
    <t>Avg. Savings</t>
  </si>
  <si>
    <t>Reduce Inventory Float Dollars</t>
  </si>
  <si>
    <t>Receiving Application:</t>
  </si>
  <si>
    <t xml:space="preserve">  # of Annualized Purchases</t>
  </si>
  <si>
    <t xml:space="preserve">  Avg. # of Receivers/Hr.</t>
  </si>
  <si>
    <t xml:space="preserve">  # of Hrs./Yr.</t>
  </si>
  <si>
    <t xml:space="preserve">  # of Clerks</t>
  </si>
  <si>
    <t>Reduce Keypunch and Verification Process</t>
  </si>
  <si>
    <t xml:space="preserve">  # of Hrs./Yr. Req'd for Manual Filing</t>
  </si>
  <si>
    <t xml:space="preserve">  Rec. Clerk Rate/Hr. - Burdened</t>
  </si>
  <si>
    <t>Putaway/Picking/Shipping Application</t>
  </si>
  <si>
    <t xml:space="preserve">  Annual Sales</t>
  </si>
  <si>
    <t xml:space="preserve">  # of Putaway Personnel</t>
  </si>
  <si>
    <t xml:space="preserve">  Picker's Rate/Hr. - Burdened</t>
  </si>
  <si>
    <t xml:space="preserve">  # of Picking Personnel</t>
  </si>
  <si>
    <t xml:space="preserve">  # of Shipping Personnel</t>
  </si>
  <si>
    <t xml:space="preserve">  Shipper's Rate/Hr. - Burdened</t>
  </si>
  <si>
    <t>Warehouse Application</t>
  </si>
  <si>
    <t xml:space="preserve">  # of Lift Truck Drivers</t>
  </si>
  <si>
    <t xml:space="preserve">  Driver's Rate/Hr. - Burdened</t>
  </si>
  <si>
    <t xml:space="preserve">  Range of Savings = 16-25%</t>
  </si>
  <si>
    <t xml:space="preserve">  Avg. Annual Maintenance Cost/Lift Truck</t>
  </si>
  <si>
    <t xml:space="preserve">  # of Lift Trucks</t>
  </si>
  <si>
    <t xml:space="preserve">  Avg. Annual Fuel Cost/Lift Truck</t>
  </si>
  <si>
    <t xml:space="preserve">  Range of Savings = 16-44%</t>
  </si>
  <si>
    <t>Eliminate Taking Physical Inventory</t>
  </si>
  <si>
    <t xml:space="preserve">  # of People Req'd to take Physical Inventory</t>
  </si>
  <si>
    <t xml:space="preserve">  # of Hrs./Yr. Req'd for EACH person involved</t>
  </si>
  <si>
    <t xml:space="preserve">  Phys. Inv. Person's Rate/Hr. - Burdened</t>
  </si>
  <si>
    <t xml:space="preserve">  Method 2 - Reduce Carrying Cost</t>
  </si>
  <si>
    <t xml:space="preserve">    Mean Warehouse Inventory Value</t>
  </si>
  <si>
    <t xml:space="preserve">    Range of Savings = 4-6%</t>
  </si>
  <si>
    <t xml:space="preserve">    Range of Savings = 18-25%</t>
  </si>
  <si>
    <t xml:space="preserve">    Average Profit/Turn (dollars)</t>
  </si>
  <si>
    <t xml:space="preserve">    # of Current Turns/Yr.</t>
  </si>
  <si>
    <t xml:space="preserve">  # of Keypunch/Verification Clerks</t>
  </si>
  <si>
    <t xml:space="preserve">  # of Hrs./Yr. For Each Clerk to Enter/Verify Data</t>
  </si>
  <si>
    <t xml:space="preserve">  Clerk's Rate/Hr. - Burdened</t>
  </si>
  <si>
    <t xml:space="preserve">  # of Documents Generated/Month</t>
  </si>
  <si>
    <t xml:space="preserve">  # of Months/Yr.</t>
  </si>
  <si>
    <t xml:space="preserve">  Range of Savings = $0.25/page (estimated)</t>
  </si>
  <si>
    <t>TOTAL SAVINGS</t>
  </si>
  <si>
    <t xml:space="preserve">  Range of Savings = up to 100%</t>
  </si>
  <si>
    <t xml:space="preserve">  # physical inventories/Yr.</t>
  </si>
  <si>
    <t>SUBTOTAL - RECEIVING SAVINGS</t>
  </si>
  <si>
    <t>SUBTOTAL - WAREHOUSE SAVINGS</t>
  </si>
  <si>
    <t>SUBTOTAL - PUTAWAY/PICK/SHIP SAVINGS</t>
  </si>
  <si>
    <t>Your Savings</t>
  </si>
  <si>
    <t>Reduce Clerical Effort</t>
  </si>
  <si>
    <t xml:space="preserve">  # Days/Year</t>
  </si>
  <si>
    <t xml:space="preserve">  Keypunch Clerk's Rate/Hr. - Burdened</t>
  </si>
  <si>
    <t xml:space="preserve">  Current Rate of Interest</t>
  </si>
  <si>
    <t xml:space="preserve">  Method 1 - One-Time Inventory Reduction</t>
  </si>
  <si>
    <t xml:space="preserve">  Method 3 - Increased Turns/Profit</t>
  </si>
  <si>
    <t xml:space="preserve">    Range of Savings (Increased Turns) = Variable </t>
  </si>
  <si>
    <t>Receiving Application</t>
  </si>
  <si>
    <t xml:space="preserve">      Real-time visibility of goods/materials received can eliminate "stock-out" situations for order picking or "dead time" in manufacturing.</t>
  </si>
  <si>
    <t xml:space="preserve">      Faster through-put yields reduced floor-space requirements.</t>
  </si>
  <si>
    <t xml:space="preserve">      Gain tighter purchasing procedures through more timely visibility of vendors (early, late, partials, etc.)</t>
  </si>
  <si>
    <t xml:space="preserve">      RF is a critical link in "Just in Time" manufacturing environments. Receiving to Manufacturing work as data becomes available.</t>
  </si>
  <si>
    <t xml:space="preserve">      Facilitate automatic cross-docking for critical deliveries.</t>
  </si>
  <si>
    <t xml:space="preserve">      Enhance Customer Satisfaction.</t>
  </si>
  <si>
    <t xml:space="preserve">      Eliminate "out of stock" situations.</t>
  </si>
  <si>
    <t xml:space="preserve">      Automate outbound order verification.</t>
  </si>
  <si>
    <t xml:space="preserve">      Improve customer service and satisfaction.</t>
  </si>
  <si>
    <t xml:space="preserve">      Cycle count routines will be more accurate and less time-consuming.</t>
  </si>
  <si>
    <t xml:space="preserve">      Improved customer service results from accurate real-time data and streamlined operations.</t>
  </si>
  <si>
    <t xml:space="preserve">      Job-enrichment for users adds to their sense of value in improving operations.</t>
  </si>
  <si>
    <t xml:space="preserve">surveys, focused on the identified "intangible" areas.  </t>
  </si>
  <si>
    <t>Min. Savings</t>
  </si>
  <si>
    <t>Max. Savings</t>
  </si>
  <si>
    <t>Reduce Paperwork</t>
  </si>
  <si>
    <t>Improve Receiver Productivity</t>
  </si>
  <si>
    <t>Improve "Days Outstanding (DOS)"</t>
  </si>
  <si>
    <t>Improve Putaway Productivity</t>
  </si>
  <si>
    <t>Improve Picking Productivity</t>
  </si>
  <si>
    <t>Improve Shipping Productivity</t>
  </si>
  <si>
    <t>Improve Lift Truck Productivity</t>
  </si>
  <si>
    <t xml:space="preserve">Reduce Lift Truck Maintenance Cost </t>
  </si>
  <si>
    <t>Reduce Inventory Costs</t>
  </si>
  <si>
    <t>Reduce Lift Truck Maintenance Cost</t>
  </si>
  <si>
    <t>SUMMARY OF INTANGIBLE BENEFITS</t>
  </si>
  <si>
    <t>Annual Savings</t>
  </si>
  <si>
    <r>
      <t xml:space="preserve">SUMMARY OF </t>
    </r>
    <r>
      <rPr>
        <b/>
        <i/>
        <sz val="12"/>
        <rFont val="Arial"/>
        <family val="2"/>
      </rPr>
      <t>ANNUAL</t>
    </r>
    <r>
      <rPr>
        <b/>
        <sz val="12"/>
        <rFont val="Arial"/>
        <family val="2"/>
      </rPr>
      <t xml:space="preserve"> SAVINGS</t>
    </r>
  </si>
  <si>
    <r>
      <t>SUMMARY OF ALL</t>
    </r>
    <r>
      <rPr>
        <b/>
        <i/>
        <sz val="12"/>
        <rFont val="Arial"/>
        <family val="2"/>
      </rPr>
      <t xml:space="preserve"> RETURN-ON-INVESTMENT</t>
    </r>
    <r>
      <rPr>
        <b/>
        <sz val="12"/>
        <rFont val="Arial"/>
        <family val="2"/>
      </rPr>
      <t xml:space="preserve"> ANALYSIS</t>
    </r>
  </si>
  <si>
    <t>Subtotal - Receiving Application Savings</t>
  </si>
  <si>
    <t>Subtotal - Putaway/Picking/Shipping Savings</t>
  </si>
  <si>
    <t>Subtotal - Warehouse Savings</t>
  </si>
  <si>
    <t>TOTAL ANNUAL SAVINGS (A)</t>
  </si>
  <si>
    <t>Capital Investment on Hardware (B)</t>
  </si>
  <si>
    <t>Capital Investment on Software (C)</t>
  </si>
  <si>
    <t>Depreciation in Years (D)</t>
  </si>
  <si>
    <t>Analysis Based On:</t>
  </si>
  <si>
    <r>
      <t xml:space="preserve">Projected </t>
    </r>
    <r>
      <rPr>
        <b/>
        <i/>
        <sz val="10"/>
        <rFont val="Arial"/>
        <family val="2"/>
      </rPr>
      <t>Monthly</t>
    </r>
    <r>
      <rPr>
        <b/>
        <sz val="10"/>
        <rFont val="Arial"/>
        <family val="2"/>
      </rPr>
      <t xml:space="preserve"> Cash Generation = A/12</t>
    </r>
  </si>
  <si>
    <t xml:space="preserve">  1.  Payback Period = [(B+C)/A]x12 (# of months)</t>
  </si>
  <si>
    <t xml:space="preserve">  2.  Return-On-Investment = (AxD)/(B+C)</t>
  </si>
  <si>
    <t xml:space="preserve">      Increase inventory accuracy (verify quantity, site, location of putaways and picks).</t>
  </si>
  <si>
    <t xml:space="preserve">These "intangible" benefits are often hard to quantify, but their effect can nonetheless have huge impact on your business process and </t>
  </si>
  <si>
    <t>your overall profitability.  As such, a list of potential intangible benefits for your company should be compiled, then monitored before</t>
  </si>
  <si>
    <t xml:space="preserve"> and after implementation of your new Auto ID solution.  This may include, among other metrics, customer and employee satisfaction </t>
  </si>
  <si>
    <t xml:space="preserve">  Putaway Person's Rate/Hr. - Burdened</t>
  </si>
  <si>
    <t xml:space="preserve">   Range of Savings = 2.1-4.0 Days</t>
  </si>
  <si>
    <t xml:space="preserve">  Range of Savings =2.1-4.0 Days</t>
  </si>
  <si>
    <t xml:space="preserve">  Range of Savings = up to 100% </t>
  </si>
  <si>
    <t>Provided by Peak Technologies</t>
  </si>
  <si>
    <t>Reduce Missing Inventory Research Process</t>
  </si>
  <si>
    <t xml:space="preserve">  # of Employees Researching</t>
  </si>
  <si>
    <t xml:space="preserve">      Improve Picking Efficiency</t>
  </si>
  <si>
    <t xml:space="preserve">      Automate data entry process for deliveries.</t>
  </si>
  <si>
    <t xml:space="preserve">      Provide more accurate and timely inventory information.</t>
  </si>
  <si>
    <t xml:space="preserve">     </t>
  </si>
  <si>
    <t xml:space="preserve">      On-line visibility permits "hot" picking capability to fill Overnight Shipments..</t>
  </si>
  <si>
    <t>Improve "Days Outstanding (DOS)" - BILLING</t>
  </si>
  <si>
    <t># of Keypunch/Verification Clerks</t>
  </si>
  <si>
    <t># of Hrs./Yr. For each Clerk to Enter/Verify Data</t>
  </si>
  <si>
    <t>Keypunch Clerk's Rate/Hr. - Burden</t>
  </si>
  <si>
    <t>Range of Savings = up to 100%</t>
  </si>
  <si>
    <t>Improve Consolidation Productivity</t>
  </si>
  <si>
    <t xml:space="preserve">  # of  Personnel</t>
  </si>
  <si>
    <t xml:space="preserve">   Rate/Hr. - Burdened</t>
  </si>
  <si>
    <t>Improve Bin To Bin Productivity</t>
  </si>
  <si>
    <t>Improve Issue to Production Productivity</t>
  </si>
  <si>
    <t>Improve Inquery Process</t>
  </si>
  <si>
    <t># of personnell</t>
  </si>
  <si>
    <t xml:space="preserve">  Material Handler Rate/Hr. - Burdened</t>
  </si>
  <si>
    <t xml:space="preserve"> </t>
  </si>
  <si>
    <t>Reduce Carrying Costs</t>
  </si>
  <si>
    <t>Increased Turns / Profit</t>
  </si>
  <si>
    <t>WIM Return On Investment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</si>
</sst>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"/>
    <numFmt numFmtId="165" formatCode="&quot;$&quot;#,##0.00"/>
    <numFmt numFmtId="166" formatCode="0.0"/>
    <numFmt numFmtId="167" formatCode="0.0%"/>
  </numFmts>
  <fonts count="3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i/>
      <sz val="10"/>
      <color indexed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  <font>
      <i/>
      <sz val="10"/>
      <color indexed="57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57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2"/>
      <color indexed="12"/>
      <name val="Arial"/>
      <family val="2"/>
    </font>
    <font>
      <sz val="10"/>
      <color indexed="11"/>
      <name val="Arial"/>
      <family val="2"/>
    </font>
    <font>
      <sz val="10"/>
      <color indexed="20"/>
      <name val="Arial"/>
      <family val="2"/>
    </font>
    <font>
      <b/>
      <u/>
      <sz val="10"/>
      <name val="Arial"/>
      <family val="2"/>
    </font>
    <font>
      <b/>
      <sz val="12"/>
      <color indexed="9"/>
      <name val="Arial"/>
      <family val="2"/>
    </font>
    <font>
      <i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sz val="11"/>
      <color indexed="9"/>
      <name val="Arial"/>
      <family val="2"/>
    </font>
    <font>
      <sz val="10"/>
      <color indexed="17"/>
      <name val="Arial"/>
      <family val="2"/>
    </font>
    <font>
      <i/>
      <sz val="10"/>
      <color indexed="17"/>
      <name val="Arial"/>
      <family val="2"/>
    </font>
    <font>
      <b/>
      <sz val="12"/>
      <color indexed="17"/>
      <name val="Arial"/>
      <family val="2"/>
    </font>
    <font>
      <i/>
      <sz val="10"/>
      <color indexed="20"/>
      <name val="Arial"/>
      <family val="2"/>
    </font>
    <font>
      <b/>
      <i/>
      <sz val="12"/>
      <name val="Arial"/>
      <family val="2"/>
    </font>
    <font>
      <u/>
      <sz val="10"/>
      <color indexed="10"/>
      <name val="Arial"/>
      <family val="2"/>
    </font>
    <font>
      <u/>
      <sz val="10"/>
      <color indexed="57"/>
      <name val="Arial"/>
      <family val="2"/>
    </font>
    <font>
      <u/>
      <sz val="10"/>
      <color indexed="20"/>
      <name val="Arial"/>
      <family val="2"/>
    </font>
    <font>
      <b/>
      <sz val="12"/>
      <color indexed="20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darkGrid"/>
    </fill>
    <fill>
      <patternFill patternType="darkGrid">
        <bgColor indexed="8"/>
      </patternFill>
    </fill>
  </fills>
  <borders count="32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3" fillId="0" borderId="0" xfId="0" applyFon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1" xfId="0" applyFont="1" applyBorder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/>
    <xf numFmtId="0" fontId="1" fillId="0" borderId="1" xfId="0" applyFont="1" applyBorder="1"/>
    <xf numFmtId="164" fontId="0" fillId="2" borderId="2" xfId="0" applyNumberFormat="1" applyFill="1" applyBorder="1"/>
    <xf numFmtId="0" fontId="3" fillId="0" borderId="6" xfId="0" applyFont="1" applyBorder="1"/>
    <xf numFmtId="0" fontId="0" fillId="2" borderId="7" xfId="0" applyFill="1" applyBorder="1"/>
    <xf numFmtId="0" fontId="3" fillId="0" borderId="8" xfId="0" applyFont="1" applyBorder="1"/>
    <xf numFmtId="0" fontId="3" fillId="2" borderId="8" xfId="0" applyFont="1" applyFill="1" applyBorder="1"/>
    <xf numFmtId="0" fontId="1" fillId="2" borderId="9" xfId="0" applyFont="1" applyFill="1" applyBorder="1"/>
    <xf numFmtId="164" fontId="3" fillId="2" borderId="8" xfId="0" applyNumberFormat="1" applyFont="1" applyFill="1" applyBorder="1"/>
    <xf numFmtId="164" fontId="6" fillId="0" borderId="8" xfId="0" applyNumberFormat="1" applyFont="1" applyBorder="1"/>
    <xf numFmtId="164" fontId="11" fillId="0" borderId="9" xfId="0" applyNumberFormat="1" applyFont="1" applyBorder="1"/>
    <xf numFmtId="164" fontId="2" fillId="2" borderId="9" xfId="0" applyNumberFormat="1" applyFont="1" applyFill="1" applyBorder="1"/>
    <xf numFmtId="164" fontId="12" fillId="0" borderId="9" xfId="0" applyNumberFormat="1" applyFont="1" applyBorder="1"/>
    <xf numFmtId="0" fontId="5" fillId="0" borderId="2" xfId="0" applyFont="1" applyBorder="1"/>
    <xf numFmtId="0" fontId="0" fillId="2" borderId="0" xfId="0" applyFill="1"/>
    <xf numFmtId="0" fontId="3" fillId="0" borderId="0" xfId="0" applyFont="1" applyBorder="1"/>
    <xf numFmtId="0" fontId="0" fillId="2" borderId="10" xfId="0" applyFill="1" applyBorder="1" applyAlignment="1">
      <alignment horizontal="center"/>
    </xf>
    <xf numFmtId="0" fontId="2" fillId="2" borderId="0" xfId="0" applyFont="1" applyFill="1" applyBorder="1"/>
    <xf numFmtId="0" fontId="8" fillId="2" borderId="0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3" fillId="2" borderId="11" xfId="0" applyFont="1" applyFill="1" applyBorder="1"/>
    <xf numFmtId="0" fontId="6" fillId="2" borderId="12" xfId="0" applyFont="1" applyFill="1" applyBorder="1"/>
    <xf numFmtId="0" fontId="3" fillId="2" borderId="13" xfId="0" applyFont="1" applyFill="1" applyBorder="1"/>
    <xf numFmtId="0" fontId="0" fillId="2" borderId="14" xfId="0" applyFill="1" applyBorder="1"/>
    <xf numFmtId="0" fontId="0" fillId="2" borderId="13" xfId="0" applyFill="1" applyBorder="1"/>
    <xf numFmtId="164" fontId="9" fillId="0" borderId="2" xfId="0" applyNumberFormat="1" applyFont="1" applyBorder="1"/>
    <xf numFmtId="0" fontId="9" fillId="0" borderId="0" xfId="0" applyFont="1"/>
    <xf numFmtId="0" fontId="3" fillId="0" borderId="2" xfId="0" applyFont="1" applyBorder="1"/>
    <xf numFmtId="3" fontId="3" fillId="0" borderId="2" xfId="0" applyNumberFormat="1" applyFont="1" applyBorder="1"/>
    <xf numFmtId="165" fontId="3" fillId="0" borderId="2" xfId="0" applyNumberFormat="1" applyFont="1" applyBorder="1"/>
    <xf numFmtId="164" fontId="3" fillId="0" borderId="2" xfId="0" applyNumberFormat="1" applyFont="1" applyBorder="1"/>
    <xf numFmtId="10" fontId="3" fillId="0" borderId="2" xfId="0" applyNumberFormat="1" applyFont="1" applyBorder="1"/>
    <xf numFmtId="0" fontId="14" fillId="0" borderId="9" xfId="0" applyFont="1" applyBorder="1"/>
    <xf numFmtId="0" fontId="13" fillId="0" borderId="0" xfId="0" applyFont="1"/>
    <xf numFmtId="164" fontId="15" fillId="0" borderId="0" xfId="0" applyNumberFormat="1" applyFont="1"/>
    <xf numFmtId="164" fontId="5" fillId="0" borderId="2" xfId="0" applyNumberFormat="1" applyFont="1" applyBorder="1"/>
    <xf numFmtId="0" fontId="5" fillId="0" borderId="0" xfId="0" applyFont="1"/>
    <xf numFmtId="0" fontId="17" fillId="0" borderId="0" xfId="0" applyFont="1"/>
    <xf numFmtId="0" fontId="18" fillId="0" borderId="1" xfId="0" applyFont="1" applyBorder="1"/>
    <xf numFmtId="0" fontId="19" fillId="2" borderId="1" xfId="0" applyFont="1" applyFill="1" applyBorder="1"/>
    <xf numFmtId="0" fontId="19" fillId="2" borderId="15" xfId="0" applyFont="1" applyFill="1" applyBorder="1"/>
    <xf numFmtId="0" fontId="20" fillId="3" borderId="16" xfId="0" applyFont="1" applyFill="1" applyBorder="1"/>
    <xf numFmtId="0" fontId="22" fillId="0" borderId="1" xfId="0" applyFont="1" applyBorder="1"/>
    <xf numFmtId="0" fontId="0" fillId="2" borderId="17" xfId="0" applyFill="1" applyBorder="1"/>
    <xf numFmtId="0" fontId="17" fillId="0" borderId="0" xfId="0" applyFont="1" applyBorder="1"/>
    <xf numFmtId="164" fontId="16" fillId="0" borderId="18" xfId="0" applyNumberFormat="1" applyFont="1" applyBorder="1"/>
    <xf numFmtId="164" fontId="17" fillId="0" borderId="0" xfId="0" applyNumberFormat="1" applyFont="1" applyBorder="1"/>
    <xf numFmtId="166" fontId="3" fillId="0" borderId="2" xfId="0" applyNumberFormat="1" applyFont="1" applyBorder="1"/>
    <xf numFmtId="9" fontId="3" fillId="0" borderId="2" xfId="0" applyNumberFormat="1" applyFont="1" applyBorder="1"/>
    <xf numFmtId="9" fontId="3" fillId="0" borderId="7" xfId="0" applyNumberFormat="1" applyFont="1" applyBorder="1"/>
    <xf numFmtId="0" fontId="6" fillId="0" borderId="0" xfId="0" applyFont="1" applyFill="1" applyBorder="1"/>
    <xf numFmtId="0" fontId="0" fillId="0" borderId="0" xfId="0" applyFill="1" applyBorder="1"/>
    <xf numFmtId="164" fontId="17" fillId="0" borderId="0" xfId="0" applyNumberFormat="1" applyFont="1" applyFill="1" applyBorder="1"/>
    <xf numFmtId="0" fontId="21" fillId="0" borderId="0" xfId="0" applyFont="1" applyFill="1" applyBorder="1"/>
    <xf numFmtId="0" fontId="3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164" fontId="4" fillId="0" borderId="0" xfId="0" applyNumberFormat="1" applyFont="1" applyFill="1" applyBorder="1"/>
    <xf numFmtId="0" fontId="6" fillId="2" borderId="17" xfId="0" applyFont="1" applyFill="1" applyBorder="1"/>
    <xf numFmtId="0" fontId="3" fillId="0" borderId="19" xfId="0" applyFont="1" applyBorder="1"/>
    <xf numFmtId="0" fontId="5" fillId="2" borderId="19" xfId="0" applyFont="1" applyFill="1" applyBorder="1"/>
    <xf numFmtId="164" fontId="6" fillId="0" borderId="19" xfId="0" applyNumberFormat="1" applyFont="1" applyBorder="1"/>
    <xf numFmtId="164" fontId="4" fillId="2" borderId="19" xfId="0" applyNumberFormat="1" applyFont="1" applyFill="1" applyBorder="1"/>
    <xf numFmtId="164" fontId="4" fillId="0" borderId="19" xfId="0" applyNumberFormat="1" applyFont="1" applyBorder="1"/>
    <xf numFmtId="0" fontId="19" fillId="2" borderId="20" xfId="0" applyFont="1" applyFill="1" applyBorder="1"/>
    <xf numFmtId="0" fontId="2" fillId="2" borderId="14" xfId="0" applyFont="1" applyFill="1" applyBorder="1"/>
    <xf numFmtId="167" fontId="3" fillId="0" borderId="2" xfId="0" applyNumberFormat="1" applyFont="1" applyBorder="1"/>
    <xf numFmtId="164" fontId="0" fillId="2" borderId="0" xfId="0" applyNumberFormat="1" applyFill="1" applyBorder="1"/>
    <xf numFmtId="164" fontId="17" fillId="0" borderId="0" xfId="0" applyNumberFormat="1" applyFont="1"/>
    <xf numFmtId="164" fontId="16" fillId="0" borderId="0" xfId="0" applyNumberFormat="1" applyFont="1"/>
    <xf numFmtId="164" fontId="0" fillId="0" borderId="0" xfId="0" applyNumberFormat="1"/>
    <xf numFmtId="164" fontId="17" fillId="0" borderId="13" xfId="0" applyNumberFormat="1" applyFont="1" applyBorder="1"/>
    <xf numFmtId="0" fontId="20" fillId="0" borderId="0" xfId="0" applyFont="1" applyFill="1" applyBorder="1"/>
    <xf numFmtId="164" fontId="9" fillId="0" borderId="0" xfId="0" applyNumberFormat="1" applyFont="1" applyFill="1" applyBorder="1"/>
    <xf numFmtId="164" fontId="0" fillId="0" borderId="0" xfId="0" applyNumberFormat="1" applyFill="1" applyBorder="1"/>
    <xf numFmtId="164" fontId="5" fillId="0" borderId="0" xfId="0" applyNumberFormat="1" applyFont="1" applyFill="1" applyBorder="1"/>
    <xf numFmtId="0" fontId="0" fillId="2" borderId="19" xfId="0" applyFill="1" applyBorder="1"/>
    <xf numFmtId="0" fontId="0" fillId="2" borderId="10" xfId="0" applyFill="1" applyBorder="1"/>
    <xf numFmtId="10" fontId="3" fillId="0" borderId="0" xfId="0" applyNumberFormat="1" applyFont="1" applyBorder="1"/>
    <xf numFmtId="0" fontId="1" fillId="2" borderId="0" xfId="0" applyFont="1" applyFill="1" applyBorder="1"/>
    <xf numFmtId="0" fontId="11" fillId="2" borderId="21" xfId="0" applyFont="1" applyFill="1" applyBorder="1"/>
    <xf numFmtId="0" fontId="0" fillId="0" borderId="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1" xfId="0" applyFill="1" applyBorder="1"/>
    <xf numFmtId="0" fontId="17" fillId="0" borderId="10" xfId="0" applyFont="1" applyBorder="1" applyAlignment="1">
      <alignment horizontal="center"/>
    </xf>
    <xf numFmtId="0" fontId="19" fillId="2" borderId="0" xfId="0" applyFont="1" applyFill="1"/>
    <xf numFmtId="0" fontId="19" fillId="0" borderId="0" xfId="0" applyFont="1" applyFill="1"/>
    <xf numFmtId="0" fontId="9" fillId="2" borderId="0" xfId="0" applyFont="1" applyFill="1"/>
    <xf numFmtId="0" fontId="5" fillId="2" borderId="0" xfId="0" applyFont="1" applyFill="1"/>
    <xf numFmtId="164" fontId="16" fillId="2" borderId="0" xfId="0" applyNumberFormat="1" applyFont="1" applyFill="1"/>
    <xf numFmtId="164" fontId="17" fillId="2" borderId="0" xfId="0" applyNumberFormat="1" applyFont="1" applyFill="1"/>
    <xf numFmtId="0" fontId="23" fillId="2" borderId="0" xfId="0" applyFont="1" applyFill="1"/>
    <xf numFmtId="164" fontId="0" fillId="2" borderId="0" xfId="0" applyNumberFormat="1" applyFill="1"/>
    <xf numFmtId="0" fontId="5" fillId="0" borderId="0" xfId="0" applyFont="1" applyAlignment="1">
      <alignment horizontal="centerContinuous"/>
    </xf>
    <xf numFmtId="164" fontId="0" fillId="0" borderId="0" xfId="0" applyNumberFormat="1" applyBorder="1"/>
    <xf numFmtId="164" fontId="0" fillId="0" borderId="11" xfId="0" applyNumberFormat="1" applyBorder="1"/>
    <xf numFmtId="0" fontId="0" fillId="0" borderId="22" xfId="0" applyBorder="1"/>
    <xf numFmtId="164" fontId="5" fillId="0" borderId="13" xfId="0" applyNumberFormat="1" applyFont="1" applyBorder="1"/>
    <xf numFmtId="164" fontId="13" fillId="0" borderId="0" xfId="0" applyNumberFormat="1" applyFont="1" applyBorder="1"/>
    <xf numFmtId="164" fontId="13" fillId="0" borderId="11" xfId="0" applyNumberFormat="1" applyFont="1" applyBorder="1"/>
    <xf numFmtId="164" fontId="9" fillId="0" borderId="13" xfId="0" applyNumberFormat="1" applyFont="1" applyBorder="1"/>
    <xf numFmtId="0" fontId="0" fillId="4" borderId="0" xfId="0" applyFill="1"/>
    <xf numFmtId="0" fontId="5" fillId="4" borderId="0" xfId="0" applyFont="1" applyFill="1"/>
    <xf numFmtId="0" fontId="0" fillId="5" borderId="0" xfId="0" applyFill="1"/>
    <xf numFmtId="0" fontId="0" fillId="4" borderId="20" xfId="0" applyFill="1" applyBorder="1"/>
    <xf numFmtId="164" fontId="13" fillId="0" borderId="0" xfId="0" applyNumberFormat="1" applyFont="1"/>
    <xf numFmtId="0" fontId="9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164" fontId="24" fillId="0" borderId="2" xfId="0" applyNumberFormat="1" applyFont="1" applyBorder="1"/>
    <xf numFmtId="164" fontId="24" fillId="0" borderId="18" xfId="0" applyNumberFormat="1" applyFont="1" applyBorder="1"/>
    <xf numFmtId="164" fontId="25" fillId="0" borderId="23" xfId="0" applyNumberFormat="1" applyFont="1" applyBorder="1"/>
    <xf numFmtId="164" fontId="26" fillId="0" borderId="24" xfId="0" applyNumberFormat="1" applyFont="1" applyBorder="1"/>
    <xf numFmtId="0" fontId="24" fillId="0" borderId="2" xfId="0" applyFont="1" applyBorder="1"/>
    <xf numFmtId="164" fontId="25" fillId="0" borderId="19" xfId="0" applyNumberFormat="1" applyFont="1" applyBorder="1"/>
    <xf numFmtId="164" fontId="25" fillId="0" borderId="0" xfId="0" applyNumberFormat="1" applyFont="1" applyFill="1" applyBorder="1"/>
    <xf numFmtId="164" fontId="24" fillId="0" borderId="0" xfId="0" applyNumberFormat="1" applyFont="1" applyBorder="1"/>
    <xf numFmtId="164" fontId="24" fillId="0" borderId="0" xfId="0" applyNumberFormat="1" applyFont="1" applyFill="1" applyBorder="1"/>
    <xf numFmtId="164" fontId="3" fillId="2" borderId="19" xfId="0" applyNumberFormat="1" applyFont="1" applyFill="1" applyBorder="1"/>
    <xf numFmtId="164" fontId="27" fillId="0" borderId="17" xfId="0" applyNumberFormat="1" applyFont="1" applyBorder="1"/>
    <xf numFmtId="0" fontId="3" fillId="3" borderId="25" xfId="0" applyFont="1" applyFill="1" applyBorder="1"/>
    <xf numFmtId="164" fontId="10" fillId="0" borderId="13" xfId="0" applyNumberFormat="1" applyFont="1" applyBorder="1"/>
    <xf numFmtId="164" fontId="6" fillId="0" borderId="13" xfId="0" applyNumberFormat="1" applyFont="1" applyBorder="1"/>
    <xf numFmtId="164" fontId="4" fillId="0" borderId="13" xfId="0" applyNumberFormat="1" applyFont="1" applyBorder="1"/>
    <xf numFmtId="164" fontId="25" fillId="0" borderId="13" xfId="0" applyNumberFormat="1" applyFont="1" applyBorder="1"/>
    <xf numFmtId="164" fontId="27" fillId="0" borderId="13" xfId="0" applyNumberFormat="1" applyFont="1" applyBorder="1"/>
    <xf numFmtId="164" fontId="7" fillId="0" borderId="13" xfId="0" applyNumberFormat="1" applyFont="1" applyBorder="1"/>
    <xf numFmtId="0" fontId="9" fillId="0" borderId="0" xfId="0" applyFont="1" applyAlignment="1">
      <alignment horizontal="centerContinuous"/>
    </xf>
    <xf numFmtId="164" fontId="16" fillId="0" borderId="0" xfId="0" applyNumberFormat="1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0" fontId="0" fillId="2" borderId="0" xfId="0" applyFill="1" applyBorder="1" applyAlignment="1">
      <alignment horizontal="center"/>
    </xf>
    <xf numFmtId="0" fontId="13" fillId="0" borderId="10" xfId="0" applyFont="1" applyFill="1" applyBorder="1" applyAlignment="1">
      <alignment horizontal="centerContinuous"/>
    </xf>
    <xf numFmtId="0" fontId="5" fillId="0" borderId="10" xfId="0" applyFont="1" applyFill="1" applyBorder="1" applyAlignment="1">
      <alignment horizontal="centerContinuous"/>
    </xf>
    <xf numFmtId="0" fontId="24" fillId="0" borderId="10" xfId="0" applyFont="1" applyFill="1" applyBorder="1" applyAlignment="1">
      <alignment horizontal="centerContinuous"/>
    </xf>
    <xf numFmtId="0" fontId="17" fillId="0" borderId="10" xfId="0" applyFont="1" applyFill="1" applyBorder="1" applyAlignment="1">
      <alignment horizontal="centerContinuous"/>
    </xf>
    <xf numFmtId="0" fontId="9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0" fillId="0" borderId="10" xfId="0" applyFill="1" applyBorder="1" applyAlignment="1">
      <alignment horizontal="centerContinuous"/>
    </xf>
    <xf numFmtId="0" fontId="0" fillId="4" borderId="26" xfId="0" applyFill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0" fillId="0" borderId="0" xfId="0" applyFont="1"/>
    <xf numFmtId="0" fontId="0" fillId="0" borderId="10" xfId="0" applyBorder="1" applyAlignment="1">
      <alignment horizontal="centerContinuous"/>
    </xf>
    <xf numFmtId="0" fontId="5" fillId="0" borderId="10" xfId="0" applyFont="1" applyBorder="1" applyAlignment="1">
      <alignment horizontal="centerContinuous"/>
    </xf>
    <xf numFmtId="0" fontId="0" fillId="4" borderId="22" xfId="0" applyFill="1" applyBorder="1"/>
    <xf numFmtId="4" fontId="0" fillId="2" borderId="0" xfId="0" applyNumberFormat="1" applyFill="1"/>
    <xf numFmtId="9" fontId="0" fillId="2" borderId="0" xfId="0" applyNumberFormat="1" applyFill="1"/>
    <xf numFmtId="164" fontId="0" fillId="2" borderId="13" xfId="0" applyNumberFormat="1" applyFill="1" applyBorder="1"/>
    <xf numFmtId="0" fontId="0" fillId="4" borderId="16" xfId="0" applyFill="1" applyBorder="1"/>
    <xf numFmtId="0" fontId="0" fillId="4" borderId="12" xfId="0" applyFill="1" applyBorder="1"/>
    <xf numFmtId="0" fontId="13" fillId="4" borderId="12" xfId="0" applyFont="1" applyFill="1" applyBorder="1"/>
    <xf numFmtId="0" fontId="1" fillId="0" borderId="22" xfId="0" applyFont="1" applyBorder="1"/>
    <xf numFmtId="0" fontId="0" fillId="0" borderId="26" xfId="0" applyBorder="1"/>
    <xf numFmtId="164" fontId="0" fillId="0" borderId="10" xfId="0" applyNumberFormat="1" applyBorder="1"/>
    <xf numFmtId="164" fontId="0" fillId="2" borderId="10" xfId="0" applyNumberFormat="1" applyFill="1" applyBorder="1"/>
    <xf numFmtId="164" fontId="13" fillId="0" borderId="10" xfId="0" applyNumberFormat="1" applyFont="1" applyBorder="1"/>
    <xf numFmtId="4" fontId="8" fillId="0" borderId="0" xfId="0" applyNumberFormat="1" applyFont="1"/>
    <xf numFmtId="4" fontId="29" fillId="0" borderId="0" xfId="0" applyNumberFormat="1" applyFont="1"/>
    <xf numFmtId="4" fontId="30" fillId="0" borderId="0" xfId="0" applyNumberFormat="1" applyFont="1"/>
    <xf numFmtId="4" fontId="31" fillId="0" borderId="0" xfId="0" applyNumberFormat="1" applyFont="1"/>
    <xf numFmtId="9" fontId="8" fillId="0" borderId="0" xfId="0" applyNumberFormat="1" applyFont="1"/>
    <xf numFmtId="9" fontId="29" fillId="0" borderId="0" xfId="0" applyNumberFormat="1" applyFont="1"/>
    <xf numFmtId="9" fontId="30" fillId="0" borderId="0" xfId="0" applyNumberFormat="1" applyFont="1"/>
    <xf numFmtId="9" fontId="31" fillId="0" borderId="0" xfId="0" applyNumberFormat="1" applyFont="1"/>
    <xf numFmtId="164" fontId="8" fillId="0" borderId="13" xfId="0" applyNumberFormat="1" applyFont="1" applyBorder="1"/>
    <xf numFmtId="164" fontId="29" fillId="0" borderId="13" xfId="0" applyNumberFormat="1" applyFont="1" applyBorder="1"/>
    <xf numFmtId="164" fontId="30" fillId="0" borderId="13" xfId="0" applyNumberFormat="1" applyFont="1" applyBorder="1"/>
    <xf numFmtId="164" fontId="31" fillId="0" borderId="13" xfId="0" applyNumberFormat="1" applyFont="1" applyBorder="1"/>
    <xf numFmtId="0" fontId="3" fillId="3" borderId="6" xfId="0" applyFont="1" applyFill="1" applyBorder="1"/>
    <xf numFmtId="0" fontId="3" fillId="3" borderId="26" xfId="0" applyFont="1" applyFill="1" applyBorder="1"/>
    <xf numFmtId="0" fontId="3" fillId="3" borderId="16" xfId="0" applyFont="1" applyFill="1" applyBorder="1"/>
    <xf numFmtId="0" fontId="0" fillId="2" borderId="12" xfId="0" applyFill="1" applyBorder="1"/>
    <xf numFmtId="164" fontId="0" fillId="0" borderId="12" xfId="0" applyNumberFormat="1" applyBorder="1"/>
    <xf numFmtId="164" fontId="13" fillId="0" borderId="12" xfId="0" applyNumberFormat="1" applyFont="1" applyBorder="1"/>
    <xf numFmtId="0" fontId="0" fillId="0" borderId="16" xfId="0" applyBorder="1"/>
    <xf numFmtId="164" fontId="0" fillId="2" borderId="12" xfId="0" applyNumberFormat="1" applyFill="1" applyBorder="1"/>
    <xf numFmtId="0" fontId="0" fillId="4" borderId="27" xfId="0" applyFill="1" applyBorder="1"/>
    <xf numFmtId="0" fontId="0" fillId="5" borderId="28" xfId="0" applyFill="1" applyBorder="1"/>
    <xf numFmtId="0" fontId="0" fillId="2" borderId="29" xfId="0" applyFill="1" applyBorder="1"/>
    <xf numFmtId="0" fontId="0" fillId="5" borderId="23" xfId="0" applyFill="1" applyBorder="1"/>
    <xf numFmtId="0" fontId="0" fillId="2" borderId="30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164" fontId="9" fillId="0" borderId="7" xfId="0" applyNumberFormat="1" applyFont="1" applyBorder="1"/>
    <xf numFmtId="164" fontId="0" fillId="2" borderId="7" xfId="0" applyNumberFormat="1" applyFill="1" applyBorder="1"/>
    <xf numFmtId="164" fontId="5" fillId="0" borderId="7" xfId="0" applyNumberFormat="1" applyFont="1" applyBorder="1"/>
    <xf numFmtId="164" fontId="24" fillId="0" borderId="7" xfId="0" applyNumberFormat="1" applyFont="1" applyBorder="1"/>
    <xf numFmtId="164" fontId="13" fillId="0" borderId="10" xfId="0" applyNumberFormat="1" applyFont="1" applyFill="1" applyBorder="1" applyAlignment="1">
      <alignment horizontal="centerContinuous"/>
    </xf>
    <xf numFmtId="164" fontId="0" fillId="0" borderId="10" xfId="0" applyNumberFormat="1" applyFill="1" applyBorder="1" applyAlignment="1">
      <alignment horizontal="centerContinuous"/>
    </xf>
    <xf numFmtId="164" fontId="5" fillId="0" borderId="10" xfId="0" applyNumberFormat="1" applyFont="1" applyFill="1" applyBorder="1" applyAlignment="1">
      <alignment horizontal="centerContinuous"/>
    </xf>
    <xf numFmtId="164" fontId="24" fillId="0" borderId="10" xfId="0" applyNumberFormat="1" applyFont="1" applyFill="1" applyBorder="1" applyAlignment="1">
      <alignment horizontal="centerContinuous"/>
    </xf>
    <xf numFmtId="164" fontId="17" fillId="0" borderId="10" xfId="0" applyNumberFormat="1" applyFont="1" applyFill="1" applyBorder="1" applyAlignment="1">
      <alignment horizontal="centerContinuous"/>
    </xf>
    <xf numFmtId="164" fontId="9" fillId="0" borderId="7" xfId="0" applyNumberFormat="1" applyFont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164" fontId="24" fillId="0" borderId="7" xfId="0" applyNumberFormat="1" applyFont="1" applyBorder="1" applyAlignment="1">
      <alignment horizontal="center"/>
    </xf>
    <xf numFmtId="164" fontId="0" fillId="2" borderId="11" xfId="0" applyNumberFormat="1" applyFill="1" applyBorder="1"/>
    <xf numFmtId="164" fontId="17" fillId="0" borderId="11" xfId="0" applyNumberFormat="1" applyFont="1" applyBorder="1" applyAlignment="1">
      <alignment horizontal="center"/>
    </xf>
    <xf numFmtId="164" fontId="9" fillId="0" borderId="0" xfId="0" applyNumberFormat="1" applyFont="1" applyBorder="1"/>
    <xf numFmtId="164" fontId="5" fillId="0" borderId="0" xfId="0" applyNumberFormat="1" applyFont="1" applyBorder="1"/>
    <xf numFmtId="164" fontId="0" fillId="2" borderId="31" xfId="0" applyNumberFormat="1" applyFill="1" applyBorder="1"/>
    <xf numFmtId="164" fontId="3" fillId="2" borderId="13" xfId="0" applyNumberFormat="1" applyFont="1" applyFill="1" applyBorder="1"/>
    <xf numFmtId="164" fontId="9" fillId="2" borderId="7" xfId="0" applyNumberFormat="1" applyFont="1" applyFill="1" applyBorder="1" applyAlignment="1">
      <alignment horizontal="center"/>
    </xf>
    <xf numFmtId="164" fontId="0" fillId="2" borderId="3" xfId="0" applyNumberFormat="1" applyFill="1" applyBorder="1"/>
    <xf numFmtId="164" fontId="3" fillId="2" borderId="0" xfId="0" applyNumberFormat="1" applyFont="1" applyFill="1"/>
    <xf numFmtId="164" fontId="5" fillId="0" borderId="0" xfId="0" applyNumberFormat="1" applyFont="1"/>
    <xf numFmtId="164" fontId="32" fillId="0" borderId="21" xfId="0" applyNumberFormat="1" applyFont="1" applyBorder="1"/>
    <xf numFmtId="0" fontId="14" fillId="3" borderId="25" xfId="0" applyFont="1" applyFill="1" applyBorder="1"/>
    <xf numFmtId="0" fontId="9" fillId="0" borderId="13" xfId="0" applyFont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164" fontId="13" fillId="2" borderId="10" xfId="0" applyNumberFormat="1" applyFont="1" applyFill="1" applyBorder="1"/>
    <xf numFmtId="164" fontId="13" fillId="2" borderId="12" xfId="0" applyNumberFormat="1" applyFont="1" applyFill="1" applyBorder="1"/>
    <xf numFmtId="164" fontId="13" fillId="2" borderId="11" xfId="0" applyNumberFormat="1" applyFont="1" applyFill="1" applyBorder="1"/>
    <xf numFmtId="164" fontId="13" fillId="2" borderId="13" xfId="0" applyNumberFormat="1" applyFont="1" applyFill="1" applyBorder="1"/>
    <xf numFmtId="0" fontId="13" fillId="0" borderId="1" xfId="0" applyFont="1" applyBorder="1"/>
    <xf numFmtId="0" fontId="33" fillId="0" borderId="1" xfId="0" applyFont="1" applyBorder="1"/>
    <xf numFmtId="164" fontId="16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174</xdr:row>
      <xdr:rowOff>0</xdr:rowOff>
    </xdr:from>
    <xdr:to>
      <xdr:col>0</xdr:col>
      <xdr:colOff>198120</xdr:colOff>
      <xdr:row>174</xdr:row>
      <xdr:rowOff>160020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8FA517B9-BE6B-E37F-C2CA-6B73ED284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97103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175</xdr:row>
      <xdr:rowOff>0</xdr:rowOff>
    </xdr:from>
    <xdr:to>
      <xdr:col>0</xdr:col>
      <xdr:colOff>198120</xdr:colOff>
      <xdr:row>175</xdr:row>
      <xdr:rowOff>160020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BAE420E9-C94B-2199-D6B5-4A2CAE383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98780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176</xdr:row>
      <xdr:rowOff>0</xdr:rowOff>
    </xdr:from>
    <xdr:to>
      <xdr:col>0</xdr:col>
      <xdr:colOff>198120</xdr:colOff>
      <xdr:row>176</xdr:row>
      <xdr:rowOff>160020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FC82F283-553D-8970-287B-1B721CD90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0456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177</xdr:row>
      <xdr:rowOff>0</xdr:rowOff>
    </xdr:from>
    <xdr:to>
      <xdr:col>0</xdr:col>
      <xdr:colOff>198120</xdr:colOff>
      <xdr:row>177</xdr:row>
      <xdr:rowOff>160020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5ACE8379-CC97-A329-5F8D-426710C45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2133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178</xdr:row>
      <xdr:rowOff>0</xdr:rowOff>
    </xdr:from>
    <xdr:to>
      <xdr:col>0</xdr:col>
      <xdr:colOff>198120</xdr:colOff>
      <xdr:row>178</xdr:row>
      <xdr:rowOff>160020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4B175663-D421-E16A-6AB7-D0CE68580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3809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179</xdr:row>
      <xdr:rowOff>0</xdr:rowOff>
    </xdr:from>
    <xdr:to>
      <xdr:col>0</xdr:col>
      <xdr:colOff>198120</xdr:colOff>
      <xdr:row>179</xdr:row>
      <xdr:rowOff>160020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320FE2C1-B3F4-EC1C-8176-9EDC12545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5485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183</xdr:row>
      <xdr:rowOff>0</xdr:rowOff>
    </xdr:from>
    <xdr:to>
      <xdr:col>0</xdr:col>
      <xdr:colOff>198120</xdr:colOff>
      <xdr:row>183</xdr:row>
      <xdr:rowOff>160020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2A7C4B30-F04D-A62D-6470-2E0DF4684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12267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184</xdr:row>
      <xdr:rowOff>0</xdr:rowOff>
    </xdr:from>
    <xdr:to>
      <xdr:col>0</xdr:col>
      <xdr:colOff>198120</xdr:colOff>
      <xdr:row>184</xdr:row>
      <xdr:rowOff>160020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35CD180B-AEFA-8C02-C76C-A9FB982CA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13944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185</xdr:row>
      <xdr:rowOff>0</xdr:rowOff>
    </xdr:from>
    <xdr:to>
      <xdr:col>0</xdr:col>
      <xdr:colOff>198120</xdr:colOff>
      <xdr:row>185</xdr:row>
      <xdr:rowOff>160020</xdr:rowOff>
    </xdr:to>
    <xdr:pic>
      <xdr:nvPicPr>
        <xdr:cNvPr id="1034" name="Picture 10">
          <a:extLst>
            <a:ext uri="{FF2B5EF4-FFF2-40B4-BE49-F238E27FC236}">
              <a16:creationId xmlns:a16="http://schemas.microsoft.com/office/drawing/2014/main" id="{74135001-2632-EDD1-ABF1-A8B2003EA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15620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186</xdr:row>
      <xdr:rowOff>0</xdr:rowOff>
    </xdr:from>
    <xdr:to>
      <xdr:col>0</xdr:col>
      <xdr:colOff>198120</xdr:colOff>
      <xdr:row>186</xdr:row>
      <xdr:rowOff>160020</xdr:rowOff>
    </xdr:to>
    <xdr:pic>
      <xdr:nvPicPr>
        <xdr:cNvPr id="1035" name="Picture 11">
          <a:extLst>
            <a:ext uri="{FF2B5EF4-FFF2-40B4-BE49-F238E27FC236}">
              <a16:creationId xmlns:a16="http://schemas.microsoft.com/office/drawing/2014/main" id="{6E8C18B5-EC41-B8CD-39EC-2FF7E7A9A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17296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187</xdr:row>
      <xdr:rowOff>0</xdr:rowOff>
    </xdr:from>
    <xdr:to>
      <xdr:col>0</xdr:col>
      <xdr:colOff>198120</xdr:colOff>
      <xdr:row>187</xdr:row>
      <xdr:rowOff>160020</xdr:rowOff>
    </xdr:to>
    <xdr:pic>
      <xdr:nvPicPr>
        <xdr:cNvPr id="1036" name="Picture 12">
          <a:extLst>
            <a:ext uri="{FF2B5EF4-FFF2-40B4-BE49-F238E27FC236}">
              <a16:creationId xmlns:a16="http://schemas.microsoft.com/office/drawing/2014/main" id="{BE3BCD0D-6CC6-7D78-A064-5DFC6C37C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18973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188</xdr:row>
      <xdr:rowOff>0</xdr:rowOff>
    </xdr:from>
    <xdr:to>
      <xdr:col>0</xdr:col>
      <xdr:colOff>198120</xdr:colOff>
      <xdr:row>188</xdr:row>
      <xdr:rowOff>160020</xdr:rowOff>
    </xdr:to>
    <xdr:pic>
      <xdr:nvPicPr>
        <xdr:cNvPr id="1037" name="Picture 13">
          <a:extLst>
            <a:ext uri="{FF2B5EF4-FFF2-40B4-BE49-F238E27FC236}">
              <a16:creationId xmlns:a16="http://schemas.microsoft.com/office/drawing/2014/main" id="{8EF6B457-87FE-BD44-195C-EAD4F242C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20649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189</xdr:row>
      <xdr:rowOff>0</xdr:rowOff>
    </xdr:from>
    <xdr:to>
      <xdr:col>0</xdr:col>
      <xdr:colOff>198120</xdr:colOff>
      <xdr:row>189</xdr:row>
      <xdr:rowOff>160020</xdr:rowOff>
    </xdr:to>
    <xdr:pic>
      <xdr:nvPicPr>
        <xdr:cNvPr id="1038" name="Picture 14">
          <a:extLst>
            <a:ext uri="{FF2B5EF4-FFF2-40B4-BE49-F238E27FC236}">
              <a16:creationId xmlns:a16="http://schemas.microsoft.com/office/drawing/2014/main" id="{6D03646F-E437-F909-9A59-DD5D938CB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22326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190</xdr:row>
      <xdr:rowOff>0</xdr:rowOff>
    </xdr:from>
    <xdr:to>
      <xdr:col>0</xdr:col>
      <xdr:colOff>198120</xdr:colOff>
      <xdr:row>190</xdr:row>
      <xdr:rowOff>160020</xdr:rowOff>
    </xdr:to>
    <xdr:pic>
      <xdr:nvPicPr>
        <xdr:cNvPr id="1039" name="Picture 15">
          <a:extLst>
            <a:ext uri="{FF2B5EF4-FFF2-40B4-BE49-F238E27FC236}">
              <a16:creationId xmlns:a16="http://schemas.microsoft.com/office/drawing/2014/main" id="{1D9FDCCE-A12F-8C21-17E1-1E21CF99E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24002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195</xdr:row>
      <xdr:rowOff>0</xdr:rowOff>
    </xdr:from>
    <xdr:to>
      <xdr:col>0</xdr:col>
      <xdr:colOff>198120</xdr:colOff>
      <xdr:row>195</xdr:row>
      <xdr:rowOff>160020</xdr:rowOff>
    </xdr:to>
    <xdr:pic>
      <xdr:nvPicPr>
        <xdr:cNvPr id="1040" name="Picture 16">
          <a:extLst>
            <a:ext uri="{FF2B5EF4-FFF2-40B4-BE49-F238E27FC236}">
              <a16:creationId xmlns:a16="http://schemas.microsoft.com/office/drawing/2014/main" id="{B1DB99BD-6DD2-0EFC-D987-7170A7BC7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32689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196</xdr:row>
      <xdr:rowOff>0</xdr:rowOff>
    </xdr:from>
    <xdr:to>
      <xdr:col>0</xdr:col>
      <xdr:colOff>198120</xdr:colOff>
      <xdr:row>196</xdr:row>
      <xdr:rowOff>160020</xdr:rowOff>
    </xdr:to>
    <xdr:pic>
      <xdr:nvPicPr>
        <xdr:cNvPr id="1041" name="Picture 17">
          <a:extLst>
            <a:ext uri="{FF2B5EF4-FFF2-40B4-BE49-F238E27FC236}">
              <a16:creationId xmlns:a16="http://schemas.microsoft.com/office/drawing/2014/main" id="{77B27E24-4D4C-1A60-BA2B-F4B8908D3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34365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197</xdr:row>
      <xdr:rowOff>0</xdr:rowOff>
    </xdr:from>
    <xdr:to>
      <xdr:col>0</xdr:col>
      <xdr:colOff>198120</xdr:colOff>
      <xdr:row>197</xdr:row>
      <xdr:rowOff>160020</xdr:rowOff>
    </xdr:to>
    <xdr:pic>
      <xdr:nvPicPr>
        <xdr:cNvPr id="1042" name="Picture 18">
          <a:extLst>
            <a:ext uri="{FF2B5EF4-FFF2-40B4-BE49-F238E27FC236}">
              <a16:creationId xmlns:a16="http://schemas.microsoft.com/office/drawing/2014/main" id="{64B816CD-64A7-3016-675B-015A237BD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36042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198</xdr:row>
      <xdr:rowOff>0</xdr:rowOff>
    </xdr:from>
    <xdr:to>
      <xdr:col>0</xdr:col>
      <xdr:colOff>198120</xdr:colOff>
      <xdr:row>198</xdr:row>
      <xdr:rowOff>160020</xdr:rowOff>
    </xdr:to>
    <xdr:pic>
      <xdr:nvPicPr>
        <xdr:cNvPr id="1043" name="Picture 19">
          <a:extLst>
            <a:ext uri="{FF2B5EF4-FFF2-40B4-BE49-F238E27FC236}">
              <a16:creationId xmlns:a16="http://schemas.microsoft.com/office/drawing/2014/main" id="{84FB2184-FF76-0563-4326-C17D7EE43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37718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199</xdr:row>
      <xdr:rowOff>0</xdr:rowOff>
    </xdr:from>
    <xdr:to>
      <xdr:col>0</xdr:col>
      <xdr:colOff>198120</xdr:colOff>
      <xdr:row>199</xdr:row>
      <xdr:rowOff>160020</xdr:rowOff>
    </xdr:to>
    <xdr:pic>
      <xdr:nvPicPr>
        <xdr:cNvPr id="1044" name="Picture 20">
          <a:extLst>
            <a:ext uri="{FF2B5EF4-FFF2-40B4-BE49-F238E27FC236}">
              <a16:creationId xmlns:a16="http://schemas.microsoft.com/office/drawing/2014/main" id="{8F981AE7-B903-D796-E316-966F47375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39394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129540</xdr:colOff>
      <xdr:row>0</xdr:row>
      <xdr:rowOff>15240</xdr:rowOff>
    </xdr:from>
    <xdr:to>
      <xdr:col>10</xdr:col>
      <xdr:colOff>777240</xdr:colOff>
      <xdr:row>3</xdr:row>
      <xdr:rowOff>137160</xdr:rowOff>
    </xdr:to>
    <xdr:pic>
      <xdr:nvPicPr>
        <xdr:cNvPr id="1045" name="Picture 21">
          <a:extLst>
            <a:ext uri="{FF2B5EF4-FFF2-40B4-BE49-F238E27FC236}">
              <a16:creationId xmlns:a16="http://schemas.microsoft.com/office/drawing/2014/main" id="{949AC50D-A313-4F54-BEBA-E55DBACFE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9940" y="15240"/>
          <a:ext cx="647700" cy="655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7"/>
  <sheetViews>
    <sheetView tabSelected="1" workbookViewId="0">
      <selection activeCell="B1" sqref="B1"/>
    </sheetView>
  </sheetViews>
  <sheetFormatPr defaultRowHeight="13.2" x14ac:dyDescent="0.25"/>
  <cols>
    <col min="1" max="1" width="44.44140625" customWidth="1"/>
    <col min="2" max="2" width="0.88671875" customWidth="1"/>
    <col min="3" max="3" width="13.33203125" customWidth="1"/>
    <col min="4" max="4" width="0.88671875" customWidth="1"/>
    <col min="5" max="5" width="13.33203125" customWidth="1"/>
    <col min="6" max="6" width="0.88671875" customWidth="1"/>
    <col min="7" max="7" width="13.33203125" customWidth="1"/>
    <col min="8" max="8" width="0.88671875" customWidth="1"/>
    <col min="9" max="9" width="13.33203125" customWidth="1"/>
    <col min="10" max="10" width="0.88671875" customWidth="1"/>
    <col min="11" max="11" width="13.33203125" customWidth="1"/>
    <col min="12" max="12" width="0.88671875" customWidth="1"/>
  </cols>
  <sheetData>
    <row r="1" spans="1:12" ht="15.6" x14ac:dyDescent="0.3">
      <c r="A1" s="4" t="s">
        <v>130</v>
      </c>
      <c r="B1" s="4"/>
      <c r="C1" s="2"/>
      <c r="D1" s="2"/>
      <c r="E1" s="2"/>
      <c r="F1" s="2"/>
      <c r="G1" s="2"/>
      <c r="H1" s="2"/>
      <c r="I1" s="2"/>
      <c r="J1" s="2"/>
      <c r="K1" s="2"/>
    </row>
    <row r="2" spans="1:12" x14ac:dyDescent="0.25">
      <c r="A2" s="3" t="s">
        <v>106</v>
      </c>
      <c r="B2" s="3"/>
      <c r="C2" s="2"/>
      <c r="D2" s="2"/>
      <c r="E2" s="2"/>
      <c r="F2" s="2"/>
      <c r="G2" s="2"/>
      <c r="H2" s="2"/>
      <c r="I2" s="2"/>
      <c r="J2" s="2"/>
      <c r="K2" s="2"/>
    </row>
    <row r="3" spans="1:12" x14ac:dyDescent="0.25">
      <c r="A3" s="3"/>
      <c r="B3" s="3"/>
      <c r="C3" s="2"/>
      <c r="D3" s="2"/>
      <c r="E3" s="2"/>
      <c r="F3" s="2"/>
      <c r="G3" s="2"/>
      <c r="H3" s="2"/>
      <c r="I3" s="2"/>
      <c r="J3" s="2"/>
      <c r="K3" s="2"/>
    </row>
    <row r="4" spans="1:12" ht="13.8" thickBot="1" x14ac:dyDescent="0.3">
      <c r="A4" s="3"/>
      <c r="B4" s="3"/>
      <c r="C4" s="2"/>
      <c r="D4" s="2"/>
      <c r="E4" s="2"/>
      <c r="F4" s="2"/>
      <c r="G4" s="2"/>
      <c r="H4" s="2"/>
      <c r="I4" s="2"/>
      <c r="J4" s="2"/>
      <c r="K4" s="2"/>
    </row>
    <row r="5" spans="1:12" ht="14.4" thickTop="1" thickBot="1" x14ac:dyDescent="0.3">
      <c r="A5" s="154"/>
      <c r="B5" s="195"/>
      <c r="C5" s="155"/>
      <c r="D5" s="196"/>
      <c r="E5" s="145" t="s">
        <v>84</v>
      </c>
      <c r="F5" s="153"/>
      <c r="G5" s="146"/>
      <c r="H5" s="153"/>
      <c r="I5" s="147"/>
      <c r="J5" s="153"/>
      <c r="K5" s="148"/>
      <c r="L5" s="35"/>
    </row>
    <row r="6" spans="1:12" ht="13.8" thickTop="1" x14ac:dyDescent="0.25">
      <c r="A6" s="93" t="s">
        <v>0</v>
      </c>
      <c r="B6" s="144"/>
      <c r="C6" s="95" t="s">
        <v>1</v>
      </c>
      <c r="D6" s="96"/>
      <c r="E6" s="149" t="s">
        <v>71</v>
      </c>
      <c r="F6" s="96"/>
      <c r="G6" s="150" t="s">
        <v>72</v>
      </c>
      <c r="H6" s="96"/>
      <c r="I6" s="151" t="s">
        <v>2</v>
      </c>
      <c r="J6" s="31"/>
      <c r="K6" s="152" t="s">
        <v>49</v>
      </c>
      <c r="L6" s="31"/>
    </row>
    <row r="7" spans="1:12" ht="15.6" x14ac:dyDescent="0.3">
      <c r="A7" s="51" t="s">
        <v>4</v>
      </c>
      <c r="B7" s="28"/>
      <c r="C7" s="39"/>
      <c r="D7" s="8"/>
      <c r="E7" s="7"/>
      <c r="F7" s="8"/>
      <c r="G7" s="24"/>
      <c r="H7" s="8"/>
      <c r="I7" s="127"/>
      <c r="J7" s="31"/>
      <c r="K7" s="56"/>
      <c r="L7" s="25"/>
    </row>
    <row r="8" spans="1:12" x14ac:dyDescent="0.25">
      <c r="A8" s="50" t="s">
        <v>74</v>
      </c>
      <c r="B8" s="29"/>
      <c r="C8" s="39"/>
      <c r="D8" s="8"/>
      <c r="E8" s="7"/>
      <c r="F8" s="8"/>
      <c r="G8" s="24"/>
      <c r="H8" s="8"/>
      <c r="I8" s="127"/>
      <c r="J8" s="31"/>
      <c r="K8" s="56"/>
      <c r="L8" s="25"/>
    </row>
    <row r="9" spans="1:12" x14ac:dyDescent="0.25">
      <c r="A9" s="5" t="s">
        <v>6</v>
      </c>
      <c r="B9" s="30"/>
      <c r="C9" s="39">
        <v>1</v>
      </c>
      <c r="D9" s="8"/>
      <c r="E9" s="37">
        <f>C9*C10*C11*0.16</f>
        <v>6908.9279999999999</v>
      </c>
      <c r="F9" s="13"/>
      <c r="G9" s="47">
        <f>C9*C10*C11*0.25</f>
        <v>10795.199999999999</v>
      </c>
      <c r="H9" s="13"/>
      <c r="I9" s="123">
        <f>(E9+G9)/2</f>
        <v>8852.0639999999985</v>
      </c>
      <c r="J9" s="79"/>
      <c r="K9" s="58">
        <f>C9*C10*C11*C12</f>
        <v>6908.9279999999999</v>
      </c>
      <c r="L9" s="25"/>
    </row>
    <row r="10" spans="1:12" x14ac:dyDescent="0.25">
      <c r="A10" s="5" t="s">
        <v>7</v>
      </c>
      <c r="B10" s="30"/>
      <c r="C10" s="40">
        <v>1920</v>
      </c>
      <c r="D10" s="8"/>
      <c r="E10" s="37"/>
      <c r="F10" s="13"/>
      <c r="G10" s="47"/>
      <c r="H10" s="13"/>
      <c r="I10" s="123"/>
      <c r="J10" s="79"/>
      <c r="K10" s="58"/>
      <c r="L10" s="25"/>
    </row>
    <row r="11" spans="1:12" x14ac:dyDescent="0.25">
      <c r="A11" s="5" t="s">
        <v>11</v>
      </c>
      <c r="B11" s="30"/>
      <c r="C11" s="41">
        <v>22.49</v>
      </c>
      <c r="D11" s="8"/>
      <c r="E11" s="37"/>
      <c r="F11" s="13"/>
      <c r="G11" s="47"/>
      <c r="H11" s="13"/>
      <c r="I11" s="123"/>
      <c r="J11" s="79"/>
      <c r="K11" s="58"/>
      <c r="L11" s="25"/>
    </row>
    <row r="12" spans="1:12" x14ac:dyDescent="0.25">
      <c r="A12" s="5" t="s">
        <v>22</v>
      </c>
      <c r="B12" s="30"/>
      <c r="C12" s="60">
        <v>0.16</v>
      </c>
      <c r="D12" s="8"/>
      <c r="E12" s="37"/>
      <c r="F12" s="13"/>
      <c r="G12" s="47"/>
      <c r="H12" s="13"/>
      <c r="I12" s="123"/>
      <c r="J12" s="79"/>
      <c r="K12" s="58"/>
      <c r="L12" s="25"/>
    </row>
    <row r="13" spans="1:12" x14ac:dyDescent="0.25">
      <c r="A13" s="6"/>
      <c r="B13" s="31"/>
      <c r="C13" s="39"/>
      <c r="D13" s="8"/>
      <c r="E13" s="37"/>
      <c r="F13" s="13"/>
      <c r="G13" s="47"/>
      <c r="H13" s="13"/>
      <c r="I13" s="123"/>
      <c r="J13" s="79"/>
      <c r="K13" s="58"/>
      <c r="L13" s="25"/>
    </row>
    <row r="14" spans="1:12" x14ac:dyDescent="0.25">
      <c r="A14" s="50" t="s">
        <v>3</v>
      </c>
      <c r="B14" s="29"/>
      <c r="C14" s="39"/>
      <c r="D14" s="8"/>
      <c r="E14" s="37"/>
      <c r="F14" s="13"/>
      <c r="G14" s="47"/>
      <c r="H14" s="13"/>
      <c r="I14" s="123"/>
      <c r="J14" s="79"/>
      <c r="K14" s="58"/>
      <c r="L14" s="25"/>
    </row>
    <row r="15" spans="1:12" x14ac:dyDescent="0.25">
      <c r="A15" s="5" t="s">
        <v>5</v>
      </c>
      <c r="B15" s="30"/>
      <c r="C15" s="40"/>
      <c r="D15" s="8"/>
      <c r="E15" s="37">
        <f>(C15/C16)*2.1</f>
        <v>0</v>
      </c>
      <c r="F15" s="13"/>
      <c r="G15" s="47">
        <f>(C15/C16)*4</f>
        <v>0</v>
      </c>
      <c r="H15" s="13"/>
      <c r="I15" s="123">
        <f>(E15+G15)/2</f>
        <v>0</v>
      </c>
      <c r="J15" s="79"/>
      <c r="K15" s="58">
        <f>(C15/C16)*C17</f>
        <v>0</v>
      </c>
      <c r="L15" s="25"/>
    </row>
    <row r="16" spans="1:12" x14ac:dyDescent="0.25">
      <c r="A16" s="5" t="s">
        <v>51</v>
      </c>
      <c r="B16" s="30"/>
      <c r="C16" s="39">
        <v>365</v>
      </c>
      <c r="D16" s="8"/>
      <c r="E16" s="37"/>
      <c r="F16" s="13"/>
      <c r="G16" s="47"/>
      <c r="H16" s="13"/>
      <c r="I16" s="123"/>
      <c r="J16" s="79"/>
      <c r="K16" s="58"/>
      <c r="L16" s="25"/>
    </row>
    <row r="17" spans="1:12" x14ac:dyDescent="0.25">
      <c r="A17" s="5" t="s">
        <v>104</v>
      </c>
      <c r="B17" s="31"/>
      <c r="C17" s="59"/>
      <c r="D17" s="8"/>
      <c r="E17" s="37"/>
      <c r="F17" s="13"/>
      <c r="G17" s="47"/>
      <c r="H17" s="13"/>
      <c r="I17" s="123"/>
      <c r="J17" s="79"/>
      <c r="K17" s="58"/>
      <c r="L17" s="25"/>
    </row>
    <row r="18" spans="1:12" x14ac:dyDescent="0.25">
      <c r="A18" s="5"/>
      <c r="B18" s="31"/>
      <c r="C18" s="39"/>
      <c r="D18" s="8"/>
      <c r="E18" s="37"/>
      <c r="F18" s="13"/>
      <c r="G18" s="47"/>
      <c r="H18" s="13"/>
      <c r="I18" s="123"/>
      <c r="J18" s="79"/>
      <c r="K18" s="58"/>
      <c r="L18" s="25"/>
    </row>
    <row r="19" spans="1:12" x14ac:dyDescent="0.25">
      <c r="A19" s="50" t="s">
        <v>50</v>
      </c>
      <c r="B19" s="29"/>
      <c r="C19" s="39"/>
      <c r="D19" s="8"/>
      <c r="E19" s="37"/>
      <c r="F19" s="13"/>
      <c r="G19" s="47"/>
      <c r="H19" s="13"/>
      <c r="I19" s="123"/>
      <c r="J19" s="79"/>
      <c r="K19" s="58"/>
      <c r="L19" s="25"/>
    </row>
    <row r="20" spans="1:12" x14ac:dyDescent="0.25">
      <c r="A20" s="5" t="s">
        <v>8</v>
      </c>
      <c r="B20" s="30"/>
      <c r="C20" s="59">
        <v>1</v>
      </c>
      <c r="D20" s="8"/>
      <c r="E20" s="47">
        <f>C20*C21*C22*0</f>
        <v>0</v>
      </c>
      <c r="F20" s="13"/>
      <c r="G20" s="47">
        <f>C20*C21*C22*1</f>
        <v>4347.5</v>
      </c>
      <c r="H20" s="13"/>
      <c r="I20" s="123">
        <f>(E20+G20)/2</f>
        <v>2173.75</v>
      </c>
      <c r="J20" s="79"/>
      <c r="K20" s="58">
        <f>C20*C21*C22*C23</f>
        <v>4347.5</v>
      </c>
      <c r="L20" s="25"/>
    </row>
    <row r="21" spans="1:12" x14ac:dyDescent="0.25">
      <c r="A21" s="5" t="s">
        <v>10</v>
      </c>
      <c r="B21" s="30"/>
      <c r="C21" s="40">
        <v>250</v>
      </c>
      <c r="D21" s="8"/>
      <c r="E21" s="37"/>
      <c r="F21" s="13"/>
      <c r="G21" s="47"/>
      <c r="H21" s="13"/>
      <c r="I21" s="123"/>
      <c r="J21" s="79"/>
      <c r="K21" s="58"/>
      <c r="L21" s="25"/>
    </row>
    <row r="22" spans="1:12" x14ac:dyDescent="0.25">
      <c r="A22" s="5" t="s">
        <v>39</v>
      </c>
      <c r="B22" s="30"/>
      <c r="C22" s="41">
        <v>17.39</v>
      </c>
      <c r="D22" s="8"/>
      <c r="E22" s="37"/>
      <c r="F22" s="13"/>
      <c r="G22" s="47"/>
      <c r="H22" s="13"/>
      <c r="I22" s="123"/>
      <c r="J22" s="79"/>
      <c r="K22" s="58"/>
      <c r="L22" s="25"/>
    </row>
    <row r="23" spans="1:12" x14ac:dyDescent="0.25">
      <c r="A23" s="5" t="s">
        <v>44</v>
      </c>
      <c r="B23" s="30"/>
      <c r="C23" s="60">
        <v>1</v>
      </c>
      <c r="D23" s="8"/>
      <c r="E23" s="37"/>
      <c r="F23" s="13"/>
      <c r="G23" s="47"/>
      <c r="H23" s="13"/>
      <c r="I23" s="123"/>
      <c r="J23" s="79"/>
      <c r="K23" s="58"/>
      <c r="L23" s="25"/>
    </row>
    <row r="24" spans="1:12" x14ac:dyDescent="0.25">
      <c r="A24" s="5"/>
      <c r="B24" s="30"/>
      <c r="C24" s="39"/>
      <c r="D24" s="8"/>
      <c r="E24" s="37"/>
      <c r="F24" s="13"/>
      <c r="G24" s="47"/>
      <c r="H24" s="13"/>
      <c r="I24" s="123"/>
      <c r="J24" s="79"/>
      <c r="K24" s="58"/>
      <c r="L24" s="25"/>
    </row>
    <row r="25" spans="1:12" x14ac:dyDescent="0.25">
      <c r="A25" s="50" t="s">
        <v>73</v>
      </c>
      <c r="B25" s="29"/>
      <c r="C25" s="39"/>
      <c r="D25" s="8"/>
      <c r="E25" s="37"/>
      <c r="F25" s="13"/>
      <c r="G25" s="47"/>
      <c r="H25" s="13"/>
      <c r="I25" s="123"/>
      <c r="J25" s="79"/>
      <c r="K25" s="58"/>
      <c r="L25" s="25"/>
    </row>
    <row r="26" spans="1:12" x14ac:dyDescent="0.25">
      <c r="A26" s="5" t="s">
        <v>40</v>
      </c>
      <c r="B26" s="30"/>
      <c r="C26" s="40">
        <v>0</v>
      </c>
      <c r="D26" s="13"/>
      <c r="E26" s="37">
        <f>C26*C27*0</f>
        <v>0</v>
      </c>
      <c r="F26" s="13"/>
      <c r="G26" s="47">
        <f>C26*C27*0.25</f>
        <v>0</v>
      </c>
      <c r="H26" s="13"/>
      <c r="I26" s="123">
        <f>(E26+G26)/2</f>
        <v>0</v>
      </c>
      <c r="J26" s="79"/>
      <c r="K26" s="58">
        <f>C26*C27*C28</f>
        <v>0</v>
      </c>
      <c r="L26" s="25"/>
    </row>
    <row r="27" spans="1:12" x14ac:dyDescent="0.25">
      <c r="A27" s="5" t="s">
        <v>41</v>
      </c>
      <c r="B27" s="30"/>
      <c r="C27" s="39">
        <v>12</v>
      </c>
      <c r="D27" s="8"/>
      <c r="E27" s="37"/>
      <c r="F27" s="13"/>
      <c r="G27" s="47"/>
      <c r="H27" s="13"/>
      <c r="I27" s="123"/>
      <c r="J27" s="79"/>
      <c r="K27" s="58"/>
      <c r="L27" s="25"/>
    </row>
    <row r="28" spans="1:12" x14ac:dyDescent="0.25">
      <c r="A28" s="5" t="s">
        <v>42</v>
      </c>
      <c r="B28" s="30"/>
      <c r="C28" s="41">
        <v>0.25</v>
      </c>
      <c r="D28" s="8"/>
      <c r="E28" s="37"/>
      <c r="F28" s="13"/>
      <c r="G28" s="47"/>
      <c r="H28" s="13"/>
      <c r="I28" s="123"/>
      <c r="J28" s="79"/>
      <c r="K28" s="58"/>
      <c r="L28" s="25"/>
    </row>
    <row r="29" spans="1:12" x14ac:dyDescent="0.25">
      <c r="A29" s="5"/>
      <c r="B29" s="30"/>
      <c r="C29" s="41"/>
      <c r="D29" s="8"/>
      <c r="E29" s="37"/>
      <c r="F29" s="13"/>
      <c r="G29" s="47"/>
      <c r="H29" s="13"/>
      <c r="I29" s="123"/>
      <c r="J29" s="79"/>
      <c r="K29" s="58"/>
      <c r="L29" s="25"/>
    </row>
    <row r="30" spans="1:12" x14ac:dyDescent="0.25">
      <c r="A30" s="50" t="s">
        <v>9</v>
      </c>
      <c r="B30" s="30"/>
      <c r="C30" s="40"/>
      <c r="D30" s="8"/>
      <c r="E30" s="37"/>
      <c r="F30" s="13"/>
      <c r="G30" s="47"/>
      <c r="H30" s="13"/>
      <c r="I30" s="123"/>
      <c r="J30" s="79"/>
      <c r="K30" s="58"/>
      <c r="L30" s="25"/>
    </row>
    <row r="31" spans="1:12" x14ac:dyDescent="0.25">
      <c r="A31" s="232" t="s">
        <v>115</v>
      </c>
      <c r="B31" s="30"/>
      <c r="C31" s="59">
        <v>1</v>
      </c>
      <c r="D31" s="8"/>
      <c r="E31" s="47">
        <f>C31*C32*C33*0</f>
        <v>0</v>
      </c>
      <c r="F31" s="13"/>
      <c r="G31" s="47">
        <f>C31*C32*C33*1</f>
        <v>33388.800000000003</v>
      </c>
      <c r="H31" s="13"/>
      <c r="I31" s="123">
        <f>(E31+G31)/2</f>
        <v>16694.400000000001</v>
      </c>
      <c r="J31" s="79"/>
      <c r="K31" s="58">
        <f>C31*C32*C33*C34</f>
        <v>33388.800000000003</v>
      </c>
      <c r="L31" s="25"/>
    </row>
    <row r="32" spans="1:12" x14ac:dyDescent="0.25">
      <c r="A32" s="5" t="s">
        <v>116</v>
      </c>
      <c r="B32" s="30"/>
      <c r="C32" s="40">
        <v>1920</v>
      </c>
      <c r="D32" s="8"/>
      <c r="E32" s="37"/>
      <c r="F32" s="13"/>
      <c r="G32" s="47"/>
      <c r="H32" s="13"/>
      <c r="I32" s="123"/>
      <c r="J32" s="79"/>
      <c r="K32" s="58"/>
      <c r="L32" s="25"/>
    </row>
    <row r="33" spans="1:12" x14ac:dyDescent="0.25">
      <c r="A33" s="5" t="s">
        <v>117</v>
      </c>
      <c r="B33" s="30"/>
      <c r="C33" s="41">
        <v>17.39</v>
      </c>
      <c r="D33" s="8"/>
      <c r="E33" s="37"/>
      <c r="F33" s="13"/>
      <c r="G33" s="47"/>
      <c r="H33" s="13"/>
      <c r="I33" s="123"/>
      <c r="J33" s="79"/>
      <c r="K33" s="58"/>
      <c r="L33" s="25"/>
    </row>
    <row r="34" spans="1:12" x14ac:dyDescent="0.25">
      <c r="A34" s="5" t="s">
        <v>118</v>
      </c>
      <c r="B34" s="30"/>
      <c r="C34" s="60">
        <v>1</v>
      </c>
      <c r="D34" s="8"/>
      <c r="E34" s="37"/>
      <c r="F34" s="13"/>
      <c r="G34" s="47"/>
      <c r="H34" s="13"/>
      <c r="I34" s="123"/>
      <c r="J34" s="79"/>
      <c r="K34" s="58"/>
      <c r="L34" s="25"/>
    </row>
    <row r="35" spans="1:12" x14ac:dyDescent="0.25">
      <c r="A35" s="5"/>
      <c r="B35" s="30"/>
      <c r="C35" s="60"/>
      <c r="D35" s="8"/>
      <c r="E35" s="37"/>
      <c r="F35" s="13"/>
      <c r="G35" s="47"/>
      <c r="H35" s="13"/>
      <c r="I35" s="123"/>
      <c r="J35" s="79"/>
      <c r="K35" s="58"/>
      <c r="L35" s="25"/>
    </row>
    <row r="36" spans="1:12" x14ac:dyDescent="0.25">
      <c r="A36" s="5"/>
      <c r="B36" s="30"/>
      <c r="C36" s="41"/>
      <c r="D36" s="8"/>
      <c r="E36" s="37"/>
      <c r="F36" s="13"/>
      <c r="G36" s="47"/>
      <c r="H36" s="13"/>
      <c r="I36" s="123"/>
      <c r="J36" s="79"/>
      <c r="K36" s="58"/>
      <c r="L36" s="25"/>
    </row>
    <row r="37" spans="1:12" x14ac:dyDescent="0.25">
      <c r="A37" s="50" t="s">
        <v>107</v>
      </c>
      <c r="B37" s="29"/>
      <c r="C37" s="39"/>
      <c r="D37" s="8"/>
      <c r="E37" s="37"/>
      <c r="F37" s="13"/>
      <c r="G37" s="47"/>
      <c r="H37" s="13"/>
      <c r="I37" s="123"/>
      <c r="J37" s="79"/>
      <c r="K37" s="58"/>
      <c r="L37" s="25"/>
    </row>
    <row r="38" spans="1:12" x14ac:dyDescent="0.25">
      <c r="A38" s="5" t="s">
        <v>108</v>
      </c>
      <c r="B38" s="29"/>
      <c r="C38" s="39">
        <v>2</v>
      </c>
      <c r="D38" s="8"/>
      <c r="E38" s="47">
        <f>C38*C39*C40*0</f>
        <v>0</v>
      </c>
      <c r="F38" s="13"/>
      <c r="G38" s="47">
        <f>C38*C39*C40*1</f>
        <v>17390</v>
      </c>
      <c r="H38" s="13"/>
      <c r="I38" s="123">
        <f>(E38+G38)/2</f>
        <v>8695</v>
      </c>
      <c r="J38" s="79"/>
      <c r="K38" s="58">
        <f>C38*C39*C40*C41</f>
        <v>17390</v>
      </c>
      <c r="L38" s="25"/>
    </row>
    <row r="39" spans="1:12" x14ac:dyDescent="0.25">
      <c r="A39" s="5" t="s">
        <v>38</v>
      </c>
      <c r="B39" s="30"/>
      <c r="C39" s="40">
        <v>500</v>
      </c>
      <c r="D39" s="8"/>
      <c r="E39" s="37"/>
      <c r="F39" s="13"/>
      <c r="G39" s="47"/>
      <c r="H39" s="13"/>
      <c r="I39" s="123"/>
      <c r="J39" s="79"/>
      <c r="K39" s="58"/>
      <c r="L39" s="25"/>
    </row>
    <row r="40" spans="1:12" x14ac:dyDescent="0.25">
      <c r="A40" s="5" t="s">
        <v>52</v>
      </c>
      <c r="B40" s="30"/>
      <c r="C40" s="41">
        <v>17.39</v>
      </c>
      <c r="D40" s="8"/>
      <c r="E40" s="37"/>
      <c r="F40" s="13"/>
      <c r="G40" s="47"/>
      <c r="H40" s="13"/>
      <c r="I40" s="123"/>
      <c r="J40" s="79"/>
      <c r="K40" s="58"/>
      <c r="L40" s="25"/>
    </row>
    <row r="41" spans="1:12" x14ac:dyDescent="0.25">
      <c r="A41" s="14" t="s">
        <v>105</v>
      </c>
      <c r="B41" s="32"/>
      <c r="C41" s="61">
        <v>1</v>
      </c>
      <c r="D41" s="15"/>
      <c r="E41" s="197"/>
      <c r="F41" s="198"/>
      <c r="G41" s="199"/>
      <c r="H41" s="198"/>
      <c r="I41" s="200"/>
      <c r="J41" s="79"/>
      <c r="K41" s="58"/>
      <c r="L41" s="25"/>
    </row>
    <row r="42" spans="1:12" ht="13.8" thickBot="1" x14ac:dyDescent="0.3">
      <c r="A42" s="221" t="s">
        <v>46</v>
      </c>
      <c r="B42" s="70"/>
      <c r="C42" s="71"/>
      <c r="D42" s="72"/>
      <c r="E42" s="73">
        <f>SUM(E9:E41)</f>
        <v>6908.9279999999999</v>
      </c>
      <c r="F42" s="74"/>
      <c r="G42" s="75">
        <f>SUM(G9:G41)</f>
        <v>65921.5</v>
      </c>
      <c r="H42" s="74"/>
      <c r="I42" s="128">
        <f>SUM(I9:I41)</f>
        <v>36415.214</v>
      </c>
      <c r="J42" s="162"/>
      <c r="K42" s="133">
        <f>SUM(K9:K41)</f>
        <v>62035.228000000003</v>
      </c>
      <c r="L42" s="36"/>
    </row>
    <row r="43" spans="1:12" ht="14.4" thickTop="1" thickBot="1" x14ac:dyDescent="0.3">
      <c r="A43" s="65"/>
      <c r="B43" s="62"/>
      <c r="C43" s="66"/>
      <c r="D43" s="67"/>
      <c r="E43" s="68"/>
      <c r="F43" s="69"/>
      <c r="G43" s="69"/>
      <c r="H43" s="69"/>
      <c r="I43" s="129"/>
      <c r="J43" s="86"/>
      <c r="K43" s="64"/>
      <c r="L43" s="63"/>
    </row>
    <row r="44" spans="1:12" ht="14.4" thickTop="1" thickBot="1" x14ac:dyDescent="0.3">
      <c r="A44" s="154"/>
      <c r="B44" s="195"/>
      <c r="C44" s="155"/>
      <c r="D44" s="10"/>
      <c r="E44" s="201" t="s">
        <v>84</v>
      </c>
      <c r="F44" s="202"/>
      <c r="G44" s="203"/>
      <c r="H44" s="202"/>
      <c r="I44" s="204"/>
      <c r="J44" s="202"/>
      <c r="K44" s="205"/>
      <c r="L44" s="35"/>
    </row>
    <row r="45" spans="1:12" ht="14.4" thickTop="1" thickBot="1" x14ac:dyDescent="0.3">
      <c r="A45" s="93" t="s">
        <v>0</v>
      </c>
      <c r="B45" s="94"/>
      <c r="C45" s="95" t="s">
        <v>1</v>
      </c>
      <c r="D45" s="96"/>
      <c r="E45" s="206" t="s">
        <v>71</v>
      </c>
      <c r="F45" s="207"/>
      <c r="G45" s="208" t="s">
        <v>72</v>
      </c>
      <c r="H45" s="207"/>
      <c r="I45" s="209" t="s">
        <v>2</v>
      </c>
      <c r="J45" s="210"/>
      <c r="K45" s="211" t="s">
        <v>49</v>
      </c>
      <c r="L45" s="89"/>
    </row>
    <row r="46" spans="1:12" ht="16.2" thickTop="1" x14ac:dyDescent="0.3">
      <c r="A46" s="51" t="s">
        <v>12</v>
      </c>
      <c r="B46" s="77"/>
      <c r="C46" s="39"/>
      <c r="D46" s="8"/>
      <c r="E46" s="37"/>
      <c r="F46" s="13"/>
      <c r="G46" s="47"/>
      <c r="H46" s="13"/>
      <c r="I46" s="123"/>
      <c r="J46" s="79"/>
      <c r="K46" s="58"/>
      <c r="L46" s="31"/>
    </row>
    <row r="47" spans="1:12" x14ac:dyDescent="0.25">
      <c r="A47" s="54" t="s">
        <v>114</v>
      </c>
      <c r="B47" s="29"/>
      <c r="C47" s="39"/>
      <c r="D47" s="8"/>
      <c r="E47" s="37"/>
      <c r="F47" s="13"/>
      <c r="G47" s="47"/>
      <c r="H47" s="13"/>
      <c r="I47" s="123"/>
      <c r="J47" s="79"/>
      <c r="K47" s="58"/>
      <c r="L47" s="25"/>
    </row>
    <row r="48" spans="1:12" x14ac:dyDescent="0.25">
      <c r="A48" s="5" t="s">
        <v>13</v>
      </c>
      <c r="B48" s="30"/>
      <c r="C48" s="42"/>
      <c r="D48" s="8"/>
      <c r="E48" s="37">
        <f>(C48/C49)*C50*2.1</f>
        <v>0</v>
      </c>
      <c r="F48" s="13"/>
      <c r="G48" s="47">
        <f>(C48/C49)*C50*4</f>
        <v>0</v>
      </c>
      <c r="H48" s="13"/>
      <c r="I48" s="123">
        <f>(E48+G48)/2</f>
        <v>0</v>
      </c>
      <c r="J48" s="79"/>
      <c r="K48" s="58">
        <f>(C48/C49)*C50*C51</f>
        <v>0</v>
      </c>
      <c r="L48" s="25"/>
    </row>
    <row r="49" spans="1:12" x14ac:dyDescent="0.25">
      <c r="A49" s="5" t="s">
        <v>51</v>
      </c>
      <c r="B49" s="30"/>
      <c r="C49" s="39">
        <v>365</v>
      </c>
      <c r="D49" s="8"/>
      <c r="E49" s="37"/>
      <c r="F49" s="13"/>
      <c r="G49" s="47"/>
      <c r="H49" s="13"/>
      <c r="I49" s="123"/>
      <c r="J49" s="79"/>
      <c r="K49" s="58"/>
      <c r="L49" s="25"/>
    </row>
    <row r="50" spans="1:12" x14ac:dyDescent="0.25">
      <c r="A50" s="5" t="s">
        <v>53</v>
      </c>
      <c r="B50" s="30"/>
      <c r="C50" s="78">
        <v>6.5000000000000002E-2</v>
      </c>
      <c r="D50" s="8"/>
      <c r="E50" s="37"/>
      <c r="F50" s="13"/>
      <c r="G50" s="47"/>
      <c r="H50" s="13"/>
      <c r="I50" s="123"/>
      <c r="J50" s="79"/>
      <c r="K50" s="58"/>
      <c r="L50" s="25"/>
    </row>
    <row r="51" spans="1:12" x14ac:dyDescent="0.25">
      <c r="A51" s="5" t="s">
        <v>103</v>
      </c>
      <c r="B51" s="30"/>
      <c r="C51" s="59">
        <v>3</v>
      </c>
      <c r="D51" s="8"/>
      <c r="E51" s="37"/>
      <c r="F51" s="13"/>
      <c r="G51" s="47"/>
      <c r="H51" s="13"/>
      <c r="I51" s="123"/>
      <c r="J51" s="79"/>
      <c r="K51" s="58"/>
      <c r="L51" s="25"/>
    </row>
    <row r="52" spans="1:12" x14ac:dyDescent="0.25">
      <c r="A52" s="6"/>
      <c r="B52" s="31"/>
      <c r="C52" s="39"/>
      <c r="D52" s="8"/>
      <c r="E52" s="37"/>
      <c r="F52" s="13"/>
      <c r="G52" s="47"/>
      <c r="H52" s="13"/>
      <c r="I52" s="123"/>
      <c r="J52" s="79"/>
      <c r="K52" s="58"/>
      <c r="L52" s="25"/>
    </row>
    <row r="53" spans="1:12" x14ac:dyDescent="0.25">
      <c r="A53" s="54" t="s">
        <v>76</v>
      </c>
      <c r="B53" s="29"/>
      <c r="C53" s="39"/>
      <c r="D53" s="8"/>
      <c r="E53" s="37"/>
      <c r="F53" s="13"/>
      <c r="G53" s="47"/>
      <c r="H53" s="13"/>
      <c r="I53" s="123"/>
      <c r="J53" s="79"/>
      <c r="K53" s="58"/>
      <c r="L53" s="25"/>
    </row>
    <row r="54" spans="1:12" x14ac:dyDescent="0.25">
      <c r="A54" s="5" t="s">
        <v>14</v>
      </c>
      <c r="B54" s="30"/>
      <c r="C54" s="39">
        <v>2</v>
      </c>
      <c r="D54" s="8"/>
      <c r="E54" s="37">
        <f>C54*C55*C56*0.16</f>
        <v>5342.2080000000005</v>
      </c>
      <c r="F54" s="13"/>
      <c r="G54" s="47">
        <f>C54*C55*C56*0.25</f>
        <v>8347.2000000000007</v>
      </c>
      <c r="H54" s="13"/>
      <c r="I54" s="123">
        <f>(E54+G54)/2</f>
        <v>6844.7040000000006</v>
      </c>
      <c r="J54" s="79"/>
      <c r="K54" s="58">
        <f>C54*C55*C56*C57</f>
        <v>8347.2000000000007</v>
      </c>
      <c r="L54" s="25"/>
    </row>
    <row r="55" spans="1:12" x14ac:dyDescent="0.25">
      <c r="A55" s="5" t="s">
        <v>7</v>
      </c>
      <c r="B55" s="30"/>
      <c r="C55" s="40">
        <v>960</v>
      </c>
      <c r="D55" s="8"/>
      <c r="E55" s="37"/>
      <c r="F55" s="13"/>
      <c r="G55" s="47"/>
      <c r="H55" s="13"/>
      <c r="I55" s="123"/>
      <c r="J55" s="79"/>
      <c r="K55" s="58"/>
      <c r="L55" s="25"/>
    </row>
    <row r="56" spans="1:12" x14ac:dyDescent="0.25">
      <c r="A56" s="5" t="s">
        <v>102</v>
      </c>
      <c r="B56" s="30"/>
      <c r="C56" s="41">
        <v>17.39</v>
      </c>
      <c r="D56" s="8"/>
      <c r="E56" s="37"/>
      <c r="F56" s="13"/>
      <c r="G56" s="47"/>
      <c r="H56" s="13"/>
      <c r="I56" s="123"/>
      <c r="J56" s="79"/>
      <c r="K56" s="58"/>
      <c r="L56" s="25"/>
    </row>
    <row r="57" spans="1:12" ht="13.8" thickBot="1" x14ac:dyDescent="0.3">
      <c r="A57" s="5" t="s">
        <v>22</v>
      </c>
      <c r="B57" s="30"/>
      <c r="C57" s="60">
        <v>0.25</v>
      </c>
      <c r="D57" s="8"/>
      <c r="E57" s="37"/>
      <c r="F57" s="13"/>
      <c r="G57" s="47"/>
      <c r="H57" s="13"/>
      <c r="I57" s="123"/>
      <c r="J57" s="79"/>
      <c r="K57" s="58"/>
      <c r="L57" s="36"/>
    </row>
    <row r="58" spans="1:12" ht="14.4" thickTop="1" thickBot="1" x14ac:dyDescent="0.3">
      <c r="A58" s="6"/>
      <c r="B58" s="31"/>
      <c r="C58" s="26"/>
      <c r="D58" s="31"/>
      <c r="E58" s="212"/>
      <c r="F58" s="79"/>
      <c r="G58" s="213"/>
      <c r="H58" s="79"/>
      <c r="I58" s="130"/>
      <c r="J58" s="214"/>
      <c r="K58" s="58"/>
      <c r="L58" s="25"/>
    </row>
    <row r="59" spans="1:12" ht="13.8" thickTop="1" x14ac:dyDescent="0.25">
      <c r="A59" s="54" t="s">
        <v>77</v>
      </c>
      <c r="B59" s="29"/>
      <c r="C59" s="39"/>
      <c r="D59" s="8"/>
      <c r="E59" s="37"/>
      <c r="F59" s="13"/>
      <c r="G59" s="47"/>
      <c r="H59" s="13"/>
      <c r="I59" s="123"/>
      <c r="J59" s="79"/>
      <c r="K59" s="58"/>
      <c r="L59" s="35"/>
    </row>
    <row r="60" spans="1:12" x14ac:dyDescent="0.25">
      <c r="A60" s="5" t="s">
        <v>16</v>
      </c>
      <c r="B60" s="30"/>
      <c r="C60" s="39">
        <v>2</v>
      </c>
      <c r="D60" s="8"/>
      <c r="E60" s="37">
        <f>C60*C61*C62*0.16</f>
        <v>5342.2080000000005</v>
      </c>
      <c r="F60" s="13"/>
      <c r="G60" s="47">
        <f>C60*C61*C62*0.25</f>
        <v>8347.2000000000007</v>
      </c>
      <c r="H60" s="13"/>
      <c r="I60" s="123">
        <f>(E60+G60)/2</f>
        <v>6844.7040000000006</v>
      </c>
      <c r="J60" s="79"/>
      <c r="K60" s="58">
        <f>C60*C61*C62*C63</f>
        <v>8347.2000000000007</v>
      </c>
      <c r="L60" s="25"/>
    </row>
    <row r="61" spans="1:12" x14ac:dyDescent="0.25">
      <c r="A61" s="5" t="s">
        <v>7</v>
      </c>
      <c r="B61" s="30"/>
      <c r="C61" s="40">
        <v>960</v>
      </c>
      <c r="D61" s="8"/>
      <c r="E61" s="37"/>
      <c r="F61" s="13"/>
      <c r="G61" s="47"/>
      <c r="H61" s="13"/>
      <c r="I61" s="123"/>
      <c r="J61" s="79"/>
      <c r="K61" s="58"/>
      <c r="L61" s="25"/>
    </row>
    <row r="62" spans="1:12" x14ac:dyDescent="0.25">
      <c r="A62" s="5" t="s">
        <v>15</v>
      </c>
      <c r="B62" s="30"/>
      <c r="C62" s="41">
        <v>17.39</v>
      </c>
      <c r="D62" s="8"/>
      <c r="E62" s="37"/>
      <c r="F62" s="13"/>
      <c r="G62" s="47"/>
      <c r="H62" s="13"/>
      <c r="I62" s="123"/>
      <c r="J62" s="79"/>
      <c r="K62" s="58"/>
      <c r="L62" s="25"/>
    </row>
    <row r="63" spans="1:12" x14ac:dyDescent="0.25">
      <c r="A63" s="5" t="s">
        <v>22</v>
      </c>
      <c r="B63" s="30"/>
      <c r="C63" s="60">
        <v>0.25</v>
      </c>
      <c r="D63" s="8"/>
      <c r="E63" s="37"/>
      <c r="F63" s="13"/>
      <c r="G63" s="47"/>
      <c r="H63" s="13"/>
      <c r="I63" s="123"/>
      <c r="J63" s="79"/>
      <c r="K63" s="58"/>
      <c r="L63" s="25"/>
    </row>
    <row r="64" spans="1:12" x14ac:dyDescent="0.25">
      <c r="A64" s="6"/>
      <c r="B64" s="31"/>
      <c r="C64" s="39"/>
      <c r="D64" s="8"/>
      <c r="E64" s="37"/>
      <c r="F64" s="13"/>
      <c r="G64" s="47"/>
      <c r="H64" s="13"/>
      <c r="I64" s="123"/>
      <c r="J64" s="79"/>
      <c r="K64" s="58"/>
      <c r="L64" s="25"/>
    </row>
    <row r="65" spans="1:12" x14ac:dyDescent="0.25">
      <c r="A65" s="54" t="s">
        <v>119</v>
      </c>
      <c r="B65" s="29"/>
      <c r="C65" s="39"/>
      <c r="D65" s="8"/>
      <c r="E65" s="37"/>
      <c r="F65" s="13"/>
      <c r="G65" s="47"/>
      <c r="H65" s="13"/>
      <c r="I65" s="123"/>
      <c r="J65" s="79"/>
      <c r="K65" s="58"/>
      <c r="L65" s="25"/>
    </row>
    <row r="66" spans="1:12" x14ac:dyDescent="0.25">
      <c r="A66" s="5" t="s">
        <v>120</v>
      </c>
      <c r="B66" s="30"/>
      <c r="C66" s="39">
        <v>1</v>
      </c>
      <c r="D66" s="8"/>
      <c r="E66" s="37">
        <f>C66*C67*C68*0.16</f>
        <v>834.72</v>
      </c>
      <c r="F66" s="13"/>
      <c r="G66" s="47">
        <f>C66*C67*C68*0.25</f>
        <v>1304.25</v>
      </c>
      <c r="H66" s="13"/>
      <c r="I66" s="123">
        <f>(E66+G66)/2</f>
        <v>1069.4850000000001</v>
      </c>
      <c r="J66" s="79"/>
      <c r="K66" s="58">
        <f>C66*C67*C68*C69</f>
        <v>1304.25</v>
      </c>
      <c r="L66" s="25"/>
    </row>
    <row r="67" spans="1:12" x14ac:dyDescent="0.25">
      <c r="A67" s="5" t="s">
        <v>7</v>
      </c>
      <c r="B67" s="30"/>
      <c r="C67" s="40">
        <v>300</v>
      </c>
      <c r="D67" s="8"/>
      <c r="E67" s="37"/>
      <c r="F67" s="13"/>
      <c r="G67" s="47"/>
      <c r="H67" s="13"/>
      <c r="I67" s="123"/>
      <c r="J67" s="79"/>
      <c r="K67" s="58"/>
      <c r="L67" s="25"/>
    </row>
    <row r="68" spans="1:12" x14ac:dyDescent="0.25">
      <c r="A68" s="5" t="s">
        <v>121</v>
      </c>
      <c r="B68" s="30"/>
      <c r="C68" s="41">
        <v>17.39</v>
      </c>
      <c r="D68" s="8"/>
      <c r="E68" s="37"/>
      <c r="F68" s="13"/>
      <c r="G68" s="47"/>
      <c r="H68" s="13"/>
      <c r="I68" s="123"/>
      <c r="J68" s="79"/>
      <c r="K68" s="58"/>
      <c r="L68" s="25"/>
    </row>
    <row r="69" spans="1:12" x14ac:dyDescent="0.25">
      <c r="A69" s="5" t="s">
        <v>22</v>
      </c>
      <c r="B69" s="30"/>
      <c r="C69" s="60">
        <v>0.25</v>
      </c>
      <c r="D69" s="8"/>
      <c r="E69" s="37"/>
      <c r="F69" s="13"/>
      <c r="G69" s="47"/>
      <c r="H69" s="13"/>
      <c r="I69" s="123"/>
      <c r="J69" s="79"/>
      <c r="K69" s="58"/>
      <c r="L69" s="25"/>
    </row>
    <row r="70" spans="1:12" x14ac:dyDescent="0.25">
      <c r="A70" s="6"/>
      <c r="B70" s="31"/>
      <c r="C70" s="39"/>
      <c r="D70" s="8"/>
      <c r="E70" s="37"/>
      <c r="F70" s="13"/>
      <c r="G70" s="47"/>
      <c r="H70" s="13"/>
      <c r="I70" s="123"/>
      <c r="J70" s="79"/>
      <c r="K70" s="58"/>
      <c r="L70" s="25"/>
    </row>
    <row r="71" spans="1:12" x14ac:dyDescent="0.25">
      <c r="A71" s="6"/>
      <c r="B71" s="31"/>
      <c r="C71" s="39"/>
      <c r="D71" s="8"/>
      <c r="E71" s="37"/>
      <c r="F71" s="13"/>
      <c r="G71" s="47"/>
      <c r="H71" s="13"/>
      <c r="I71" s="123"/>
      <c r="J71" s="79"/>
      <c r="K71" s="58"/>
      <c r="L71" s="25"/>
    </row>
    <row r="72" spans="1:12" x14ac:dyDescent="0.25">
      <c r="A72" s="6"/>
      <c r="B72" s="31"/>
      <c r="C72" s="39"/>
      <c r="D72" s="8"/>
      <c r="E72" s="37"/>
      <c r="F72" s="13"/>
      <c r="G72" s="47"/>
      <c r="H72" s="13"/>
      <c r="I72" s="123"/>
      <c r="J72" s="79"/>
      <c r="K72" s="58"/>
      <c r="L72" s="25"/>
    </row>
    <row r="73" spans="1:12" x14ac:dyDescent="0.25">
      <c r="A73" s="54" t="s">
        <v>122</v>
      </c>
      <c r="B73" s="29"/>
      <c r="C73" s="39"/>
      <c r="D73" s="8"/>
      <c r="E73" s="37"/>
      <c r="F73" s="13"/>
      <c r="G73" s="47"/>
      <c r="H73" s="13"/>
      <c r="I73" s="123"/>
      <c r="J73" s="79"/>
      <c r="K73" s="58"/>
      <c r="L73" s="25"/>
    </row>
    <row r="74" spans="1:12" x14ac:dyDescent="0.25">
      <c r="A74" s="5" t="s">
        <v>120</v>
      </c>
      <c r="B74" s="30"/>
      <c r="C74" s="39">
        <v>2</v>
      </c>
      <c r="D74" s="8"/>
      <c r="E74" s="37">
        <f>C74*C75*C76*0.16</f>
        <v>2504.16</v>
      </c>
      <c r="F74" s="13"/>
      <c r="G74" s="47">
        <f>C74*C75*C76*0.25</f>
        <v>3912.75</v>
      </c>
      <c r="H74" s="13"/>
      <c r="I74" s="123">
        <f>(E74+G74)/2</f>
        <v>3208.4549999999999</v>
      </c>
      <c r="J74" s="79"/>
      <c r="K74" s="58">
        <f>C74*C75*C76*C77</f>
        <v>3912.75</v>
      </c>
      <c r="L74" s="25"/>
    </row>
    <row r="75" spans="1:12" x14ac:dyDescent="0.25">
      <c r="A75" s="5" t="s">
        <v>7</v>
      </c>
      <c r="B75" s="30"/>
      <c r="C75" s="40">
        <v>450</v>
      </c>
      <c r="D75" s="8"/>
      <c r="E75" s="37"/>
      <c r="F75" s="13"/>
      <c r="G75" s="47"/>
      <c r="H75" s="13"/>
      <c r="I75" s="123"/>
      <c r="J75" s="79"/>
      <c r="K75" s="58"/>
      <c r="L75" s="25"/>
    </row>
    <row r="76" spans="1:12" x14ac:dyDescent="0.25">
      <c r="A76" s="5" t="s">
        <v>121</v>
      </c>
      <c r="B76" s="30"/>
      <c r="C76" s="41">
        <v>17.39</v>
      </c>
      <c r="D76" s="8"/>
      <c r="E76" s="37"/>
      <c r="F76" s="13"/>
      <c r="G76" s="47"/>
      <c r="H76" s="13"/>
      <c r="I76" s="123"/>
      <c r="J76" s="79"/>
      <c r="K76" s="58"/>
      <c r="L76" s="25"/>
    </row>
    <row r="77" spans="1:12" x14ac:dyDescent="0.25">
      <c r="A77" s="5" t="s">
        <v>22</v>
      </c>
      <c r="B77" s="30"/>
      <c r="C77" s="60">
        <v>0.25</v>
      </c>
      <c r="D77" s="8"/>
      <c r="E77" s="37"/>
      <c r="F77" s="13"/>
      <c r="G77" s="47"/>
      <c r="H77" s="13"/>
      <c r="I77" s="123"/>
      <c r="J77" s="79"/>
      <c r="K77" s="58"/>
      <c r="L77" s="25"/>
    </row>
    <row r="78" spans="1:12" x14ac:dyDescent="0.25">
      <c r="A78" s="5"/>
      <c r="B78" s="30"/>
      <c r="C78" s="60"/>
      <c r="D78" s="8"/>
      <c r="E78" s="37"/>
      <c r="F78" s="13"/>
      <c r="G78" s="47"/>
      <c r="H78" s="13"/>
      <c r="I78" s="123"/>
      <c r="J78" s="79"/>
      <c r="K78" s="58"/>
      <c r="L78" s="25"/>
    </row>
    <row r="79" spans="1:12" x14ac:dyDescent="0.25">
      <c r="A79" s="54" t="s">
        <v>123</v>
      </c>
      <c r="B79" s="29"/>
      <c r="C79" s="39"/>
      <c r="D79" s="8"/>
      <c r="E79" s="37"/>
      <c r="F79" s="13"/>
      <c r="G79" s="47"/>
      <c r="H79" s="13"/>
      <c r="I79" s="123"/>
      <c r="J79" s="79"/>
      <c r="K79" s="58"/>
      <c r="L79" s="25"/>
    </row>
    <row r="80" spans="1:12" x14ac:dyDescent="0.25">
      <c r="A80" s="5" t="s">
        <v>120</v>
      </c>
      <c r="B80" s="30"/>
      <c r="C80" s="39">
        <v>1</v>
      </c>
      <c r="D80" s="8"/>
      <c r="E80" s="37">
        <f>C80*C81*C82*0.16</f>
        <v>2643.28</v>
      </c>
      <c r="F80" s="13"/>
      <c r="G80" s="47">
        <f>C80*C81*C82*0.25</f>
        <v>4130.125</v>
      </c>
      <c r="H80" s="13"/>
      <c r="I80" s="123">
        <f>(E80+G80)/2</f>
        <v>3386.7025000000003</v>
      </c>
      <c r="J80" s="79"/>
      <c r="K80" s="58">
        <f>C80*C81*C82*C83</f>
        <v>4130.125</v>
      </c>
      <c r="L80" s="25"/>
    </row>
    <row r="81" spans="1:13" x14ac:dyDescent="0.25">
      <c r="A81" s="5" t="s">
        <v>7</v>
      </c>
      <c r="B81" s="30"/>
      <c r="C81" s="40">
        <v>950</v>
      </c>
      <c r="D81" s="8"/>
      <c r="E81" s="37"/>
      <c r="F81" s="13"/>
      <c r="G81" s="47"/>
      <c r="H81" s="13"/>
      <c r="I81" s="123"/>
      <c r="J81" s="79"/>
      <c r="K81" s="58"/>
      <c r="L81" s="25"/>
    </row>
    <row r="82" spans="1:13" x14ac:dyDescent="0.25">
      <c r="A82" s="5" t="s">
        <v>121</v>
      </c>
      <c r="B82" s="30"/>
      <c r="C82" s="41">
        <v>17.39</v>
      </c>
      <c r="D82" s="8"/>
      <c r="E82" s="37"/>
      <c r="F82" s="13"/>
      <c r="G82" s="47"/>
      <c r="H82" s="13"/>
      <c r="I82" s="123"/>
      <c r="J82" s="79"/>
      <c r="K82" s="58"/>
      <c r="L82" s="25"/>
    </row>
    <row r="83" spans="1:13" x14ac:dyDescent="0.25">
      <c r="A83" s="5" t="s">
        <v>22</v>
      </c>
      <c r="B83" s="30"/>
      <c r="C83" s="60">
        <v>0.25</v>
      </c>
      <c r="D83" s="8"/>
      <c r="E83" s="37"/>
      <c r="F83" s="13"/>
      <c r="G83" s="47"/>
      <c r="H83" s="13"/>
      <c r="I83" s="123"/>
      <c r="J83" s="79"/>
      <c r="K83" s="58"/>
      <c r="L83" s="25"/>
    </row>
    <row r="84" spans="1:13" x14ac:dyDescent="0.25">
      <c r="A84" s="5"/>
      <c r="B84" s="30"/>
      <c r="C84" s="60"/>
      <c r="D84" s="8"/>
      <c r="E84" s="37"/>
      <c r="F84" s="13"/>
      <c r="G84" s="47"/>
      <c r="H84" s="13"/>
      <c r="I84" s="123"/>
      <c r="J84" s="79"/>
      <c r="K84" s="58"/>
      <c r="L84" s="25"/>
    </row>
    <row r="85" spans="1:13" x14ac:dyDescent="0.25">
      <c r="A85" s="54" t="s">
        <v>78</v>
      </c>
      <c r="B85" s="29"/>
      <c r="C85" s="39"/>
      <c r="D85" s="8"/>
      <c r="E85" s="37"/>
      <c r="F85" s="13"/>
      <c r="G85" s="47"/>
      <c r="H85" s="13"/>
      <c r="I85" s="123"/>
      <c r="J85" s="79"/>
      <c r="K85" s="58"/>
      <c r="L85" s="25"/>
    </row>
    <row r="86" spans="1:13" x14ac:dyDescent="0.25">
      <c r="A86" s="5" t="s">
        <v>17</v>
      </c>
      <c r="B86" s="30"/>
      <c r="C86" s="39">
        <v>2</v>
      </c>
      <c r="D86" s="8"/>
      <c r="E86" s="37">
        <f>C86*C87*C88*0.583043333585248</f>
        <v>38934.234512822244</v>
      </c>
      <c r="F86" s="13"/>
      <c r="G86" s="47">
        <f>C86*C87*C88*0.25</f>
        <v>16694.400000000001</v>
      </c>
      <c r="H86" s="13"/>
      <c r="I86" s="123">
        <f>(E86+G86)/2</f>
        <v>27814.317256411123</v>
      </c>
      <c r="J86" s="79"/>
      <c r="K86" s="58">
        <f>C86*C87*C88*C89</f>
        <v>10684.416000000001</v>
      </c>
      <c r="L86" s="25"/>
    </row>
    <row r="87" spans="1:13" x14ac:dyDescent="0.25">
      <c r="A87" s="5" t="s">
        <v>7</v>
      </c>
      <c r="B87" s="30"/>
      <c r="C87" s="40">
        <v>1920</v>
      </c>
      <c r="D87" s="8"/>
      <c r="E87" s="37"/>
      <c r="F87" s="13"/>
      <c r="G87" s="47"/>
      <c r="H87" s="13"/>
      <c r="I87" s="123"/>
      <c r="J87" s="79"/>
      <c r="K87" s="58"/>
      <c r="L87" s="25"/>
    </row>
    <row r="88" spans="1:13" x14ac:dyDescent="0.25">
      <c r="A88" s="5" t="s">
        <v>18</v>
      </c>
      <c r="B88" s="30"/>
      <c r="C88" s="41">
        <v>17.39</v>
      </c>
      <c r="D88" s="8"/>
      <c r="E88" s="37"/>
      <c r="F88" s="13"/>
      <c r="G88" s="47"/>
      <c r="H88" s="13"/>
      <c r="I88" s="123"/>
      <c r="J88" s="79"/>
      <c r="K88" s="58"/>
      <c r="L88" s="25"/>
    </row>
    <row r="89" spans="1:13" x14ac:dyDescent="0.25">
      <c r="A89" s="5" t="s">
        <v>22</v>
      </c>
      <c r="B89" s="30"/>
      <c r="C89" s="60">
        <v>0.16</v>
      </c>
      <c r="D89" s="8"/>
      <c r="E89" s="37"/>
      <c r="F89" s="13"/>
      <c r="G89" s="47"/>
      <c r="H89" s="13"/>
      <c r="I89" s="123"/>
      <c r="J89" s="79"/>
      <c r="K89" s="58"/>
      <c r="L89" s="25"/>
    </row>
    <row r="90" spans="1:13" x14ac:dyDescent="0.25">
      <c r="A90" s="5"/>
      <c r="B90" s="30"/>
      <c r="C90" s="39"/>
      <c r="D90" s="8"/>
      <c r="E90" s="37"/>
      <c r="F90" s="13"/>
      <c r="G90" s="47"/>
      <c r="H90" s="13"/>
      <c r="I90" s="123"/>
      <c r="J90" s="79"/>
      <c r="K90" s="58"/>
      <c r="L90" s="25"/>
    </row>
    <row r="91" spans="1:13" x14ac:dyDescent="0.25">
      <c r="A91" s="54" t="s">
        <v>73</v>
      </c>
      <c r="B91" s="29"/>
      <c r="C91" s="39"/>
      <c r="D91" s="8"/>
      <c r="E91" s="37"/>
      <c r="F91" s="13"/>
      <c r="G91" s="47"/>
      <c r="H91" s="13"/>
      <c r="I91" s="123"/>
      <c r="J91" s="79"/>
      <c r="K91" s="58"/>
      <c r="L91" s="25"/>
    </row>
    <row r="92" spans="1:13" x14ac:dyDescent="0.25">
      <c r="A92" s="5" t="s">
        <v>40</v>
      </c>
      <c r="B92" s="30"/>
      <c r="C92" s="42"/>
      <c r="D92" s="13"/>
      <c r="E92" s="37">
        <f>C92*C93*0</f>
        <v>0</v>
      </c>
      <c r="F92" s="13"/>
      <c r="G92" s="47">
        <f>C92*C93*0.25</f>
        <v>0</v>
      </c>
      <c r="H92" s="13"/>
      <c r="I92" s="123">
        <f>(E92+G92)/2</f>
        <v>0</v>
      </c>
      <c r="J92" s="79"/>
      <c r="K92" s="58">
        <f>C92*C93*C94</f>
        <v>0</v>
      </c>
      <c r="L92" s="25"/>
    </row>
    <row r="93" spans="1:13" x14ac:dyDescent="0.25">
      <c r="A93" s="5" t="s">
        <v>41</v>
      </c>
      <c r="B93" s="30"/>
      <c r="C93" s="39">
        <v>12</v>
      </c>
      <c r="D93" s="8"/>
      <c r="E93" s="37"/>
      <c r="F93" s="13"/>
      <c r="G93" s="47"/>
      <c r="H93" s="13"/>
      <c r="I93" s="123"/>
      <c r="J93" s="79"/>
      <c r="K93" s="58"/>
      <c r="L93" s="25"/>
    </row>
    <row r="94" spans="1:13" x14ac:dyDescent="0.25">
      <c r="A94" s="5" t="s">
        <v>42</v>
      </c>
      <c r="B94" s="30"/>
      <c r="C94" s="41"/>
      <c r="D94" s="8"/>
      <c r="E94" s="37"/>
      <c r="F94" s="13"/>
      <c r="G94" s="47"/>
      <c r="H94" s="13"/>
      <c r="I94" s="123"/>
      <c r="J94" s="79"/>
      <c r="K94" s="58"/>
      <c r="L94" s="25"/>
    </row>
    <row r="95" spans="1:13" ht="13.8" thickBot="1" x14ac:dyDescent="0.3">
      <c r="A95" s="134" t="s">
        <v>48</v>
      </c>
      <c r="B95" s="70"/>
      <c r="C95" s="71"/>
      <c r="D95" s="88"/>
      <c r="E95" s="73">
        <f>SUM(E48:E94)</f>
        <v>55600.810512822245</v>
      </c>
      <c r="F95" s="132"/>
      <c r="G95" s="75">
        <f>SUM(G48:G94)</f>
        <v>42735.925000000003</v>
      </c>
      <c r="H95" s="132"/>
      <c r="I95" s="128">
        <f>SUM(I48:I94)</f>
        <v>49168.367756411128</v>
      </c>
      <c r="J95" s="215"/>
      <c r="K95" s="133">
        <f>SUM(K48:K94)</f>
        <v>36725.941000000006</v>
      </c>
      <c r="L95" s="36"/>
    </row>
    <row r="96" spans="1:13" ht="13.8" thickTop="1" x14ac:dyDescent="0.25">
      <c r="A96" s="84"/>
      <c r="B96" s="62"/>
      <c r="C96" s="66"/>
      <c r="D96" s="63"/>
      <c r="E96" s="85"/>
      <c r="F96" s="86"/>
      <c r="G96" s="87"/>
      <c r="H96" s="86"/>
      <c r="I96" s="131"/>
      <c r="J96" s="86"/>
      <c r="K96" s="64"/>
      <c r="L96" s="63"/>
      <c r="M96" s="63"/>
    </row>
    <row r="97" spans="1:13" x14ac:dyDescent="0.25">
      <c r="A97" s="84"/>
      <c r="B97" s="62"/>
      <c r="C97" s="66"/>
      <c r="D97" s="63"/>
      <c r="E97" s="85"/>
      <c r="F97" s="86"/>
      <c r="G97" s="87"/>
      <c r="H97" s="86"/>
      <c r="I97" s="131"/>
      <c r="J97" s="86"/>
      <c r="K97" s="64"/>
      <c r="L97" s="63"/>
      <c r="M97" s="63"/>
    </row>
    <row r="98" spans="1:13" x14ac:dyDescent="0.25">
      <c r="A98" s="84"/>
      <c r="B98" s="62"/>
      <c r="C98" s="66"/>
      <c r="D98" s="63"/>
      <c r="E98" s="85"/>
      <c r="F98" s="86"/>
      <c r="G98" s="87"/>
      <c r="H98" s="86"/>
      <c r="I98" s="131"/>
      <c r="J98" s="86"/>
      <c r="K98" s="64"/>
      <c r="L98" s="63"/>
      <c r="M98" s="63"/>
    </row>
    <row r="99" spans="1:13" ht="13.8" thickBot="1" x14ac:dyDescent="0.3">
      <c r="A99" s="84"/>
      <c r="B99" s="62"/>
      <c r="C99" s="66"/>
      <c r="D99" s="63"/>
      <c r="E99" s="85"/>
      <c r="F99" s="86"/>
      <c r="G99" s="87"/>
      <c r="H99" s="86"/>
      <c r="I99" s="131"/>
      <c r="J99" s="86"/>
      <c r="K99" s="64"/>
      <c r="L99" s="63"/>
      <c r="M99" s="63"/>
    </row>
    <row r="100" spans="1:13" ht="14.4" thickTop="1" thickBot="1" x14ac:dyDescent="0.3">
      <c r="A100" s="154"/>
      <c r="B100" s="195"/>
      <c r="C100" s="155"/>
      <c r="D100" s="10"/>
      <c r="E100" s="201" t="s">
        <v>84</v>
      </c>
      <c r="F100" s="202"/>
      <c r="G100" s="203"/>
      <c r="H100" s="202"/>
      <c r="I100" s="204"/>
      <c r="J100" s="202"/>
      <c r="K100" s="205"/>
      <c r="L100" s="35"/>
      <c r="M100" s="63"/>
    </row>
    <row r="101" spans="1:13" ht="14.4" thickTop="1" thickBot="1" x14ac:dyDescent="0.3">
      <c r="A101" s="93" t="s">
        <v>0</v>
      </c>
      <c r="B101" s="94"/>
      <c r="C101" s="95" t="s">
        <v>1</v>
      </c>
      <c r="D101" s="96"/>
      <c r="E101" s="206" t="s">
        <v>71</v>
      </c>
      <c r="F101" s="216"/>
      <c r="G101" s="208" t="s">
        <v>72</v>
      </c>
      <c r="H101" s="207"/>
      <c r="I101" s="209" t="s">
        <v>2</v>
      </c>
      <c r="J101" s="210"/>
      <c r="K101" s="211" t="s">
        <v>49</v>
      </c>
      <c r="L101" s="89"/>
      <c r="M101" s="63"/>
    </row>
    <row r="102" spans="1:13" ht="16.2" thickTop="1" x14ac:dyDescent="0.3">
      <c r="A102" s="51" t="s">
        <v>19</v>
      </c>
      <c r="B102" s="77"/>
      <c r="C102" s="39"/>
      <c r="D102" s="8"/>
      <c r="E102" s="37"/>
      <c r="F102" s="13"/>
      <c r="G102" s="47"/>
      <c r="H102" s="13"/>
      <c r="I102" s="123"/>
      <c r="J102" s="79"/>
      <c r="K102" s="58"/>
      <c r="L102" s="31"/>
    </row>
    <row r="103" spans="1:13" x14ac:dyDescent="0.25">
      <c r="A103" s="54" t="s">
        <v>79</v>
      </c>
      <c r="B103" s="29"/>
      <c r="C103" s="39"/>
      <c r="D103" s="8"/>
      <c r="E103" s="37"/>
      <c r="F103" s="13"/>
      <c r="G103" s="47"/>
      <c r="H103" s="13"/>
      <c r="I103" s="123"/>
      <c r="J103" s="79"/>
      <c r="K103" s="58"/>
      <c r="L103" s="25"/>
    </row>
    <row r="104" spans="1:13" x14ac:dyDescent="0.25">
      <c r="A104" s="5" t="s">
        <v>20</v>
      </c>
      <c r="B104" s="30"/>
      <c r="C104" s="40"/>
      <c r="D104" s="8"/>
      <c r="E104" s="37">
        <f>C104*C105*C106*0.16</f>
        <v>0</v>
      </c>
      <c r="F104" s="13"/>
      <c r="G104" s="47">
        <f>C104*C105*C106*0.25</f>
        <v>0</v>
      </c>
      <c r="H104" s="13"/>
      <c r="I104" s="123">
        <f>(E104+G104)/2</f>
        <v>0</v>
      </c>
      <c r="J104" s="79"/>
      <c r="K104" s="58">
        <f>C104*C105*C106*C107</f>
        <v>0</v>
      </c>
      <c r="L104" s="25"/>
    </row>
    <row r="105" spans="1:13" x14ac:dyDescent="0.25">
      <c r="A105" s="5" t="s">
        <v>7</v>
      </c>
      <c r="B105" s="30"/>
      <c r="C105" s="40">
        <v>2080</v>
      </c>
      <c r="D105" s="8"/>
      <c r="E105" s="37"/>
      <c r="F105" s="13"/>
      <c r="G105" s="47"/>
      <c r="H105" s="13"/>
      <c r="I105" s="123"/>
      <c r="J105" s="79"/>
      <c r="K105" s="58"/>
      <c r="L105" s="25"/>
    </row>
    <row r="106" spans="1:13" x14ac:dyDescent="0.25">
      <c r="A106" s="5" t="s">
        <v>21</v>
      </c>
      <c r="B106" s="30"/>
      <c r="C106" s="41"/>
      <c r="D106" s="8"/>
      <c r="E106" s="37"/>
      <c r="F106" s="13"/>
      <c r="G106" s="47"/>
      <c r="H106" s="13"/>
      <c r="I106" s="123"/>
      <c r="J106" s="79"/>
      <c r="K106" s="58"/>
      <c r="L106" s="25"/>
    </row>
    <row r="107" spans="1:13" x14ac:dyDescent="0.25">
      <c r="A107" s="5" t="s">
        <v>22</v>
      </c>
      <c r="B107" s="30"/>
      <c r="C107" s="60"/>
      <c r="D107" s="8"/>
      <c r="E107" s="37"/>
      <c r="F107" s="13"/>
      <c r="G107" s="47"/>
      <c r="H107" s="13"/>
      <c r="I107" s="123"/>
      <c r="J107" s="79"/>
      <c r="K107" s="58"/>
      <c r="L107" s="25"/>
    </row>
    <row r="108" spans="1:13" x14ac:dyDescent="0.25">
      <c r="A108" s="6"/>
      <c r="B108" s="31"/>
      <c r="C108" s="39"/>
      <c r="D108" s="8"/>
      <c r="E108" s="37"/>
      <c r="F108" s="13"/>
      <c r="G108" s="47"/>
      <c r="H108" s="13"/>
      <c r="I108" s="123"/>
      <c r="J108" s="79"/>
      <c r="K108" s="58"/>
      <c r="L108" s="25"/>
    </row>
    <row r="109" spans="1:13" x14ac:dyDescent="0.25">
      <c r="A109" s="54" t="s">
        <v>80</v>
      </c>
      <c r="B109" s="29"/>
      <c r="C109" s="39"/>
      <c r="D109" s="8"/>
      <c r="E109" s="37"/>
      <c r="F109" s="13"/>
      <c r="G109" s="47"/>
      <c r="H109" s="13"/>
      <c r="I109" s="123"/>
      <c r="J109" s="79"/>
      <c r="K109" s="58"/>
      <c r="L109" s="25"/>
    </row>
    <row r="110" spans="1:13" x14ac:dyDescent="0.25">
      <c r="A110" s="5" t="s">
        <v>23</v>
      </c>
      <c r="B110" s="30"/>
      <c r="C110" s="42"/>
      <c r="D110" s="8"/>
      <c r="E110" s="37">
        <f>(C110+C111)*C112*0.16</f>
        <v>0</v>
      </c>
      <c r="F110" s="13"/>
      <c r="G110" s="47">
        <f>(C110+C111)*C112*0.44</f>
        <v>0</v>
      </c>
      <c r="H110" s="13"/>
      <c r="I110" s="123">
        <f>(E110+G110)/2</f>
        <v>0</v>
      </c>
      <c r="J110" s="79"/>
      <c r="K110" s="58">
        <f>(C110+C111)*C112*C113</f>
        <v>0</v>
      </c>
      <c r="L110" s="25"/>
    </row>
    <row r="111" spans="1:13" x14ac:dyDescent="0.25">
      <c r="A111" s="5" t="s">
        <v>25</v>
      </c>
      <c r="B111" s="30"/>
      <c r="C111" s="42"/>
      <c r="D111" s="8"/>
      <c r="E111" s="37"/>
      <c r="F111" s="13"/>
      <c r="G111" s="47"/>
      <c r="H111" s="13"/>
      <c r="I111" s="123"/>
      <c r="J111" s="79"/>
      <c r="K111" s="58"/>
      <c r="L111" s="25"/>
    </row>
    <row r="112" spans="1:13" x14ac:dyDescent="0.25">
      <c r="A112" s="5" t="s">
        <v>24</v>
      </c>
      <c r="B112" s="30"/>
      <c r="C112" s="39"/>
      <c r="D112" s="8"/>
      <c r="E112" s="37"/>
      <c r="F112" s="13"/>
      <c r="G112" s="47"/>
      <c r="H112" s="13"/>
      <c r="I112" s="123"/>
      <c r="J112" s="79"/>
      <c r="K112" s="58"/>
      <c r="L112" s="25"/>
    </row>
    <row r="113" spans="1:12" x14ac:dyDescent="0.25">
      <c r="A113" s="5" t="s">
        <v>26</v>
      </c>
      <c r="B113" s="30"/>
      <c r="C113" s="60"/>
      <c r="D113" s="8"/>
      <c r="E113" s="37"/>
      <c r="F113" s="13"/>
      <c r="G113" s="47"/>
      <c r="H113" s="13"/>
      <c r="I113" s="123"/>
      <c r="J113" s="79"/>
      <c r="K113" s="58"/>
      <c r="L113" s="25"/>
    </row>
    <row r="114" spans="1:12" x14ac:dyDescent="0.25">
      <c r="A114" s="6"/>
      <c r="B114" s="31"/>
      <c r="C114" s="39"/>
      <c r="D114" s="8"/>
      <c r="E114" s="37"/>
      <c r="F114" s="13"/>
      <c r="G114" s="47"/>
      <c r="H114" s="13"/>
      <c r="I114" s="123"/>
      <c r="J114" s="79"/>
      <c r="K114" s="58"/>
      <c r="L114" s="25"/>
    </row>
    <row r="115" spans="1:12" x14ac:dyDescent="0.25">
      <c r="A115" s="54" t="s">
        <v>27</v>
      </c>
      <c r="B115" s="29"/>
      <c r="C115" s="39"/>
      <c r="D115" s="8"/>
      <c r="E115" s="37"/>
      <c r="F115" s="13"/>
      <c r="G115" s="47"/>
      <c r="H115" s="13"/>
      <c r="I115" s="123"/>
      <c r="J115" s="79"/>
      <c r="K115" s="58"/>
      <c r="L115" s="25"/>
    </row>
    <row r="116" spans="1:12" x14ac:dyDescent="0.25">
      <c r="A116" s="5" t="s">
        <v>28</v>
      </c>
      <c r="B116" s="30"/>
      <c r="C116" s="40">
        <v>10</v>
      </c>
      <c r="D116" s="8"/>
      <c r="E116" s="37">
        <f>C116*C117*C118*C119*0</f>
        <v>0</v>
      </c>
      <c r="F116" s="13"/>
      <c r="G116" s="47">
        <f>C116*C117*C118*C119*1</f>
        <v>3478</v>
      </c>
      <c r="H116" s="13"/>
      <c r="I116" s="123">
        <f>(E116+G116)/2</f>
        <v>1739</v>
      </c>
      <c r="J116" s="79"/>
      <c r="K116" s="58">
        <f>C116*C117*C118*C119*C120</f>
        <v>3478</v>
      </c>
      <c r="L116" s="25"/>
    </row>
    <row r="117" spans="1:12" x14ac:dyDescent="0.25">
      <c r="A117" s="5" t="s">
        <v>29</v>
      </c>
      <c r="B117" s="30"/>
      <c r="C117" s="40">
        <v>20</v>
      </c>
      <c r="D117" s="8"/>
      <c r="E117" s="37"/>
      <c r="F117" s="13"/>
      <c r="G117" s="47"/>
      <c r="H117" s="13"/>
      <c r="I117" s="123"/>
      <c r="J117" s="79"/>
      <c r="K117" s="58"/>
      <c r="L117" s="25"/>
    </row>
    <row r="118" spans="1:12" x14ac:dyDescent="0.25">
      <c r="A118" s="5" t="s">
        <v>45</v>
      </c>
      <c r="B118" s="30"/>
      <c r="C118" s="40">
        <v>1</v>
      </c>
      <c r="D118" s="8"/>
      <c r="E118" s="37"/>
      <c r="F118" s="13"/>
      <c r="G118" s="47"/>
      <c r="H118" s="13"/>
      <c r="I118" s="123"/>
      <c r="J118" s="79"/>
      <c r="K118" s="58"/>
      <c r="L118" s="25"/>
    </row>
    <row r="119" spans="1:12" x14ac:dyDescent="0.25">
      <c r="A119" s="5" t="s">
        <v>30</v>
      </c>
      <c r="B119" s="30"/>
      <c r="C119" s="41">
        <v>17.39</v>
      </c>
      <c r="D119" s="8"/>
      <c r="E119" s="37"/>
      <c r="F119" s="13"/>
      <c r="G119" s="47"/>
      <c r="H119" s="13"/>
      <c r="I119" s="123"/>
      <c r="J119" s="79"/>
      <c r="K119" s="58"/>
      <c r="L119" s="25"/>
    </row>
    <row r="120" spans="1:12" ht="13.8" thickBot="1" x14ac:dyDescent="0.3">
      <c r="A120" s="5" t="s">
        <v>44</v>
      </c>
      <c r="B120" s="30"/>
      <c r="C120" s="60">
        <v>1</v>
      </c>
      <c r="D120" s="8"/>
      <c r="E120" s="37"/>
      <c r="F120" s="13"/>
      <c r="G120" s="47"/>
      <c r="H120" s="13"/>
      <c r="I120" s="123"/>
      <c r="J120" s="79"/>
      <c r="K120" s="58"/>
      <c r="L120" s="55"/>
    </row>
    <row r="121" spans="1:12" ht="13.8" thickTop="1" x14ac:dyDescent="0.25">
      <c r="A121" s="5"/>
      <c r="B121" s="30"/>
      <c r="C121" s="90"/>
      <c r="D121" s="31"/>
      <c r="E121" s="212"/>
      <c r="F121" s="79"/>
      <c r="G121" s="213"/>
      <c r="H121" s="79"/>
      <c r="I121" s="130"/>
      <c r="J121" s="79"/>
      <c r="K121" s="58"/>
      <c r="L121" s="31"/>
    </row>
    <row r="122" spans="1:12" x14ac:dyDescent="0.25">
      <c r="A122" s="54" t="s">
        <v>124</v>
      </c>
      <c r="B122" s="29"/>
      <c r="C122" s="39"/>
      <c r="D122" s="8"/>
      <c r="E122" s="37"/>
      <c r="F122" s="13"/>
      <c r="G122" s="47"/>
      <c r="H122" s="13"/>
      <c r="I122" s="123"/>
      <c r="J122" s="79"/>
      <c r="K122" s="58"/>
      <c r="L122" s="31"/>
    </row>
    <row r="123" spans="1:12" x14ac:dyDescent="0.25">
      <c r="A123" s="5" t="s">
        <v>125</v>
      </c>
      <c r="B123" s="30"/>
      <c r="C123" s="39">
        <v>2</v>
      </c>
      <c r="D123" s="8"/>
      <c r="E123" s="37">
        <f>C123*C124*C125*0.16</f>
        <v>2782.4</v>
      </c>
      <c r="F123" s="13"/>
      <c r="G123" s="47">
        <f>C123*C124*C125*0.25</f>
        <v>4347.5</v>
      </c>
      <c r="H123" s="13"/>
      <c r="I123" s="123">
        <f>(E123+G123)/2</f>
        <v>3564.95</v>
      </c>
      <c r="J123" s="79"/>
      <c r="K123" s="58">
        <f>C123*C124*C125*C126</f>
        <v>2782.4</v>
      </c>
      <c r="L123" s="31"/>
    </row>
    <row r="124" spans="1:12" x14ac:dyDescent="0.25">
      <c r="A124" s="5" t="s">
        <v>7</v>
      </c>
      <c r="B124" s="30"/>
      <c r="C124" s="40">
        <v>500</v>
      </c>
      <c r="D124" s="8"/>
      <c r="E124" s="37"/>
      <c r="F124" s="13"/>
      <c r="G124" s="47"/>
      <c r="H124" s="13"/>
      <c r="I124" s="123"/>
      <c r="J124" s="79"/>
      <c r="K124" s="58"/>
      <c r="L124" s="31"/>
    </row>
    <row r="125" spans="1:12" x14ac:dyDescent="0.25">
      <c r="A125" s="5" t="s">
        <v>126</v>
      </c>
      <c r="B125" s="30"/>
      <c r="C125" s="41">
        <v>17.39</v>
      </c>
      <c r="D125" s="8"/>
      <c r="E125" s="37"/>
      <c r="F125" s="13"/>
      <c r="G125" s="47"/>
      <c r="H125" s="13"/>
      <c r="I125" s="123"/>
      <c r="J125" s="79"/>
      <c r="K125" s="58"/>
      <c r="L125" s="31"/>
    </row>
    <row r="126" spans="1:12" x14ac:dyDescent="0.25">
      <c r="A126" s="5" t="s">
        <v>22</v>
      </c>
      <c r="B126" s="30"/>
      <c r="C126" s="60">
        <v>0.16</v>
      </c>
      <c r="D126" s="8"/>
      <c r="E126" s="37"/>
      <c r="F126" s="13"/>
      <c r="G126" s="47"/>
      <c r="H126" s="13"/>
      <c r="I126" s="123"/>
      <c r="J126" s="79"/>
      <c r="K126" s="58"/>
      <c r="L126" s="31"/>
    </row>
    <row r="127" spans="1:12" ht="13.8" thickBot="1" x14ac:dyDescent="0.3">
      <c r="A127" s="5"/>
      <c r="B127" s="30"/>
      <c r="C127" s="60"/>
      <c r="D127" s="8"/>
      <c r="E127" s="37"/>
      <c r="F127" s="13"/>
      <c r="G127" s="47"/>
      <c r="H127" s="13"/>
      <c r="I127" s="123"/>
      <c r="J127" s="79"/>
      <c r="K127" s="58"/>
      <c r="L127" s="31"/>
    </row>
    <row r="128" spans="1:12" ht="13.8" thickTop="1" x14ac:dyDescent="0.25">
      <c r="A128" s="54" t="s">
        <v>81</v>
      </c>
      <c r="B128" s="29"/>
      <c r="C128" s="39"/>
      <c r="D128" s="8"/>
      <c r="E128" s="37"/>
      <c r="F128" s="13"/>
      <c r="G128" s="47"/>
      <c r="H128" s="13"/>
      <c r="I128" s="124"/>
      <c r="J128" s="13"/>
      <c r="K128" s="58"/>
      <c r="L128" s="35"/>
    </row>
    <row r="129" spans="1:13" x14ac:dyDescent="0.25">
      <c r="A129" s="12" t="s">
        <v>54</v>
      </c>
      <c r="B129" s="91"/>
      <c r="C129" s="39" t="s">
        <v>127</v>
      </c>
      <c r="D129" s="8"/>
      <c r="E129" s="37"/>
      <c r="F129" s="13"/>
      <c r="G129" s="47"/>
      <c r="H129" s="13"/>
      <c r="I129" s="124"/>
      <c r="J129" s="106"/>
      <c r="K129" s="80"/>
      <c r="L129" s="25"/>
      <c r="M129" t="s">
        <v>127</v>
      </c>
    </row>
    <row r="130" spans="1:13" x14ac:dyDescent="0.25">
      <c r="A130" s="5" t="s">
        <v>32</v>
      </c>
      <c r="B130" s="30"/>
      <c r="C130" s="42"/>
      <c r="D130" s="8"/>
      <c r="F130" s="13"/>
      <c r="G130" s="47"/>
      <c r="H130" s="13"/>
      <c r="I130" s="124"/>
      <c r="J130" s="106"/>
      <c r="K130" s="80"/>
      <c r="L130" s="25"/>
    </row>
    <row r="131" spans="1:13" x14ac:dyDescent="0.25">
      <c r="A131" s="5" t="s">
        <v>33</v>
      </c>
      <c r="B131" s="30"/>
      <c r="C131" s="60">
        <v>0.06</v>
      </c>
      <c r="D131" s="8"/>
      <c r="E131" s="37"/>
      <c r="F131" s="13"/>
      <c r="G131" s="47"/>
      <c r="H131" s="13"/>
      <c r="I131" s="124"/>
      <c r="J131" s="106"/>
      <c r="K131" s="80"/>
      <c r="L131" s="25"/>
    </row>
    <row r="132" spans="1:13" x14ac:dyDescent="0.25">
      <c r="A132" s="12" t="s">
        <v>31</v>
      </c>
      <c r="B132" s="91"/>
      <c r="C132" s="39"/>
      <c r="D132" s="8"/>
      <c r="F132" s="13"/>
      <c r="H132" s="13"/>
      <c r="J132" s="106"/>
      <c r="L132" s="25"/>
      <c r="M132" t="s">
        <v>127</v>
      </c>
    </row>
    <row r="133" spans="1:13" x14ac:dyDescent="0.25">
      <c r="A133" s="5" t="s">
        <v>34</v>
      </c>
      <c r="B133" s="30"/>
      <c r="C133" s="60">
        <v>0.25</v>
      </c>
      <c r="D133" s="8"/>
      <c r="E133" s="37">
        <f>C130*0.04*0.18</f>
        <v>0</v>
      </c>
      <c r="F133" s="13"/>
      <c r="G133" s="47">
        <f>C130*0.06*0.25</f>
        <v>0</v>
      </c>
      <c r="H133" s="13"/>
      <c r="I133" s="124">
        <f>(E133+G133)/2</f>
        <v>0</v>
      </c>
      <c r="J133" s="106"/>
      <c r="K133" s="80">
        <f>C130*C131*C133</f>
        <v>0</v>
      </c>
      <c r="L133" s="25"/>
      <c r="M133" t="s">
        <v>127</v>
      </c>
    </row>
    <row r="134" spans="1:13" x14ac:dyDescent="0.25">
      <c r="A134" s="12" t="s">
        <v>55</v>
      </c>
      <c r="B134" s="91"/>
      <c r="C134" s="39"/>
      <c r="D134" s="8"/>
      <c r="E134" s="37"/>
      <c r="F134" s="13"/>
      <c r="G134" s="47"/>
      <c r="H134" s="13"/>
      <c r="I134" s="124"/>
      <c r="J134" s="106"/>
      <c r="K134" s="80"/>
      <c r="L134" s="25"/>
    </row>
    <row r="135" spans="1:13" x14ac:dyDescent="0.25">
      <c r="A135" s="5" t="s">
        <v>35</v>
      </c>
      <c r="B135" s="30"/>
      <c r="C135" s="42"/>
      <c r="D135" s="13"/>
      <c r="E135" s="37">
        <f>C135*C137</f>
        <v>0</v>
      </c>
      <c r="F135" s="13"/>
      <c r="G135" s="47">
        <f>C135*C137</f>
        <v>0</v>
      </c>
      <c r="H135" s="13"/>
      <c r="I135" s="124">
        <f>(E135+G135)/2</f>
        <v>0</v>
      </c>
      <c r="J135" s="106"/>
      <c r="K135" s="80">
        <f>C135*C137</f>
        <v>0</v>
      </c>
      <c r="L135" s="25"/>
    </row>
    <row r="136" spans="1:13" x14ac:dyDescent="0.25">
      <c r="A136" s="5" t="s">
        <v>36</v>
      </c>
      <c r="B136" s="30"/>
      <c r="C136" s="39"/>
      <c r="D136" s="8"/>
      <c r="E136" s="37"/>
      <c r="F136" s="13"/>
      <c r="G136" s="47"/>
      <c r="H136" s="13"/>
      <c r="I136" s="57"/>
      <c r="J136" s="106"/>
      <c r="K136" s="80"/>
      <c r="L136" s="25"/>
    </row>
    <row r="137" spans="1:13" ht="13.8" thickBot="1" x14ac:dyDescent="0.3">
      <c r="A137" s="26" t="s">
        <v>56</v>
      </c>
      <c r="B137" s="34"/>
      <c r="C137" s="26"/>
      <c r="D137" s="36"/>
      <c r="E137" s="212"/>
      <c r="F137" s="162"/>
      <c r="G137" s="213"/>
      <c r="H137" s="162"/>
      <c r="I137" s="234"/>
      <c r="J137" s="162"/>
      <c r="K137" s="58"/>
      <c r="L137" s="36"/>
    </row>
    <row r="138" spans="1:13" ht="13.8" thickTop="1" x14ac:dyDescent="0.25">
      <c r="A138" s="5"/>
      <c r="B138" s="30"/>
      <c r="C138" s="39"/>
      <c r="D138" s="8"/>
      <c r="E138" s="37"/>
      <c r="F138" s="13"/>
      <c r="G138" s="47"/>
      <c r="H138" s="13"/>
      <c r="I138" s="57"/>
      <c r="J138" s="79"/>
      <c r="K138" s="58"/>
      <c r="L138" s="31"/>
    </row>
    <row r="139" spans="1:13" x14ac:dyDescent="0.25">
      <c r="A139" s="54" t="s">
        <v>9</v>
      </c>
      <c r="B139" s="29"/>
      <c r="C139" s="39"/>
      <c r="D139" s="8"/>
      <c r="E139" s="37"/>
      <c r="F139" s="13"/>
      <c r="G139" s="47"/>
      <c r="H139" s="13"/>
      <c r="I139" s="124"/>
      <c r="J139" s="106"/>
      <c r="K139" s="80"/>
      <c r="L139" s="25"/>
    </row>
    <row r="140" spans="1:13" x14ac:dyDescent="0.25">
      <c r="A140" s="5" t="s">
        <v>37</v>
      </c>
      <c r="B140" s="30"/>
      <c r="C140" s="39">
        <v>1</v>
      </c>
      <c r="D140" s="8"/>
      <c r="E140" s="37">
        <f>C140*C141*C142*0</f>
        <v>0</v>
      </c>
      <c r="F140" s="13"/>
      <c r="G140" s="47">
        <f>C140*C141*C142*1</f>
        <v>36171.200000000004</v>
      </c>
      <c r="H140" s="13"/>
      <c r="I140" s="124">
        <f>(E140+G140)/2</f>
        <v>18085.600000000002</v>
      </c>
      <c r="J140" s="106"/>
      <c r="K140" s="80">
        <f>C140*C141*C142*C143</f>
        <v>36171.200000000004</v>
      </c>
      <c r="L140" s="25"/>
    </row>
    <row r="141" spans="1:13" x14ac:dyDescent="0.25">
      <c r="A141" s="5" t="s">
        <v>38</v>
      </c>
      <c r="B141" s="30"/>
      <c r="C141" s="40">
        <v>2080</v>
      </c>
      <c r="D141" s="8"/>
      <c r="E141" s="37"/>
      <c r="F141" s="13"/>
      <c r="G141" s="47"/>
      <c r="H141" s="13"/>
      <c r="I141" s="124"/>
      <c r="J141" s="106"/>
      <c r="K141" s="80"/>
      <c r="L141" s="25"/>
    </row>
    <row r="142" spans="1:13" x14ac:dyDescent="0.25">
      <c r="A142" s="5" t="s">
        <v>52</v>
      </c>
      <c r="B142" s="30"/>
      <c r="C142" s="41">
        <v>17.39</v>
      </c>
      <c r="D142" s="8"/>
      <c r="E142" s="37"/>
      <c r="F142" s="13"/>
      <c r="G142" s="47"/>
      <c r="H142" s="13"/>
      <c r="I142" s="124"/>
      <c r="J142" s="106"/>
      <c r="K142" s="80"/>
      <c r="L142" s="25"/>
    </row>
    <row r="143" spans="1:13" x14ac:dyDescent="0.25">
      <c r="A143" s="5" t="s">
        <v>44</v>
      </c>
      <c r="B143" s="31"/>
      <c r="C143" s="60">
        <v>1</v>
      </c>
      <c r="D143" s="8"/>
      <c r="E143" s="37"/>
      <c r="F143" s="13"/>
      <c r="G143" s="47"/>
      <c r="H143" s="13"/>
      <c r="I143" s="124"/>
      <c r="J143" s="106"/>
      <c r="K143" s="80"/>
      <c r="L143" s="25"/>
    </row>
    <row r="144" spans="1:13" x14ac:dyDescent="0.25">
      <c r="A144" s="6"/>
      <c r="B144" s="31"/>
      <c r="C144" s="43"/>
      <c r="D144" s="8"/>
      <c r="E144" s="37"/>
      <c r="F144" s="13"/>
      <c r="G144" s="47"/>
      <c r="H144" s="13"/>
      <c r="I144" s="124"/>
      <c r="J144" s="106"/>
      <c r="K144" s="80"/>
      <c r="L144" s="25"/>
    </row>
    <row r="145" spans="1:12" x14ac:dyDescent="0.25">
      <c r="A145" s="54" t="s">
        <v>73</v>
      </c>
      <c r="B145" s="29"/>
      <c r="C145" s="39"/>
      <c r="D145" s="8"/>
      <c r="E145" s="37"/>
      <c r="F145" s="13"/>
      <c r="G145" s="47"/>
      <c r="H145" s="13"/>
      <c r="I145" s="124"/>
      <c r="J145" s="106"/>
      <c r="K145" s="80"/>
      <c r="L145" s="25"/>
    </row>
    <row r="146" spans="1:12" x14ac:dyDescent="0.25">
      <c r="A146" s="5" t="s">
        <v>40</v>
      </c>
      <c r="B146" s="30"/>
      <c r="C146" s="42">
        <v>0</v>
      </c>
      <c r="D146" s="13"/>
      <c r="E146" s="37">
        <f>C146*C147*0</f>
        <v>0</v>
      </c>
      <c r="F146" s="13"/>
      <c r="G146" s="47">
        <f>C146*C147*0.25</f>
        <v>0</v>
      </c>
      <c r="H146" s="13"/>
      <c r="I146" s="124">
        <f>(E146+G146)/2</f>
        <v>0</v>
      </c>
      <c r="J146" s="106"/>
      <c r="K146" s="80">
        <f>C146*C147*C148</f>
        <v>0</v>
      </c>
      <c r="L146" s="25"/>
    </row>
    <row r="147" spans="1:12" x14ac:dyDescent="0.25">
      <c r="A147" s="5" t="s">
        <v>41</v>
      </c>
      <c r="B147" s="30"/>
      <c r="C147" s="39">
        <v>12</v>
      </c>
      <c r="D147" s="8"/>
      <c r="E147" s="37"/>
      <c r="F147" s="13"/>
      <c r="G147" s="47"/>
      <c r="H147" s="13"/>
      <c r="I147" s="124"/>
      <c r="J147" s="106"/>
      <c r="K147" s="80"/>
      <c r="L147" s="25"/>
    </row>
    <row r="148" spans="1:12" x14ac:dyDescent="0.25">
      <c r="A148" s="5" t="s">
        <v>42</v>
      </c>
      <c r="B148" s="30"/>
      <c r="C148" s="41"/>
      <c r="D148" s="8"/>
      <c r="E148" s="37"/>
      <c r="F148" s="13"/>
      <c r="G148" s="47"/>
      <c r="H148" s="13"/>
      <c r="I148" s="124"/>
      <c r="J148" s="106"/>
      <c r="K148" s="80"/>
      <c r="L148" s="25"/>
    </row>
    <row r="149" spans="1:12" x14ac:dyDescent="0.25">
      <c r="A149" s="53" t="s">
        <v>47</v>
      </c>
      <c r="B149" s="33"/>
      <c r="C149" s="16"/>
      <c r="D149" s="17"/>
      <c r="E149" s="20">
        <f>E104+E110+E116+E123+E133+E140+E146</f>
        <v>2782.4</v>
      </c>
      <c r="F149" s="19"/>
      <c r="G149" s="20">
        <f>G104+G110+G116+G123+G133+G140+G146</f>
        <v>43996.700000000004</v>
      </c>
      <c r="H149" s="19"/>
      <c r="I149" s="125">
        <f>(E149+G149)/2</f>
        <v>23389.550000000003</v>
      </c>
      <c r="J149" s="218"/>
      <c r="K149" s="20">
        <f>K104+K110+K116+K123+K133+K140+K146</f>
        <v>42431.600000000006</v>
      </c>
      <c r="L149" s="25"/>
    </row>
    <row r="150" spans="1:12" ht="13.8" thickBot="1" x14ac:dyDescent="0.3">
      <c r="A150" s="6"/>
      <c r="B150" s="31"/>
      <c r="C150" s="39"/>
      <c r="D150" s="8"/>
      <c r="E150" s="37"/>
      <c r="F150" s="13"/>
      <c r="G150" s="47"/>
      <c r="H150" s="13"/>
      <c r="I150" s="124"/>
      <c r="J150" s="106"/>
      <c r="K150" s="80"/>
      <c r="L150" s="25"/>
    </row>
    <row r="151" spans="1:12" ht="16.2" thickBot="1" x14ac:dyDescent="0.35">
      <c r="A151" s="52" t="s">
        <v>43</v>
      </c>
      <c r="B151" s="92"/>
      <c r="C151" s="44"/>
      <c r="D151" s="18"/>
      <c r="E151" s="21">
        <f>E42+E95+E149</f>
        <v>65292.138512822246</v>
      </c>
      <c r="F151" s="22"/>
      <c r="G151" s="23">
        <f>G42+G95+G149</f>
        <v>152654.125</v>
      </c>
      <c r="H151" s="22"/>
      <c r="I151" s="126">
        <f>(E151+G151)/2</f>
        <v>108973.13175641112</v>
      </c>
      <c r="J151" s="217"/>
      <c r="K151" s="220">
        <f>K42+K95+K149</f>
        <v>141192.76900000003</v>
      </c>
      <c r="L151" s="36"/>
    </row>
    <row r="152" spans="1:12" ht="15.6" thickTop="1" x14ac:dyDescent="0.25">
      <c r="C152" s="1"/>
      <c r="E152" s="46"/>
      <c r="F152" s="82"/>
      <c r="G152" s="219"/>
      <c r="H152" s="82"/>
      <c r="I152" s="81"/>
      <c r="J152" s="82"/>
      <c r="K152" s="80"/>
    </row>
    <row r="153" spans="1:12" ht="15" x14ac:dyDescent="0.25">
      <c r="C153" s="1"/>
      <c r="E153" s="46"/>
      <c r="F153" s="82"/>
      <c r="G153" s="219"/>
      <c r="H153" s="82"/>
      <c r="I153" s="81"/>
      <c r="J153" s="82"/>
      <c r="K153" s="80"/>
    </row>
    <row r="154" spans="1:12" x14ac:dyDescent="0.25">
      <c r="C154" s="1"/>
      <c r="E154" s="38"/>
      <c r="G154" s="48"/>
      <c r="I154" s="81"/>
      <c r="K154" s="80"/>
    </row>
    <row r="155" spans="1:12" x14ac:dyDescent="0.25">
      <c r="C155" s="45"/>
      <c r="E155" s="38"/>
      <c r="G155" s="48"/>
      <c r="I155" s="81"/>
      <c r="K155" s="80"/>
    </row>
    <row r="156" spans="1:12" x14ac:dyDescent="0.25">
      <c r="C156" s="45"/>
      <c r="E156" s="38"/>
      <c r="G156" s="48"/>
      <c r="I156" s="81"/>
      <c r="K156" s="80"/>
    </row>
    <row r="157" spans="1:12" x14ac:dyDescent="0.25">
      <c r="C157" s="45"/>
      <c r="E157" s="38"/>
      <c r="G157" s="48"/>
      <c r="I157" s="81"/>
      <c r="K157" s="80"/>
    </row>
    <row r="158" spans="1:12" x14ac:dyDescent="0.25">
      <c r="C158" s="45"/>
      <c r="E158" s="38"/>
      <c r="G158" s="48"/>
      <c r="I158" s="81"/>
      <c r="K158" s="80"/>
    </row>
    <row r="159" spans="1:12" x14ac:dyDescent="0.25">
      <c r="C159" s="45"/>
      <c r="E159" s="38"/>
      <c r="G159" s="48"/>
      <c r="I159" s="81"/>
      <c r="K159" s="80"/>
    </row>
    <row r="160" spans="1:12" x14ac:dyDescent="0.25">
      <c r="C160" s="45"/>
      <c r="E160" s="38"/>
      <c r="G160" s="48"/>
      <c r="I160" s="81"/>
      <c r="K160" s="80"/>
    </row>
    <row r="161" spans="1:12" x14ac:dyDescent="0.25">
      <c r="C161" s="45"/>
      <c r="E161" s="38"/>
      <c r="G161" s="48"/>
      <c r="I161" s="81"/>
      <c r="K161" s="80"/>
    </row>
    <row r="162" spans="1:12" x14ac:dyDescent="0.25">
      <c r="C162" s="45"/>
      <c r="E162" s="38"/>
      <c r="G162" s="48"/>
      <c r="I162" s="81"/>
      <c r="K162" s="80"/>
    </row>
    <row r="163" spans="1:12" x14ac:dyDescent="0.25">
      <c r="C163" s="45"/>
      <c r="E163" s="38"/>
      <c r="G163" s="48"/>
      <c r="I163" s="81"/>
      <c r="K163" s="80"/>
    </row>
    <row r="164" spans="1:12" x14ac:dyDescent="0.25">
      <c r="C164" s="45"/>
      <c r="E164" s="38"/>
      <c r="G164" s="48"/>
      <c r="I164" s="81"/>
      <c r="K164" s="80"/>
    </row>
    <row r="165" spans="1:12" x14ac:dyDescent="0.25">
      <c r="C165" s="45"/>
      <c r="E165" s="38"/>
      <c r="G165" s="48"/>
      <c r="I165" s="81"/>
      <c r="K165" s="80"/>
    </row>
    <row r="166" spans="1:12" x14ac:dyDescent="0.25">
      <c r="C166" s="45"/>
      <c r="E166" s="38"/>
      <c r="G166" s="48"/>
      <c r="I166" s="81"/>
      <c r="K166" s="80"/>
    </row>
    <row r="167" spans="1:12" x14ac:dyDescent="0.25">
      <c r="C167" s="45"/>
      <c r="E167" s="38"/>
      <c r="G167" s="48"/>
      <c r="I167" s="81"/>
      <c r="K167" s="80"/>
    </row>
    <row r="168" spans="1:12" x14ac:dyDescent="0.25">
      <c r="C168" s="45"/>
      <c r="E168" s="38"/>
      <c r="G168" s="48"/>
      <c r="I168" s="81"/>
      <c r="K168" s="80"/>
    </row>
    <row r="169" spans="1:12" x14ac:dyDescent="0.25">
      <c r="C169" s="45"/>
      <c r="E169" s="38"/>
      <c r="G169" s="48"/>
      <c r="I169" s="81"/>
      <c r="K169" s="80"/>
    </row>
    <row r="170" spans="1:12" x14ac:dyDescent="0.25">
      <c r="C170" s="45"/>
      <c r="E170" s="38"/>
      <c r="G170" s="48"/>
      <c r="I170" s="81"/>
      <c r="K170" s="80"/>
    </row>
    <row r="171" spans="1:12" x14ac:dyDescent="0.25">
      <c r="E171" s="38"/>
      <c r="G171" s="48"/>
      <c r="I171" s="81"/>
      <c r="K171" s="80"/>
    </row>
    <row r="172" spans="1:12" ht="15.6" x14ac:dyDescent="0.3">
      <c r="A172" s="4" t="s">
        <v>83</v>
      </c>
      <c r="B172" s="2"/>
      <c r="C172" s="2"/>
      <c r="D172" s="2"/>
      <c r="E172" s="141"/>
      <c r="F172" s="2"/>
      <c r="G172" s="107"/>
      <c r="H172" s="2"/>
      <c r="I172" s="142"/>
      <c r="J172" s="2"/>
      <c r="K172" s="143"/>
      <c r="L172" s="2"/>
    </row>
    <row r="173" spans="1:12" ht="15.6" x14ac:dyDescent="0.3">
      <c r="A173" s="99" t="s">
        <v>57</v>
      </c>
      <c r="B173" s="25"/>
      <c r="C173" s="25"/>
      <c r="D173" s="25"/>
      <c r="E173" s="101"/>
      <c r="F173" s="25"/>
      <c r="G173" s="102"/>
      <c r="H173" s="25"/>
      <c r="I173" s="103"/>
      <c r="J173" s="25"/>
      <c r="K173" s="104"/>
      <c r="L173" s="25"/>
    </row>
    <row r="174" spans="1:12" ht="15.6" x14ac:dyDescent="0.3">
      <c r="A174" s="100"/>
      <c r="E174" s="38"/>
      <c r="G174" s="48"/>
      <c r="I174" s="81"/>
      <c r="K174" s="80"/>
    </row>
    <row r="175" spans="1:12" x14ac:dyDescent="0.25">
      <c r="A175" t="s">
        <v>58</v>
      </c>
      <c r="E175" s="38"/>
      <c r="G175" s="48"/>
      <c r="I175" s="81"/>
      <c r="K175" s="80"/>
    </row>
    <row r="176" spans="1:12" x14ac:dyDescent="0.25">
      <c r="A176" t="s">
        <v>59</v>
      </c>
      <c r="E176" s="38"/>
      <c r="G176" s="48"/>
      <c r="I176" s="81"/>
      <c r="K176" s="80"/>
    </row>
    <row r="177" spans="1:12" x14ac:dyDescent="0.25">
      <c r="A177" t="s">
        <v>60</v>
      </c>
      <c r="E177" s="38"/>
      <c r="G177" s="48"/>
      <c r="I177" s="81"/>
      <c r="K177" s="80"/>
    </row>
    <row r="178" spans="1:12" x14ac:dyDescent="0.25">
      <c r="A178" t="s">
        <v>61</v>
      </c>
      <c r="E178" s="38"/>
      <c r="G178" s="48"/>
      <c r="I178" s="81"/>
      <c r="K178" s="80"/>
    </row>
    <row r="179" spans="1:12" x14ac:dyDescent="0.25">
      <c r="A179" t="s">
        <v>62</v>
      </c>
      <c r="E179" s="38"/>
      <c r="G179" s="48"/>
      <c r="I179" s="81"/>
      <c r="K179" s="80"/>
    </row>
    <row r="180" spans="1:12" x14ac:dyDescent="0.25">
      <c r="A180" t="s">
        <v>63</v>
      </c>
      <c r="E180" s="38"/>
      <c r="G180" s="48"/>
      <c r="I180" s="81"/>
      <c r="K180" s="80"/>
    </row>
    <row r="181" spans="1:12" x14ac:dyDescent="0.25">
      <c r="E181" s="38"/>
      <c r="G181" s="48"/>
      <c r="I181" s="81"/>
      <c r="K181" s="80"/>
    </row>
    <row r="182" spans="1:12" ht="13.8" x14ac:dyDescent="0.25">
      <c r="A182" s="105" t="s">
        <v>12</v>
      </c>
      <c r="B182" s="25"/>
      <c r="C182" s="25"/>
      <c r="D182" s="25"/>
      <c r="E182" s="25"/>
      <c r="F182" s="25"/>
      <c r="G182" s="102"/>
      <c r="H182" s="25"/>
      <c r="I182" s="103"/>
      <c r="J182" s="25"/>
      <c r="K182" s="104"/>
      <c r="L182" s="25"/>
    </row>
    <row r="183" spans="1:12" x14ac:dyDescent="0.25">
      <c r="G183" s="48"/>
      <c r="I183" s="81"/>
      <c r="K183" s="80"/>
    </row>
    <row r="184" spans="1:12" x14ac:dyDescent="0.25">
      <c r="A184" t="s">
        <v>65</v>
      </c>
      <c r="G184" s="48"/>
      <c r="I184" s="81"/>
      <c r="K184" s="82"/>
    </row>
    <row r="185" spans="1:12" x14ac:dyDescent="0.25">
      <c r="A185" t="s">
        <v>109</v>
      </c>
      <c r="G185" s="48"/>
      <c r="I185" s="82"/>
      <c r="K185" s="82"/>
    </row>
    <row r="186" spans="1:12" x14ac:dyDescent="0.25">
      <c r="A186" t="s">
        <v>64</v>
      </c>
      <c r="G186" s="48"/>
      <c r="I186" s="82"/>
      <c r="K186" s="82"/>
    </row>
    <row r="187" spans="1:12" x14ac:dyDescent="0.25">
      <c r="A187" t="s">
        <v>110</v>
      </c>
      <c r="G187" s="48"/>
      <c r="I187" s="82"/>
      <c r="K187" s="82"/>
    </row>
    <row r="188" spans="1:12" x14ac:dyDescent="0.25">
      <c r="A188" t="s">
        <v>98</v>
      </c>
      <c r="G188" s="48"/>
      <c r="I188" s="82"/>
      <c r="K188" s="82"/>
    </row>
    <row r="189" spans="1:12" x14ac:dyDescent="0.25">
      <c r="A189" t="s">
        <v>111</v>
      </c>
      <c r="G189" s="48"/>
      <c r="I189" s="82"/>
      <c r="K189" s="82"/>
    </row>
    <row r="190" spans="1:12" x14ac:dyDescent="0.25">
      <c r="A190" t="s">
        <v>66</v>
      </c>
      <c r="G190" s="48"/>
      <c r="I190" s="82"/>
      <c r="K190" s="82"/>
    </row>
    <row r="191" spans="1:12" x14ac:dyDescent="0.25">
      <c r="A191" t="s">
        <v>112</v>
      </c>
      <c r="G191" s="48"/>
      <c r="I191" s="82"/>
      <c r="K191" s="82"/>
    </row>
    <row r="192" spans="1:12" x14ac:dyDescent="0.25">
      <c r="A192" t="s">
        <v>112</v>
      </c>
      <c r="G192" s="48"/>
      <c r="I192" s="82"/>
      <c r="K192" s="82"/>
    </row>
    <row r="193" spans="1:12" x14ac:dyDescent="0.25">
      <c r="G193" s="48"/>
      <c r="K193" s="82"/>
    </row>
    <row r="194" spans="1:12" ht="15.6" x14ac:dyDescent="0.3">
      <c r="A194" s="99" t="s">
        <v>19</v>
      </c>
      <c r="B194" s="25"/>
      <c r="C194" s="25"/>
      <c r="D194" s="25"/>
      <c r="E194" s="25"/>
      <c r="F194" s="25"/>
      <c r="G194" s="102"/>
      <c r="H194" s="25"/>
      <c r="I194" s="25"/>
      <c r="J194" s="25"/>
      <c r="K194" s="106"/>
      <c r="L194" s="25"/>
    </row>
    <row r="195" spans="1:12" x14ac:dyDescent="0.25">
      <c r="G195" s="48"/>
      <c r="K195" s="82"/>
    </row>
    <row r="196" spans="1:12" x14ac:dyDescent="0.25">
      <c r="A196" t="s">
        <v>127</v>
      </c>
      <c r="G196" s="48"/>
      <c r="K196" s="82"/>
    </row>
    <row r="197" spans="1:12" x14ac:dyDescent="0.25">
      <c r="A197" t="s">
        <v>113</v>
      </c>
      <c r="G197" s="48"/>
    </row>
    <row r="198" spans="1:12" x14ac:dyDescent="0.25">
      <c r="A198" t="s">
        <v>67</v>
      </c>
      <c r="G198" s="48"/>
    </row>
    <row r="199" spans="1:12" x14ac:dyDescent="0.25">
      <c r="A199" t="s">
        <v>68</v>
      </c>
      <c r="G199" s="48"/>
    </row>
    <row r="200" spans="1:12" x14ac:dyDescent="0.25">
      <c r="A200" t="s">
        <v>69</v>
      </c>
      <c r="G200" s="48"/>
    </row>
    <row r="201" spans="1:12" x14ac:dyDescent="0.25">
      <c r="G201" s="48"/>
    </row>
    <row r="202" spans="1:12" x14ac:dyDescent="0.25">
      <c r="G202" s="48"/>
    </row>
    <row r="203" spans="1:12" x14ac:dyDescent="0.25">
      <c r="A203" s="1" t="s">
        <v>99</v>
      </c>
      <c r="G203" s="48"/>
    </row>
    <row r="204" spans="1:12" x14ac:dyDescent="0.25">
      <c r="A204" s="1" t="s">
        <v>100</v>
      </c>
      <c r="G204" s="48"/>
    </row>
    <row r="205" spans="1:12" x14ac:dyDescent="0.25">
      <c r="A205" s="1" t="s">
        <v>101</v>
      </c>
      <c r="G205" s="48"/>
    </row>
    <row r="206" spans="1:12" x14ac:dyDescent="0.25">
      <c r="A206" s="1" t="s">
        <v>70</v>
      </c>
      <c r="G206" s="48"/>
    </row>
    <row r="207" spans="1:12" x14ac:dyDescent="0.25">
      <c r="G207" s="48"/>
    </row>
    <row r="208" spans="1:12" ht="16.2" thickBot="1" x14ac:dyDescent="0.35">
      <c r="A208" s="4" t="s">
        <v>85</v>
      </c>
      <c r="B208" s="2"/>
      <c r="C208" s="2"/>
      <c r="D208" s="2"/>
      <c r="E208" s="2"/>
      <c r="F208" s="2"/>
      <c r="G208" s="107"/>
      <c r="H208" s="2"/>
      <c r="I208" s="2"/>
      <c r="J208" s="2"/>
      <c r="K208" s="2"/>
      <c r="L208" s="2"/>
    </row>
    <row r="209" spans="1:11" ht="16.2" thickTop="1" x14ac:dyDescent="0.3">
      <c r="A209" s="76" t="s">
        <v>57</v>
      </c>
      <c r="B209" s="35"/>
      <c r="C209" s="120" t="s">
        <v>71</v>
      </c>
      <c r="D209" s="27"/>
      <c r="E209" s="121" t="s">
        <v>72</v>
      </c>
      <c r="F209" s="27"/>
      <c r="G209" s="122" t="s">
        <v>2</v>
      </c>
      <c r="H209" s="27"/>
      <c r="I209" s="98" t="s">
        <v>49</v>
      </c>
      <c r="J209" s="35"/>
    </row>
    <row r="210" spans="1:11" x14ac:dyDescent="0.25">
      <c r="A210" s="6" t="s">
        <v>74</v>
      </c>
      <c r="B210" s="31"/>
      <c r="C210" s="108">
        <f>E9</f>
        <v>6908.9279999999999</v>
      </c>
      <c r="D210" s="79"/>
      <c r="E210" s="108">
        <f>G9</f>
        <v>10795.199999999999</v>
      </c>
      <c r="F210" s="79"/>
      <c r="G210" s="112">
        <f>I9</f>
        <v>8852.0639999999985</v>
      </c>
      <c r="H210" s="79"/>
      <c r="I210" s="108">
        <f>K9</f>
        <v>6908.9279999999999</v>
      </c>
      <c r="J210" s="25"/>
    </row>
    <row r="211" spans="1:11" x14ac:dyDescent="0.25">
      <c r="A211" s="6" t="s">
        <v>3</v>
      </c>
      <c r="B211" s="31"/>
      <c r="C211" s="108">
        <f>E15</f>
        <v>0</v>
      </c>
      <c r="D211" s="79"/>
      <c r="E211" s="108">
        <f>G15</f>
        <v>0</v>
      </c>
      <c r="F211" s="79"/>
      <c r="G211" s="112">
        <f>I15</f>
        <v>0</v>
      </c>
      <c r="H211" s="79"/>
      <c r="I211" s="108">
        <f>K15</f>
        <v>0</v>
      </c>
      <c r="J211" s="25"/>
    </row>
    <row r="212" spans="1:11" x14ac:dyDescent="0.25">
      <c r="A212" s="6" t="s">
        <v>50</v>
      </c>
      <c r="B212" s="31"/>
      <c r="C212" s="108">
        <f>E20</f>
        <v>0</v>
      </c>
      <c r="D212" s="79"/>
      <c r="E212" s="108">
        <f>G20</f>
        <v>4347.5</v>
      </c>
      <c r="F212" s="79"/>
      <c r="G212" s="112">
        <f>I20</f>
        <v>2173.75</v>
      </c>
      <c r="H212" s="79"/>
      <c r="I212" s="108">
        <f>K20</f>
        <v>4347.5</v>
      </c>
      <c r="J212" s="25"/>
    </row>
    <row r="213" spans="1:11" x14ac:dyDescent="0.25">
      <c r="A213" s="6" t="s">
        <v>73</v>
      </c>
      <c r="B213" s="31"/>
      <c r="C213" s="108">
        <f>E26</f>
        <v>0</v>
      </c>
      <c r="D213" s="79"/>
      <c r="E213" s="108">
        <f>G26</f>
        <v>0</v>
      </c>
      <c r="F213" s="79"/>
      <c r="G213" s="112">
        <f>I26</f>
        <v>0</v>
      </c>
      <c r="H213" s="79"/>
      <c r="I213" s="108">
        <f>K26</f>
        <v>0</v>
      </c>
      <c r="J213" s="25"/>
    </row>
    <row r="214" spans="1:11" x14ac:dyDescent="0.25">
      <c r="A214" s="6" t="s">
        <v>9</v>
      </c>
      <c r="B214" s="31"/>
      <c r="C214" s="108">
        <f>+E31</f>
        <v>0</v>
      </c>
      <c r="D214" s="79"/>
      <c r="E214" s="108">
        <f>+G31</f>
        <v>33388.800000000003</v>
      </c>
      <c r="F214" s="79"/>
      <c r="G214" s="108">
        <f>+I31</f>
        <v>16694.400000000001</v>
      </c>
      <c r="H214" s="79"/>
      <c r="I214" s="108">
        <f>+K31</f>
        <v>33388.800000000003</v>
      </c>
      <c r="J214" s="25"/>
    </row>
    <row r="215" spans="1:11" x14ac:dyDescent="0.25">
      <c r="A215" s="232" t="s">
        <v>107</v>
      </c>
      <c r="B215" s="31"/>
      <c r="C215" s="109">
        <f>E38</f>
        <v>0</v>
      </c>
      <c r="D215" s="210"/>
      <c r="E215" s="109">
        <f>G38</f>
        <v>17390</v>
      </c>
      <c r="F215" s="210"/>
      <c r="G215" s="113">
        <f>I38</f>
        <v>8695</v>
      </c>
      <c r="H215" s="210"/>
      <c r="I215" s="109">
        <f>K38</f>
        <v>17390</v>
      </c>
      <c r="J215" s="25"/>
    </row>
    <row r="216" spans="1:11" ht="13.8" thickBot="1" x14ac:dyDescent="0.3">
      <c r="A216" s="134" t="s">
        <v>46</v>
      </c>
      <c r="B216" s="36"/>
      <c r="C216" s="136">
        <f>SUM(C210:C215)</f>
        <v>6908.9279999999999</v>
      </c>
      <c r="D216" s="215"/>
      <c r="E216" s="137">
        <f>SUM(E210:E215)</f>
        <v>65921.5</v>
      </c>
      <c r="F216" s="215"/>
      <c r="G216" s="138">
        <f>SUM(G210:G215)</f>
        <v>36415.214</v>
      </c>
      <c r="H216" s="215"/>
      <c r="I216" s="139">
        <f>SUM(I210:I215)</f>
        <v>62035.228000000003</v>
      </c>
      <c r="J216" s="36"/>
      <c r="K216" t="s">
        <v>127</v>
      </c>
    </row>
    <row r="217" spans="1:11" ht="14.4" thickTop="1" thickBot="1" x14ac:dyDescent="0.3">
      <c r="A217" s="118"/>
      <c r="B217" s="115"/>
      <c r="C217" s="115"/>
      <c r="D217" s="115"/>
      <c r="E217" s="115"/>
      <c r="F217" s="115"/>
      <c r="G217" s="116"/>
      <c r="H217" s="115"/>
      <c r="I217" s="115"/>
      <c r="J217" s="117"/>
    </row>
    <row r="218" spans="1:11" ht="16.2" thickTop="1" x14ac:dyDescent="0.3">
      <c r="A218" s="76" t="s">
        <v>12</v>
      </c>
      <c r="B218" s="35"/>
      <c r="C218" s="120" t="s">
        <v>71</v>
      </c>
      <c r="D218" s="27"/>
      <c r="E218" s="121" t="s">
        <v>72</v>
      </c>
      <c r="F218" s="27"/>
      <c r="G218" s="122" t="s">
        <v>2</v>
      </c>
      <c r="H218" s="27"/>
      <c r="I218" s="98" t="s">
        <v>49</v>
      </c>
      <c r="J218" s="25"/>
    </row>
    <row r="219" spans="1:11" x14ac:dyDescent="0.25">
      <c r="A219" s="6" t="s">
        <v>75</v>
      </c>
      <c r="B219" s="25"/>
      <c r="C219" s="82">
        <f>E48</f>
        <v>0</v>
      </c>
      <c r="D219" s="106"/>
      <c r="E219" s="82">
        <f>G48</f>
        <v>0</v>
      </c>
      <c r="F219" s="106"/>
      <c r="G219" s="119">
        <f>I48</f>
        <v>0</v>
      </c>
      <c r="H219" s="106"/>
      <c r="I219" s="82">
        <f>K48</f>
        <v>0</v>
      </c>
      <c r="J219" s="25"/>
    </row>
    <row r="220" spans="1:11" x14ac:dyDescent="0.25">
      <c r="A220" s="6" t="s">
        <v>76</v>
      </c>
      <c r="B220" s="25"/>
      <c r="C220" s="82">
        <f>E54</f>
        <v>5342.2080000000005</v>
      </c>
      <c r="D220" s="106"/>
      <c r="E220" s="82">
        <f>G54</f>
        <v>8347.2000000000007</v>
      </c>
      <c r="F220" s="106"/>
      <c r="G220" s="119">
        <f>I54</f>
        <v>6844.7040000000006</v>
      </c>
      <c r="H220" s="106"/>
      <c r="I220" s="82">
        <f>K54</f>
        <v>8347.2000000000007</v>
      </c>
      <c r="J220" s="25"/>
    </row>
    <row r="221" spans="1:11" x14ac:dyDescent="0.25">
      <c r="A221" s="6" t="s">
        <v>77</v>
      </c>
      <c r="B221" s="25"/>
      <c r="C221" s="82">
        <f>E60</f>
        <v>5342.2080000000005</v>
      </c>
      <c r="D221" s="106"/>
      <c r="E221" s="82">
        <f>G60</f>
        <v>8347.2000000000007</v>
      </c>
      <c r="F221" s="106"/>
      <c r="G221" s="119">
        <f>I60</f>
        <v>6844.7040000000006</v>
      </c>
      <c r="H221" s="106"/>
      <c r="I221" s="82">
        <f>K60</f>
        <v>8347.2000000000007</v>
      </c>
      <c r="J221" s="25"/>
    </row>
    <row r="222" spans="1:11" x14ac:dyDescent="0.25">
      <c r="A222" s="233" t="s">
        <v>119</v>
      </c>
      <c r="B222" s="25"/>
      <c r="C222" s="82">
        <f>+E66</f>
        <v>834.72</v>
      </c>
      <c r="D222" s="106"/>
      <c r="E222" s="82">
        <f>+G66</f>
        <v>1304.25</v>
      </c>
      <c r="F222" s="106"/>
      <c r="G222" s="82">
        <f>+I66</f>
        <v>1069.4850000000001</v>
      </c>
      <c r="H222" s="106"/>
      <c r="I222" s="82">
        <f>+K66</f>
        <v>1304.25</v>
      </c>
      <c r="J222" s="25"/>
    </row>
    <row r="223" spans="1:11" x14ac:dyDescent="0.25">
      <c r="A223" s="233" t="s">
        <v>122</v>
      </c>
      <c r="B223" s="25"/>
      <c r="C223" s="82">
        <f>+E74</f>
        <v>2504.16</v>
      </c>
      <c r="D223" s="106"/>
      <c r="E223" s="82">
        <f>+G74</f>
        <v>3912.75</v>
      </c>
      <c r="F223" s="106"/>
      <c r="G223" s="82">
        <f>+I74</f>
        <v>3208.4549999999999</v>
      </c>
      <c r="H223" s="106"/>
      <c r="I223" s="82">
        <f>+K74</f>
        <v>3912.75</v>
      </c>
      <c r="J223" s="25"/>
    </row>
    <row r="224" spans="1:11" x14ac:dyDescent="0.25">
      <c r="A224" s="233" t="s">
        <v>123</v>
      </c>
      <c r="B224" s="25"/>
      <c r="C224" s="82">
        <f>+E80</f>
        <v>2643.28</v>
      </c>
      <c r="D224" s="106"/>
      <c r="E224" s="82">
        <f>+G80</f>
        <v>4130.125</v>
      </c>
      <c r="F224" s="106"/>
      <c r="G224" s="82">
        <f>+I80</f>
        <v>3386.7025000000003</v>
      </c>
      <c r="H224" s="106"/>
      <c r="I224" s="82">
        <f>+K80</f>
        <v>4130.125</v>
      </c>
      <c r="J224" s="25"/>
    </row>
    <row r="225" spans="1:11" x14ac:dyDescent="0.25">
      <c r="A225" s="6" t="s">
        <v>78</v>
      </c>
      <c r="B225" s="25"/>
      <c r="C225" s="82">
        <f>E86</f>
        <v>38934.234512822244</v>
      </c>
      <c r="D225" s="106"/>
      <c r="E225" s="82">
        <f>G86</f>
        <v>16694.400000000001</v>
      </c>
      <c r="F225" s="106"/>
      <c r="G225" s="119">
        <f>I86</f>
        <v>27814.317256411123</v>
      </c>
      <c r="H225" s="106"/>
      <c r="I225" s="82">
        <f>K86</f>
        <v>10684.416000000001</v>
      </c>
      <c r="J225" s="25"/>
      <c r="K225" t="s">
        <v>127</v>
      </c>
    </row>
    <row r="226" spans="1:11" x14ac:dyDescent="0.25">
      <c r="A226" s="6" t="s">
        <v>73</v>
      </c>
      <c r="B226" s="25"/>
      <c r="C226" s="82">
        <f>E92</f>
        <v>0</v>
      </c>
      <c r="D226" s="106"/>
      <c r="E226" s="82">
        <f>G92</f>
        <v>0</v>
      </c>
      <c r="F226" s="106"/>
      <c r="G226" s="119">
        <f>I92</f>
        <v>0</v>
      </c>
      <c r="H226" s="106"/>
      <c r="I226" s="82">
        <f>K92</f>
        <v>0</v>
      </c>
      <c r="J226" s="25"/>
      <c r="K226" t="s">
        <v>127</v>
      </c>
    </row>
    <row r="227" spans="1:11" ht="13.8" thickBot="1" x14ac:dyDescent="0.3">
      <c r="A227" s="134" t="s">
        <v>48</v>
      </c>
      <c r="B227" s="36"/>
      <c r="C227" s="136">
        <f>SUM(C219:C226)</f>
        <v>55600.810512822245</v>
      </c>
      <c r="D227" s="215"/>
      <c r="E227" s="137">
        <f>SUM(E219:E226)</f>
        <v>42735.925000000003</v>
      </c>
      <c r="F227" s="215"/>
      <c r="G227" s="138">
        <f>SUM(G219:G226)</f>
        <v>49168.367756411128</v>
      </c>
      <c r="H227" s="215"/>
      <c r="I227" s="139">
        <f>SUM(I219:I226)</f>
        <v>36725.941000000006</v>
      </c>
      <c r="J227" s="36"/>
      <c r="K227" t="s">
        <v>127</v>
      </c>
    </row>
    <row r="228" spans="1:11" ht="14.4" thickTop="1" thickBot="1" x14ac:dyDescent="0.3">
      <c r="A228" s="118"/>
      <c r="B228" s="115"/>
      <c r="C228" s="115"/>
      <c r="D228" s="115"/>
      <c r="E228" s="115"/>
      <c r="F228" s="115"/>
      <c r="G228" s="116"/>
      <c r="H228" s="115"/>
      <c r="I228" s="115"/>
      <c r="J228" s="117"/>
    </row>
    <row r="229" spans="1:11" ht="16.2" thickTop="1" x14ac:dyDescent="0.3">
      <c r="A229" s="76" t="s">
        <v>19</v>
      </c>
      <c r="B229" s="35"/>
      <c r="C229" s="120" t="s">
        <v>71</v>
      </c>
      <c r="D229" s="27"/>
      <c r="E229" s="121" t="s">
        <v>72</v>
      </c>
      <c r="F229" s="27"/>
      <c r="G229" s="122" t="s">
        <v>2</v>
      </c>
      <c r="H229" s="27"/>
      <c r="I229" s="98" t="s">
        <v>49</v>
      </c>
      <c r="J229" s="25"/>
    </row>
    <row r="230" spans="1:11" x14ac:dyDescent="0.25">
      <c r="A230" s="6" t="s">
        <v>79</v>
      </c>
      <c r="B230" s="25"/>
      <c r="C230" s="82">
        <f>E104</f>
        <v>0</v>
      </c>
      <c r="D230" s="106"/>
      <c r="E230" s="82">
        <f>G104</f>
        <v>0</v>
      </c>
      <c r="F230" s="106"/>
      <c r="G230" s="119">
        <f>I104</f>
        <v>0</v>
      </c>
      <c r="H230" s="106"/>
      <c r="I230" s="82">
        <f>K104</f>
        <v>0</v>
      </c>
      <c r="J230" s="25"/>
    </row>
    <row r="231" spans="1:11" x14ac:dyDescent="0.25">
      <c r="A231" s="6" t="s">
        <v>82</v>
      </c>
      <c r="B231" s="25"/>
      <c r="C231" s="82">
        <f>E110</f>
        <v>0</v>
      </c>
      <c r="D231" s="106"/>
      <c r="E231" s="82">
        <f>G110</f>
        <v>0</v>
      </c>
      <c r="F231" s="106"/>
      <c r="G231" s="119">
        <f>I110</f>
        <v>0</v>
      </c>
      <c r="H231" s="106"/>
      <c r="I231" s="82">
        <f>K110</f>
        <v>0</v>
      </c>
      <c r="J231" s="25"/>
    </row>
    <row r="232" spans="1:11" x14ac:dyDescent="0.25">
      <c r="A232" s="6" t="s">
        <v>27</v>
      </c>
      <c r="B232" s="25"/>
      <c r="C232" s="82">
        <f>E116</f>
        <v>0</v>
      </c>
      <c r="D232" s="106"/>
      <c r="E232" s="82">
        <f>G116</f>
        <v>3478</v>
      </c>
      <c r="F232" s="106"/>
      <c r="G232" s="119">
        <f>I116</f>
        <v>1739</v>
      </c>
      <c r="H232" s="106"/>
      <c r="I232" s="82">
        <f>K116</f>
        <v>3478</v>
      </c>
      <c r="J232" s="25"/>
      <c r="K232" t="s">
        <v>127</v>
      </c>
    </row>
    <row r="233" spans="1:11" x14ac:dyDescent="0.25">
      <c r="A233" s="233" t="s">
        <v>124</v>
      </c>
      <c r="B233" s="25"/>
      <c r="C233" s="82">
        <f>+E123</f>
        <v>2782.4</v>
      </c>
      <c r="D233" s="106"/>
      <c r="E233" s="82">
        <f>+G123</f>
        <v>4347.5</v>
      </c>
      <c r="F233" s="106"/>
      <c r="G233" s="82">
        <f>+I123</f>
        <v>3564.95</v>
      </c>
      <c r="H233" s="106"/>
      <c r="I233" s="82">
        <f>+K123</f>
        <v>2782.4</v>
      </c>
      <c r="J233" s="25"/>
    </row>
    <row r="234" spans="1:11" x14ac:dyDescent="0.25">
      <c r="A234" s="6" t="s">
        <v>128</v>
      </c>
      <c r="B234" s="25"/>
      <c r="C234" s="82">
        <f>E133</f>
        <v>0</v>
      </c>
      <c r="D234" s="106"/>
      <c r="E234" s="82">
        <f>G133</f>
        <v>0</v>
      </c>
      <c r="F234" s="106"/>
      <c r="G234" s="119">
        <f>I133</f>
        <v>0</v>
      </c>
      <c r="H234" s="106"/>
      <c r="I234" s="82">
        <f>K133</f>
        <v>0</v>
      </c>
      <c r="J234" s="25"/>
      <c r="K234" t="s">
        <v>127</v>
      </c>
    </row>
    <row r="235" spans="1:11" x14ac:dyDescent="0.25">
      <c r="A235" s="6" t="s">
        <v>129</v>
      </c>
      <c r="B235" s="25"/>
      <c r="C235" s="82">
        <f>+E135</f>
        <v>0</v>
      </c>
      <c r="D235" s="106"/>
      <c r="E235" s="82">
        <f>+G135</f>
        <v>0</v>
      </c>
      <c r="F235" s="106"/>
      <c r="G235" s="82">
        <f>+I135</f>
        <v>0</v>
      </c>
      <c r="H235" s="106"/>
      <c r="I235" s="82">
        <f>+K135</f>
        <v>0</v>
      </c>
      <c r="J235" s="25"/>
    </row>
    <row r="236" spans="1:11" x14ac:dyDescent="0.25">
      <c r="A236" s="6" t="s">
        <v>9</v>
      </c>
      <c r="B236" s="25"/>
      <c r="C236" s="82">
        <f>E140</f>
        <v>0</v>
      </c>
      <c r="D236" s="106"/>
      <c r="E236" s="82">
        <f>G140</f>
        <v>36171.200000000004</v>
      </c>
      <c r="F236" s="106"/>
      <c r="G236" s="119">
        <f>I140</f>
        <v>18085.600000000002</v>
      </c>
      <c r="H236" s="106"/>
      <c r="I236" s="82">
        <f>K140</f>
        <v>36171.200000000004</v>
      </c>
      <c r="J236" s="25"/>
    </row>
    <row r="237" spans="1:11" x14ac:dyDescent="0.25">
      <c r="A237" s="6" t="s">
        <v>73</v>
      </c>
      <c r="B237" s="25"/>
      <c r="C237" s="82">
        <f>E146</f>
        <v>0</v>
      </c>
      <c r="D237" s="106"/>
      <c r="E237" s="82">
        <f>G146</f>
        <v>0</v>
      </c>
      <c r="F237" s="106"/>
      <c r="G237" s="119">
        <f>I146</f>
        <v>0</v>
      </c>
      <c r="H237" s="106"/>
      <c r="I237" s="82">
        <f>K146</f>
        <v>0</v>
      </c>
      <c r="J237" s="25"/>
    </row>
    <row r="238" spans="1:11" ht="13.8" thickBot="1" x14ac:dyDescent="0.3">
      <c r="A238" s="134" t="s">
        <v>47</v>
      </c>
      <c r="B238" s="36"/>
      <c r="C238" s="136">
        <f>SUM(C230:C237)</f>
        <v>2782.4</v>
      </c>
      <c r="D238" s="215"/>
      <c r="E238" s="137">
        <f>SUM(E230:E237)</f>
        <v>43996.700000000004</v>
      </c>
      <c r="F238" s="215"/>
      <c r="G238" s="140">
        <f>SUM(G230:G237)</f>
        <v>23389.550000000003</v>
      </c>
      <c r="H238" s="215"/>
      <c r="I238" s="139">
        <f>SUM(I230:I237)</f>
        <v>42431.600000000006</v>
      </c>
      <c r="J238" s="36"/>
    </row>
    <row r="239" spans="1:11" ht="13.8" thickTop="1" x14ac:dyDescent="0.25">
      <c r="G239" s="48"/>
    </row>
    <row r="240" spans="1:11" x14ac:dyDescent="0.25">
      <c r="G240" s="48"/>
    </row>
    <row r="241" spans="1:10" x14ac:dyDescent="0.25">
      <c r="G241" s="48"/>
    </row>
    <row r="242" spans="1:10" x14ac:dyDescent="0.25">
      <c r="G242" s="48"/>
    </row>
    <row r="243" spans="1:10" x14ac:dyDescent="0.25">
      <c r="G243" s="48"/>
    </row>
    <row r="244" spans="1:10" x14ac:dyDescent="0.25">
      <c r="G244" s="48"/>
    </row>
    <row r="245" spans="1:10" x14ac:dyDescent="0.25">
      <c r="G245" s="48"/>
    </row>
    <row r="246" spans="1:10" x14ac:dyDescent="0.25">
      <c r="G246" s="48"/>
    </row>
    <row r="247" spans="1:10" x14ac:dyDescent="0.25">
      <c r="G247" s="48"/>
    </row>
    <row r="248" spans="1:10" x14ac:dyDescent="0.25">
      <c r="G248" s="48"/>
    </row>
    <row r="249" spans="1:10" ht="16.2" thickBot="1" x14ac:dyDescent="0.35">
      <c r="A249" s="4" t="s">
        <v>86</v>
      </c>
      <c r="B249" s="2"/>
      <c r="C249" s="2"/>
      <c r="D249" s="2"/>
      <c r="E249" s="2"/>
      <c r="F249" s="2"/>
      <c r="G249" s="107"/>
      <c r="H249" s="2"/>
      <c r="I249" s="2"/>
      <c r="J249" s="2"/>
    </row>
    <row r="250" spans="1:10" ht="13.8" thickTop="1" x14ac:dyDescent="0.25">
      <c r="A250" s="118"/>
      <c r="B250" s="11"/>
      <c r="C250" s="157" t="s">
        <v>84</v>
      </c>
      <c r="D250" s="157"/>
      <c r="E250" s="157"/>
      <c r="F250" s="157"/>
      <c r="G250" s="158"/>
      <c r="H250" s="157"/>
      <c r="I250" s="157"/>
      <c r="J250" s="35"/>
    </row>
    <row r="251" spans="1:10" ht="13.8" thickBot="1" x14ac:dyDescent="0.3">
      <c r="A251" s="159"/>
      <c r="B251" s="9"/>
      <c r="C251" s="222" t="s">
        <v>71</v>
      </c>
      <c r="D251" s="223"/>
      <c r="E251" s="224" t="s">
        <v>72</v>
      </c>
      <c r="F251" s="225"/>
      <c r="G251" s="226" t="s">
        <v>2</v>
      </c>
      <c r="H251" s="223"/>
      <c r="I251" s="227" t="s">
        <v>49</v>
      </c>
      <c r="J251" s="25"/>
    </row>
    <row r="252" spans="1:10" ht="13.8" thickTop="1" x14ac:dyDescent="0.25">
      <c r="A252" s="184" t="s">
        <v>87</v>
      </c>
      <c r="B252" s="89"/>
      <c r="C252" s="168">
        <f>C216</f>
        <v>6908.9279999999999</v>
      </c>
      <c r="D252" s="169"/>
      <c r="E252" s="168">
        <f>E216</f>
        <v>65921.5</v>
      </c>
      <c r="F252" s="228"/>
      <c r="G252" s="170">
        <f>G216</f>
        <v>36415.214</v>
      </c>
      <c r="H252" s="169"/>
      <c r="I252" s="168">
        <f>I216</f>
        <v>62035.228000000003</v>
      </c>
      <c r="J252" s="25"/>
    </row>
    <row r="253" spans="1:10" x14ac:dyDescent="0.25">
      <c r="A253" s="185" t="s">
        <v>88</v>
      </c>
      <c r="B253" s="186"/>
      <c r="C253" s="187">
        <f>C227</f>
        <v>55600.810512822245</v>
      </c>
      <c r="D253" s="190"/>
      <c r="E253" s="187">
        <f>E227</f>
        <v>42735.925000000003</v>
      </c>
      <c r="F253" s="229"/>
      <c r="G253" s="188">
        <f>G227</f>
        <v>49168.367756411128</v>
      </c>
      <c r="H253" s="190"/>
      <c r="I253" s="187">
        <f>I227</f>
        <v>36725.941000000006</v>
      </c>
      <c r="J253" s="25"/>
    </row>
    <row r="254" spans="1:10" x14ac:dyDescent="0.25">
      <c r="A254" s="183" t="s">
        <v>89</v>
      </c>
      <c r="B254" s="97"/>
      <c r="C254" s="109">
        <f>C238</f>
        <v>2782.4</v>
      </c>
      <c r="D254" s="210"/>
      <c r="E254" s="109">
        <f>E238</f>
        <v>43996.700000000004</v>
      </c>
      <c r="F254" s="230"/>
      <c r="G254" s="113">
        <f>G238</f>
        <v>23389.550000000003</v>
      </c>
      <c r="H254" s="210"/>
      <c r="I254" s="109">
        <f>I238</f>
        <v>42431.600000000006</v>
      </c>
      <c r="J254" s="25"/>
    </row>
    <row r="255" spans="1:10" ht="13.8" thickBot="1" x14ac:dyDescent="0.3">
      <c r="A255" s="110" t="s">
        <v>90</v>
      </c>
      <c r="B255" s="36"/>
      <c r="C255" s="114">
        <f>SUM(C252:C254)</f>
        <v>65292.138512822246</v>
      </c>
      <c r="D255" s="162"/>
      <c r="E255" s="111">
        <f>SUM(E252:E254)</f>
        <v>152654.125</v>
      </c>
      <c r="F255" s="231"/>
      <c r="G255" s="135">
        <f>SUM(G252:G254)</f>
        <v>108973.13175641112</v>
      </c>
      <c r="H255" s="162"/>
      <c r="I255" s="83">
        <f>SUM(I252:I254)</f>
        <v>141192.76900000003</v>
      </c>
      <c r="J255" s="36"/>
    </row>
    <row r="256" spans="1:10" ht="14.4" thickTop="1" thickBot="1" x14ac:dyDescent="0.3">
      <c r="A256" s="191"/>
      <c r="B256" s="192"/>
      <c r="C256" s="115"/>
      <c r="D256" s="115"/>
      <c r="E256" s="115"/>
      <c r="F256" s="115"/>
      <c r="G256" s="116"/>
      <c r="H256" s="115"/>
      <c r="I256" s="115"/>
      <c r="J256" s="193"/>
    </row>
    <row r="257" spans="1:10" ht="13.8" thickTop="1" x14ac:dyDescent="0.25">
      <c r="A257" s="167" t="s">
        <v>91</v>
      </c>
      <c r="B257" s="89"/>
      <c r="C257" s="168">
        <v>60000</v>
      </c>
      <c r="D257" s="169"/>
      <c r="E257" s="168">
        <f>C257</f>
        <v>60000</v>
      </c>
      <c r="F257" s="169"/>
      <c r="G257" s="170">
        <f>C257</f>
        <v>60000</v>
      </c>
      <c r="H257" s="169"/>
      <c r="I257" s="168">
        <f>C257</f>
        <v>60000</v>
      </c>
      <c r="J257" s="35"/>
    </row>
    <row r="258" spans="1:10" x14ac:dyDescent="0.25">
      <c r="A258" s="189" t="s">
        <v>92</v>
      </c>
      <c r="B258" s="186"/>
      <c r="C258" s="187">
        <v>91121</v>
      </c>
      <c r="D258" s="190"/>
      <c r="E258" s="187">
        <f>C258</f>
        <v>91121</v>
      </c>
      <c r="F258" s="190"/>
      <c r="G258" s="188">
        <f>C258</f>
        <v>91121</v>
      </c>
      <c r="H258" s="190"/>
      <c r="I258" s="187">
        <f>C258</f>
        <v>91121</v>
      </c>
      <c r="J258" s="25"/>
    </row>
    <row r="259" spans="1:10" x14ac:dyDescent="0.25">
      <c r="A259" s="6" t="s">
        <v>93</v>
      </c>
      <c r="B259" s="25"/>
      <c r="C259">
        <v>3</v>
      </c>
      <c r="D259" s="25"/>
      <c r="E259">
        <f>C259</f>
        <v>3</v>
      </c>
      <c r="F259" s="25"/>
      <c r="G259" s="45">
        <v>3</v>
      </c>
      <c r="H259" s="25"/>
      <c r="I259">
        <v>3</v>
      </c>
      <c r="J259" s="25"/>
    </row>
    <row r="260" spans="1:10" x14ac:dyDescent="0.25">
      <c r="A260" s="163"/>
      <c r="B260" s="194"/>
      <c r="C260" s="164"/>
      <c r="D260" s="164"/>
      <c r="E260" s="164"/>
      <c r="F260" s="164"/>
      <c r="G260" s="165"/>
      <c r="H260" s="164"/>
      <c r="I260" s="164"/>
      <c r="J260" s="8"/>
    </row>
    <row r="261" spans="1:10" x14ac:dyDescent="0.25">
      <c r="A261" s="12" t="s">
        <v>94</v>
      </c>
      <c r="B261" s="25"/>
      <c r="D261" s="25"/>
      <c r="F261" s="25"/>
      <c r="G261" s="45"/>
      <c r="H261" s="25"/>
      <c r="J261" s="25"/>
    </row>
    <row r="262" spans="1:10" x14ac:dyDescent="0.25">
      <c r="A262" s="12" t="s">
        <v>96</v>
      </c>
      <c r="B262" s="25"/>
      <c r="C262" s="171">
        <f>((C257+C258)/C255)*12</f>
        <v>27.774431061771235</v>
      </c>
      <c r="D262" s="160"/>
      <c r="E262" s="172">
        <f>((E257+E258)/E255)*12</f>
        <v>11.879482457483544</v>
      </c>
      <c r="F262" s="160"/>
      <c r="G262" s="173">
        <f>((G257+G258)/G255)*12</f>
        <v>16.641276347399373</v>
      </c>
      <c r="H262" s="160"/>
      <c r="I262" s="174">
        <f>((I257+I258)/I255)*12</f>
        <v>12.84380222049473</v>
      </c>
      <c r="J262" s="25"/>
    </row>
    <row r="263" spans="1:10" x14ac:dyDescent="0.25">
      <c r="A263" s="6"/>
      <c r="B263" s="25"/>
      <c r="C263" s="38"/>
      <c r="D263" s="25"/>
      <c r="E263" s="48"/>
      <c r="F263" s="25"/>
      <c r="G263" s="156"/>
      <c r="H263" s="25"/>
      <c r="I263" s="49"/>
      <c r="J263" s="25"/>
    </row>
    <row r="264" spans="1:10" x14ac:dyDescent="0.25">
      <c r="A264" s="12" t="s">
        <v>97</v>
      </c>
      <c r="B264" s="25"/>
      <c r="C264" s="175">
        <f>(C255*C259)/(C257+C258)</f>
        <v>1.2961561631968206</v>
      </c>
      <c r="D264" s="161"/>
      <c r="E264" s="176">
        <f>(E255*E259)/(E257+E258)</f>
        <v>3.0304350487357814</v>
      </c>
      <c r="F264" s="161"/>
      <c r="G264" s="177">
        <f>(G255*G259)/(G257+G258)</f>
        <v>2.1632956059663009</v>
      </c>
      <c r="H264" s="161"/>
      <c r="I264" s="178">
        <f>(I255*I259)/(I257+I258)</f>
        <v>2.8029083118825318</v>
      </c>
      <c r="J264" s="25"/>
    </row>
    <row r="265" spans="1:10" x14ac:dyDescent="0.25">
      <c r="A265" s="6"/>
      <c r="B265" s="25"/>
      <c r="C265" s="38"/>
      <c r="D265" s="25"/>
      <c r="E265" s="48"/>
      <c r="F265" s="25"/>
      <c r="G265" s="156"/>
      <c r="H265" s="25"/>
      <c r="I265" s="49"/>
      <c r="J265" s="25"/>
    </row>
    <row r="266" spans="1:10" ht="13.8" thickBot="1" x14ac:dyDescent="0.3">
      <c r="A266" s="166" t="s">
        <v>95</v>
      </c>
      <c r="B266" s="36"/>
      <c r="C266" s="179">
        <f>C255/12</f>
        <v>5441.0115427351875</v>
      </c>
      <c r="D266" s="162"/>
      <c r="E266" s="180">
        <f>E255/12</f>
        <v>12721.177083333334</v>
      </c>
      <c r="F266" s="162"/>
      <c r="G266" s="181">
        <f>G255/12</f>
        <v>9081.0943130342603</v>
      </c>
      <c r="H266" s="162"/>
      <c r="I266" s="182">
        <f>I255/12</f>
        <v>11766.064083333336</v>
      </c>
      <c r="J266" s="36"/>
    </row>
    <row r="267" spans="1:10" ht="13.8" thickTop="1" x14ac:dyDescent="0.25"/>
  </sheetData>
  <printOptions gridLines="1"/>
  <pageMargins left="0.75" right="0.75" top="1" bottom="1" header="0.5" footer="0.5"/>
  <pageSetup scale="72" fitToHeight="13" orientation="portrait" horizontalDpi="300" verticalDpi="300" r:id="rId1"/>
  <headerFooter alignWithMargins="0">
    <oddFooter>&amp;CPeak ROI Analysis
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H. Arban</dc:creator>
  <cp:lastModifiedBy>Aniket Gupta</cp:lastModifiedBy>
  <cp:lastPrinted>2001-11-21T16:03:31Z</cp:lastPrinted>
  <dcterms:created xsi:type="dcterms:W3CDTF">1998-08-19T19:12:39Z</dcterms:created>
  <dcterms:modified xsi:type="dcterms:W3CDTF">2024-02-03T22:31:11Z</dcterms:modified>
</cp:coreProperties>
</file>