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C4C120E-EFC3-4FA4-A1A8-ED30EAA3928D}" xr6:coauthVersionLast="47" xr6:coauthVersionMax="47" xr10:uidLastSave="{00000000-0000-0000-0000-000000000000}"/>
  <bookViews>
    <workbookView xWindow="3348" yWindow="3348" windowWidth="17280" windowHeight="8880" activeTab="1"/>
  </bookViews>
  <sheets>
    <sheet name="Inventory Model" sheetId="1" r:id="rId1"/>
    <sheet name="Data" sheetId="2" r:id="rId2"/>
    <sheet name="MinimumRegret" sheetId="3" r:id="rId3"/>
    <sheet name="With BackOrder" sheetId="4" r:id="rId4"/>
  </sheets>
  <definedNames>
    <definedName name="Apr." localSheetId="3">'With BackOrder'!$F$4:$F$19</definedName>
    <definedName name="Apr.">'Inventory Model'!$F$3:$F$14</definedName>
    <definedName name="BackOrder_Qty">'With BackOrder'!$C$10:$F$10</definedName>
    <definedName name="Beginning_Inventory" localSheetId="3">'With BackOrder'!$C$13:$F$13</definedName>
    <definedName name="Beginning_Inventory">'Inventory Model'!$C$8:$F$8</definedName>
    <definedName name="BoundaryConditions">Data!$G$1:$H$2</definedName>
    <definedName name="Calc._Ending_Inv.">#REF!</definedName>
    <definedName name="Calc._Ending_Inventory">#REF!</definedName>
    <definedName name="Dec">#REF!</definedName>
    <definedName name="Delivery_Reqmts" localSheetId="3">'With BackOrder'!$C$14:$F$14</definedName>
    <definedName name="Delivery_Reqmts">'Inventory Model'!$C$9:$F$9</definedName>
    <definedName name="Economic_Climate">'With BackOrder'!$D$2</definedName>
    <definedName name="Ending_Inventory" localSheetId="3">'With BackOrder'!$C$15:$F$15</definedName>
    <definedName name="Ending_Inventory">'Inventory Model'!$C$10:$F$10</definedName>
    <definedName name="Feb" localSheetId="3">'With BackOrder'!$D$4:$D$19</definedName>
    <definedName name="Feb">'Inventory Model'!$D$3:$D$14</definedName>
    <definedName name="FinalInventory">#REF!</definedName>
    <definedName name="InitialInventory">#REF!</definedName>
    <definedName name="Inventory" localSheetId="3">'With BackOrder'!$C$5:$F$5</definedName>
    <definedName name="Inventory">'Inventory Model'!$C$4:$F$4</definedName>
    <definedName name="Inventory_Cost" localSheetId="3">'With BackOrder'!$C$18:$F$18</definedName>
    <definedName name="Inventory_Cost">'Inventory Model'!$C$13:$F$13</definedName>
    <definedName name="Inventory_Qty">'With BackOrder'!$C$9:$F$9</definedName>
    <definedName name="Jan" localSheetId="3">'With BackOrder'!$C$4:$C$19</definedName>
    <definedName name="Jan">'Inventory Model'!$C$3:$C$14</definedName>
    <definedName name="LP" localSheetId="3">'With BackOrder'!$A$1:$G$19</definedName>
    <definedName name="LP">'Inventory Model'!$A$1:$G$14</definedName>
    <definedName name="Mar" localSheetId="3">'With BackOrder'!$E$4:$E$19</definedName>
    <definedName name="Mar">'Inventory Model'!$E$3:$E$14</definedName>
    <definedName name="May" localSheetId="3">'With BackOrder'!$G$4:$G$19</definedName>
    <definedName name="May">'Inventory Model'!$G$3:$G$14</definedName>
    <definedName name="MinimumEndingInv.">#REF!</definedName>
    <definedName name="MonthlyData">Data!$A$1:$E$5</definedName>
    <definedName name="Network">#REF!</definedName>
    <definedName name="Production" localSheetId="3">'With BackOrder'!$C$4:$F$4</definedName>
    <definedName name="Production">'Inventory Model'!$C$3:$F$3</definedName>
    <definedName name="Production_Cost" localSheetId="3">'With BackOrder'!$C$17:$F$17</definedName>
    <definedName name="Production_Cost">'Inventory Model'!$C$12:$F$12</definedName>
    <definedName name="Production_Limits" localSheetId="3">'With BackOrder'!$C$12:$F$12</definedName>
    <definedName name="Production_Limits">'Inventory Model'!$C$7:$F$7</definedName>
    <definedName name="Production_Qty" localSheetId="3">'With BackOrder'!$C$8:$F$8</definedName>
    <definedName name="Production_Qty">'Inventory Model'!$C$6:$F$6</definedName>
    <definedName name="solver_adj" localSheetId="0" hidden="1">'Inventory Model'!$C$6:$F$6</definedName>
    <definedName name="solver_adj" localSheetId="2" hidden="1">MinimumRegret!$C$8:$F$8,MinimumRegret!$G$8,MinimumRegret!$C$11:$F$12,MinimumRegret!$C$25:$F$26,MinimumRegret!$C$39:$F$40</definedName>
    <definedName name="solver_adj" localSheetId="3" hidden="1">'With BackOrder'!$C$8:$F$8,'With BackOrder'!$C$9:$F$9,'With BackOrder'!$C$10:$F$10</definedName>
    <definedName name="solver_cvg" localSheetId="0" hidden="1">0.001</definedName>
    <definedName name="solver_cvg" localSheetId="2" hidden="1">0.0001</definedName>
    <definedName name="solver_cvg" localSheetId="3" hidden="1">0.001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100</definedName>
    <definedName name="solver_itr" localSheetId="2" hidden="1">100</definedName>
    <definedName name="solver_itr" localSheetId="3" hidden="1">100</definedName>
    <definedName name="solver_lhs1" localSheetId="0" hidden="1">'Inventory Model'!$F$10</definedName>
    <definedName name="solver_lhs1" localSheetId="2" hidden="1">MinimumRegret!$G$8</definedName>
    <definedName name="solver_lhs1" localSheetId="3" hidden="1">'With BackOrder'!$C$8:$F$8</definedName>
    <definedName name="solver_lhs10" localSheetId="2" hidden="1">MinimumRegret!$F$17</definedName>
    <definedName name="solver_lhs2" localSheetId="0" hidden="1">'Inventory Model'!$C$10:$F$10</definedName>
    <definedName name="solver_lhs2" localSheetId="2" hidden="1">MinimumRegret!$G$8</definedName>
    <definedName name="solver_lhs2" localSheetId="3" hidden="1">'With BackOrder'!$C$15:$F$15</definedName>
    <definedName name="solver_lhs3" localSheetId="0" hidden="1">'Inventory Model'!$C$6:$F$6</definedName>
    <definedName name="solver_lhs3" localSheetId="2" hidden="1">MinimumRegret!$G$8</definedName>
    <definedName name="solver_lhs3" localSheetId="3" hidden="1">'With BackOrder'!$C$15:$F$15</definedName>
    <definedName name="solver_lhs4" localSheetId="2" hidden="1">MinimumRegret!$C$8:$F$8</definedName>
    <definedName name="solver_lhs5" localSheetId="2" hidden="1">MinimumRegret!$C$13:$F$13</definedName>
    <definedName name="solver_lhs6" localSheetId="2" hidden="1">MinimumRegret!$C$27:$F$27</definedName>
    <definedName name="solver_lhs7" localSheetId="2" hidden="1">MinimumRegret!$C$41:$F$41</definedName>
    <definedName name="solver_lhs8" localSheetId="2" hidden="1">MinimumRegret!$F$45</definedName>
    <definedName name="solver_lhs9" localSheetId="2" hidden="1">MinimumRegret!$F$45</definedName>
    <definedName name="solver_lin" localSheetId="0" hidden="1">1</definedName>
    <definedName name="solver_lin" localSheetId="2" hidden="1">1</definedName>
    <definedName name="solver_lin" localSheetId="3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um" localSheetId="0" hidden="1">3</definedName>
    <definedName name="solver_num" localSheetId="2" hidden="1">7</definedName>
    <definedName name="solver_num" localSheetId="3" hidden="1">2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'Inventory Model'!$G$14</definedName>
    <definedName name="solver_opt" localSheetId="2" hidden="1">MinimumRegret!$G$8</definedName>
    <definedName name="solver_opt" localSheetId="3" hidden="1">'With BackOrder'!$G$20</definedName>
    <definedName name="solver_pre" localSheetId="0" hidden="1">0.000001</definedName>
    <definedName name="solver_pre" localSheetId="2" hidden="1">0.001</definedName>
    <definedName name="solver_pre" localSheetId="3" hidden="1">0.000001</definedName>
    <definedName name="solver_rel1" localSheetId="0" hidden="1">3</definedName>
    <definedName name="solver_rel1" localSheetId="2" hidden="1">1</definedName>
    <definedName name="solver_rel1" localSheetId="3" hidden="1">1</definedName>
    <definedName name="solver_rel10" localSheetId="2" hidden="1">3</definedName>
    <definedName name="solver_rel2" localSheetId="0" hidden="1">3</definedName>
    <definedName name="solver_rel2" localSheetId="2" hidden="1">1</definedName>
    <definedName name="solver_rel2" localSheetId="3" hidden="1">2</definedName>
    <definedName name="solver_rel3" localSheetId="0" hidden="1">1</definedName>
    <definedName name="solver_rel3" localSheetId="2" hidden="1">1</definedName>
    <definedName name="solver_rel3" localSheetId="3" hidden="1">2</definedName>
    <definedName name="solver_rel4" localSheetId="2" hidden="1">1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3</definedName>
    <definedName name="solver_rel9" localSheetId="2" hidden="1">3</definedName>
    <definedName name="solver_rhs1" localSheetId="0" hidden="1">'Inventory Model'!$G$10</definedName>
    <definedName name="solver_rhs1" localSheetId="2" hidden="1">MinimumRegret!$G$22</definedName>
    <definedName name="solver_rhs1" localSheetId="3" hidden="1">'Inventory Model'!$C$7:$F$7</definedName>
    <definedName name="solver_rhs10" localSheetId="2" hidden="1">MinimumRegret!$G$17</definedName>
    <definedName name="solver_rhs2" localSheetId="0" hidden="1">0</definedName>
    <definedName name="solver_rhs2" localSheetId="2" hidden="1">MinimumRegret!$G$36</definedName>
    <definedName name="solver_rhs2" localSheetId="3" hidden="1">'With BackOrder'!$C$11:$F$11</definedName>
    <definedName name="solver_rhs3" localSheetId="0" hidden="1">'Inventory Model'!$C$7:$F$7</definedName>
    <definedName name="solver_rhs3" localSheetId="2" hidden="1">MinimumRegret!$G$50</definedName>
    <definedName name="solver_rhs3" localSheetId="3" hidden="1">'With BackOrder'!$C$11:$F$11</definedName>
    <definedName name="solver_rhs4" localSheetId="2" hidden="1">MinimumRegret!$C$14:$F$14</definedName>
    <definedName name="solver_rhs5" localSheetId="2" hidden="1">MinimumRegret!$C$17:$F$17</definedName>
    <definedName name="solver_rhs6" localSheetId="2" hidden="1">MinimumRegret!$C$31:$F$31</definedName>
    <definedName name="solver_rhs7" localSheetId="2" hidden="1">MinimumRegret!$C$45:$F$45</definedName>
    <definedName name="solver_rhs8" localSheetId="2" hidden="1">MinimumRegret!$G$45</definedName>
    <definedName name="solver_rhs9" localSheetId="2" hidden="1">MinimumRegret!$G$45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tim" localSheetId="0" hidden="1">100</definedName>
    <definedName name="solver_tim" localSheetId="2" hidden="1">100</definedName>
    <definedName name="solver_tim" localSheetId="3" hidden="1">100</definedName>
    <definedName name="solver_tol" localSheetId="0" hidden="1">0.05</definedName>
    <definedName name="solver_tol" localSheetId="2" hidden="1">0.05</definedName>
    <definedName name="solver_tol" localSheetId="3" hidden="1">0.05</definedName>
    <definedName name="solver_typ" localSheetId="0" hidden="1">2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Total" localSheetId="3">'With BackOrder'!$H$4:$H$19</definedName>
    <definedName name="Total">'Inventory Model'!$H$3:$H$14</definedName>
    <definedName name="Total_Cost" localSheetId="3">'With BackOrder'!$C$19:$F$19</definedName>
    <definedName name="Total_Cost">'Inventory Model'!$C$14:$F$14</definedName>
    <definedName name="TotalCost">#REF!</definedName>
    <definedName name="Unit_Costs" localSheetId="3">'With BackOrder'!$C$4:$F$19</definedName>
    <definedName name="Unit_Costs">'Inventory Model'!$C$3:$F$14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2" i="1"/>
  <c r="D12" i="1"/>
  <c r="E12" i="1"/>
  <c r="F12" i="1"/>
  <c r="C13" i="1"/>
  <c r="C14" i="1" s="1"/>
  <c r="C13" i="3"/>
  <c r="D13" i="3"/>
  <c r="E13" i="3"/>
  <c r="F13" i="3"/>
  <c r="C16" i="3"/>
  <c r="D16" i="3"/>
  <c r="E16" i="3"/>
  <c r="F16" i="3"/>
  <c r="C17" i="3"/>
  <c r="D15" i="3" s="1"/>
  <c r="D17" i="3" s="1"/>
  <c r="E15" i="3" s="1"/>
  <c r="E17" i="3" s="1"/>
  <c r="F15" i="3" s="1"/>
  <c r="F17" i="3" s="1"/>
  <c r="G17" i="3"/>
  <c r="C19" i="3"/>
  <c r="D19" i="3"/>
  <c r="E19" i="3"/>
  <c r="F19" i="3"/>
  <c r="C20" i="3"/>
  <c r="D20" i="3"/>
  <c r="D21" i="3" s="1"/>
  <c r="E20" i="3"/>
  <c r="E21" i="3" s="1"/>
  <c r="F20" i="3"/>
  <c r="F21" i="3" s="1"/>
  <c r="C21" i="3"/>
  <c r="C27" i="3"/>
  <c r="D27" i="3"/>
  <c r="E27" i="3"/>
  <c r="F27" i="3"/>
  <c r="C30" i="3"/>
  <c r="D30" i="3"/>
  <c r="E30" i="3"/>
  <c r="F30" i="3"/>
  <c r="C31" i="3"/>
  <c r="D29" i="3" s="1"/>
  <c r="D31" i="3" s="1"/>
  <c r="E29" i="3" s="1"/>
  <c r="E31" i="3" s="1"/>
  <c r="F29" i="3" s="1"/>
  <c r="F31" i="3" s="1"/>
  <c r="G31" i="3"/>
  <c r="C33" i="3"/>
  <c r="D33" i="3"/>
  <c r="E33" i="3"/>
  <c r="E35" i="3" s="1"/>
  <c r="F33" i="3"/>
  <c r="F35" i="3" s="1"/>
  <c r="C34" i="3"/>
  <c r="D34" i="3"/>
  <c r="E34" i="3"/>
  <c r="F34" i="3"/>
  <c r="C35" i="3"/>
  <c r="D35" i="3"/>
  <c r="C41" i="3"/>
  <c r="D41" i="3"/>
  <c r="E41" i="3"/>
  <c r="F41" i="3"/>
  <c r="C44" i="3"/>
  <c r="C45" i="3" s="1"/>
  <c r="D43" i="3" s="1"/>
  <c r="D45" i="3" s="1"/>
  <c r="E43" i="3" s="1"/>
  <c r="E45" i="3" s="1"/>
  <c r="F43" i="3" s="1"/>
  <c r="F45" i="3" s="1"/>
  <c r="D44" i="3"/>
  <c r="E44" i="3"/>
  <c r="F44" i="3"/>
  <c r="G45" i="3"/>
  <c r="C47" i="3"/>
  <c r="D47" i="3"/>
  <c r="E47" i="3"/>
  <c r="F47" i="3"/>
  <c r="C48" i="3"/>
  <c r="C49" i="3" s="1"/>
  <c r="D48" i="3"/>
  <c r="D49" i="3" s="1"/>
  <c r="E48" i="3"/>
  <c r="F48" i="3"/>
  <c r="E49" i="3"/>
  <c r="F49" i="3"/>
  <c r="C11" i="4"/>
  <c r="D11" i="4"/>
  <c r="E11" i="4"/>
  <c r="F11" i="4"/>
  <c r="C14" i="4"/>
  <c r="C15" i="4" s="1"/>
  <c r="D13" i="4" s="1"/>
  <c r="D15" i="4" s="1"/>
  <c r="E13" i="4" s="1"/>
  <c r="E15" i="4" s="1"/>
  <c r="F13" i="4" s="1"/>
  <c r="F15" i="4" s="1"/>
  <c r="D14" i="4"/>
  <c r="E14" i="4"/>
  <c r="F14" i="4"/>
  <c r="G15" i="4"/>
  <c r="C17" i="4"/>
  <c r="D17" i="4"/>
  <c r="E17" i="4"/>
  <c r="F17" i="4"/>
  <c r="C18" i="4"/>
  <c r="C19" i="4" s="1"/>
  <c r="G19" i="4" s="1"/>
  <c r="G20" i="4" s="1"/>
  <c r="D18" i="4"/>
  <c r="E18" i="4"/>
  <c r="E19" i="4" s="1"/>
  <c r="F18" i="4"/>
  <c r="F19" i="4" s="1"/>
  <c r="D19" i="4"/>
  <c r="D10" i="1"/>
  <c r="D13" i="1" s="1"/>
  <c r="D14" i="1" s="1"/>
  <c r="E8" i="1"/>
  <c r="E10" i="1" s="1"/>
  <c r="F8" i="1" s="1"/>
  <c r="G35" i="3" l="1"/>
  <c r="G36" i="3" s="1"/>
  <c r="F10" i="1"/>
  <c r="F13" i="1" s="1"/>
  <c r="F14" i="1" s="1"/>
  <c r="G49" i="3"/>
  <c r="G50" i="3" s="1"/>
  <c r="G21" i="3"/>
  <c r="G22" i="3" s="1"/>
  <c r="E13" i="1"/>
  <c r="E14" i="1" s="1"/>
  <c r="G14" i="1" s="1"/>
</calcChain>
</file>

<file path=xl/sharedStrings.xml><?xml version="1.0" encoding="utf-8"?>
<sst xmlns="http://schemas.openxmlformats.org/spreadsheetml/2006/main" count="114" uniqueCount="37">
  <si>
    <t>Singapore Electric Generator Production</t>
  </si>
  <si>
    <t>Unit Costs</t>
  </si>
  <si>
    <t>Jan</t>
  </si>
  <si>
    <t>Feb</t>
  </si>
  <si>
    <t>Mar</t>
  </si>
  <si>
    <t>Apr.</t>
  </si>
  <si>
    <t>May</t>
  </si>
  <si>
    <t>Inventory</t>
  </si>
  <si>
    <t>Minimum</t>
  </si>
  <si>
    <t>Total Cost</t>
  </si>
  <si>
    <t>Total</t>
  </si>
  <si>
    <t>Month</t>
  </si>
  <si>
    <t>ProductionCost</t>
  </si>
  <si>
    <t>InventoryCost</t>
  </si>
  <si>
    <t>Demand</t>
  </si>
  <si>
    <t>ProductionLimit</t>
  </si>
  <si>
    <t>Apr</t>
  </si>
  <si>
    <t>InitialInventory</t>
  </si>
  <si>
    <t>MinFinalInventory</t>
  </si>
  <si>
    <t>Prod.</t>
  </si>
  <si>
    <t>Prod. Quant.</t>
  </si>
  <si>
    <t>Prod. Limits</t>
  </si>
  <si>
    <t>Init. Inv.</t>
  </si>
  <si>
    <t>Ending Inv.</t>
  </si>
  <si>
    <t>Del. Reqmts</t>
  </si>
  <si>
    <t>Prod. Cost</t>
  </si>
  <si>
    <t>Inv. Cost</t>
  </si>
  <si>
    <t>BackOrder</t>
  </si>
  <si>
    <t>Net Inv.</t>
  </si>
  <si>
    <t>Economic Climate</t>
  </si>
  <si>
    <t>Unit Revenue</t>
  </si>
  <si>
    <t>Net Rev.</t>
  </si>
  <si>
    <t>Scenario 1</t>
  </si>
  <si>
    <t>Scenario 2</t>
  </si>
  <si>
    <t>Minimum Net Rev</t>
  </si>
  <si>
    <t>Scenario 3</t>
  </si>
  <si>
    <t>Lost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</si>
</sst>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82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Fill="1" applyBorder="1" applyAlignment="1">
      <alignment horizontal="center"/>
    </xf>
    <xf numFmtId="44" fontId="0" fillId="0" borderId="0" xfId="2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44" fontId="0" fillId="2" borderId="1" xfId="2" applyFont="1" applyFill="1" applyBorder="1"/>
    <xf numFmtId="44" fontId="0" fillId="2" borderId="2" xfId="2" applyFont="1" applyFill="1" applyBorder="1"/>
    <xf numFmtId="44" fontId="0" fillId="2" borderId="3" xfId="2" applyFont="1" applyFill="1" applyBorder="1"/>
    <xf numFmtId="44" fontId="0" fillId="2" borderId="4" xfId="2" applyFont="1" applyFill="1" applyBorder="1"/>
    <xf numFmtId="44" fontId="0" fillId="2" borderId="5" xfId="2" applyFont="1" applyFill="1" applyBorder="1"/>
    <xf numFmtId="44" fontId="0" fillId="2" borderId="6" xfId="2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173" fontId="0" fillId="2" borderId="4" xfId="1" applyNumberFormat="1" applyFont="1" applyFill="1" applyBorder="1"/>
    <xf numFmtId="173" fontId="0" fillId="2" borderId="5" xfId="1" applyNumberFormat="1" applyFont="1" applyFill="1" applyBorder="1"/>
    <xf numFmtId="173" fontId="0" fillId="2" borderId="6" xfId="1" applyNumberFormat="1" applyFont="1" applyFill="1" applyBorder="1"/>
    <xf numFmtId="44" fontId="0" fillId="2" borderId="0" xfId="2" applyFont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Alignment="1">
      <alignment horizontal="center"/>
    </xf>
    <xf numFmtId="44" fontId="1" fillId="2" borderId="1" xfId="2" applyFill="1" applyBorder="1"/>
    <xf numFmtId="44" fontId="1" fillId="2" borderId="2" xfId="2" applyFill="1" applyBorder="1"/>
    <xf numFmtId="44" fontId="1" fillId="2" borderId="3" xfId="2" applyFill="1" applyBorder="1"/>
    <xf numFmtId="173" fontId="1" fillId="2" borderId="4" xfId="1" applyNumberFormat="1" applyFill="1" applyBorder="1"/>
    <xf numFmtId="173" fontId="1" fillId="2" borderId="5" xfId="1" applyNumberFormat="1" applyFill="1" applyBorder="1"/>
    <xf numFmtId="173" fontId="1" fillId="2" borderId="6" xfId="1" applyNumberFormat="1" applyFill="1" applyBorder="1"/>
    <xf numFmtId="44" fontId="1" fillId="2" borderId="0" xfId="2" applyFill="1"/>
    <xf numFmtId="44" fontId="1" fillId="2" borderId="10" xfId="2" applyFill="1" applyBorder="1"/>
    <xf numFmtId="44" fontId="1" fillId="2" borderId="0" xfId="2" applyFill="1" applyBorder="1"/>
    <xf numFmtId="44" fontId="1" fillId="2" borderId="11" xfId="2" applyFill="1" applyBorder="1"/>
    <xf numFmtId="8" fontId="1" fillId="2" borderId="4" xfId="2" applyNumberFormat="1" applyFill="1" applyBorder="1"/>
    <xf numFmtId="8" fontId="1" fillId="2" borderId="5" xfId="2" applyNumberFormat="1" applyFill="1" applyBorder="1"/>
    <xf numFmtId="8" fontId="1" fillId="2" borderId="6" xfId="2" applyNumberFormat="1" applyFill="1" applyBorder="1"/>
    <xf numFmtId="43" fontId="0" fillId="2" borderId="2" xfId="1" applyFont="1" applyFill="1" applyBorder="1"/>
    <xf numFmtId="43" fontId="0" fillId="2" borderId="3" xfId="1" applyFont="1" applyFill="1" applyBorder="1"/>
    <xf numFmtId="182" fontId="1" fillId="2" borderId="3" xfId="2" applyNumberFormat="1" applyFill="1" applyBorder="1"/>
    <xf numFmtId="182" fontId="1" fillId="2" borderId="0" xfId="2" applyNumberFormat="1" applyFill="1"/>
    <xf numFmtId="0" fontId="3" fillId="2" borderId="0" xfId="0" applyFont="1" applyFill="1" applyAlignment="1">
      <alignment horizontal="center"/>
    </xf>
    <xf numFmtId="9" fontId="3" fillId="2" borderId="0" xfId="3" applyFont="1" applyFill="1" applyAlignment="1">
      <alignment horizontal="center"/>
    </xf>
    <xf numFmtId="0" fontId="3" fillId="2" borderId="0" xfId="0" applyFont="1" applyFill="1" applyAlignment="1">
      <alignment horizontal="right"/>
    </xf>
    <xf numFmtId="182" fontId="1" fillId="2" borderId="1" xfId="2" applyNumberFormat="1" applyFill="1" applyBorder="1"/>
    <xf numFmtId="182" fontId="1" fillId="2" borderId="2" xfId="2" applyNumberFormat="1" applyFill="1" applyBorder="1"/>
    <xf numFmtId="182" fontId="1" fillId="2" borderId="4" xfId="2" applyNumberFormat="1" applyFill="1" applyBorder="1"/>
    <xf numFmtId="182" fontId="1" fillId="2" borderId="5" xfId="2" applyNumberFormat="1" applyFill="1" applyBorder="1"/>
    <xf numFmtId="182" fontId="1" fillId="2" borderId="6" xfId="2" applyNumberFormat="1" applyFill="1" applyBorder="1"/>
    <xf numFmtId="182" fontId="3" fillId="2" borderId="0" xfId="2" applyNumberFormat="1" applyFont="1" applyFill="1" applyAlignment="1">
      <alignment horizontal="center"/>
    </xf>
    <xf numFmtId="173" fontId="0" fillId="2" borderId="0" xfId="0" applyNumberFormat="1" applyFill="1"/>
    <xf numFmtId="0" fontId="0" fillId="2" borderId="12" xfId="0" applyFill="1" applyBorder="1"/>
    <xf numFmtId="182" fontId="0" fillId="2" borderId="0" xfId="0" applyNumberFormat="1" applyFill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/>
    <xf numFmtId="0" fontId="3" fillId="3" borderId="0" xfId="0" applyFont="1" applyFill="1" applyAlignment="1">
      <alignment horizontal="right"/>
    </xf>
    <xf numFmtId="9" fontId="3" fillId="3" borderId="0" xfId="3" applyFont="1" applyFill="1" applyAlignment="1">
      <alignment horizontal="center"/>
    </xf>
    <xf numFmtId="0" fontId="0" fillId="3" borderId="0" xfId="0" applyFill="1" applyBorder="1"/>
    <xf numFmtId="0" fontId="0" fillId="3" borderId="0" xfId="0" applyFill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43" fontId="0" fillId="3" borderId="2" xfId="1" applyFont="1" applyFill="1" applyBorder="1"/>
    <xf numFmtId="43" fontId="0" fillId="3" borderId="3" xfId="1" applyFont="1" applyFill="1" applyBorder="1"/>
    <xf numFmtId="0" fontId="0" fillId="3" borderId="10" xfId="0" applyFill="1" applyBorder="1"/>
    <xf numFmtId="0" fontId="0" fillId="3" borderId="11" xfId="0" applyFill="1" applyBorder="1"/>
    <xf numFmtId="173" fontId="1" fillId="3" borderId="4" xfId="1" applyNumberFormat="1" applyFill="1" applyBorder="1"/>
    <xf numFmtId="173" fontId="1" fillId="3" borderId="5" xfId="1" applyNumberFormat="1" applyFill="1" applyBorder="1"/>
    <xf numFmtId="173" fontId="1" fillId="3" borderId="6" xfId="1" applyNumberFormat="1" applyFill="1" applyBorder="1"/>
    <xf numFmtId="182" fontId="0" fillId="3" borderId="0" xfId="0" applyNumberFormat="1" applyFill="1" applyAlignment="1">
      <alignment horizontal="center"/>
    </xf>
    <xf numFmtId="182" fontId="1" fillId="3" borderId="1" xfId="2" applyNumberFormat="1" applyFill="1" applyBorder="1"/>
    <xf numFmtId="182" fontId="1" fillId="3" borderId="2" xfId="2" applyNumberFormat="1" applyFill="1" applyBorder="1"/>
    <xf numFmtId="182" fontId="1" fillId="3" borderId="3" xfId="2" applyNumberFormat="1" applyFill="1" applyBorder="1"/>
    <xf numFmtId="44" fontId="1" fillId="3" borderId="0" xfId="2" applyFill="1"/>
    <xf numFmtId="182" fontId="1" fillId="3" borderId="4" xfId="2" applyNumberFormat="1" applyFill="1" applyBorder="1"/>
    <xf numFmtId="182" fontId="1" fillId="3" borderId="5" xfId="2" applyNumberFormat="1" applyFill="1" applyBorder="1"/>
    <xf numFmtId="182" fontId="1" fillId="3" borderId="6" xfId="2" applyNumberFormat="1" applyFill="1" applyBorder="1"/>
    <xf numFmtId="182" fontId="1" fillId="3" borderId="0" xfId="2" applyNumberFormat="1" applyFill="1"/>
    <xf numFmtId="173" fontId="0" fillId="3" borderId="0" xfId="0" applyNumberFormat="1" applyFill="1"/>
    <xf numFmtId="0" fontId="0" fillId="4" borderId="0" xfId="0" applyFill="1" applyBorder="1" applyAlignment="1">
      <alignment horizontal="right"/>
    </xf>
    <xf numFmtId="0" fontId="0" fillId="4" borderId="0" xfId="0" applyFill="1"/>
    <xf numFmtId="0" fontId="3" fillId="4" borderId="0" xfId="0" applyFont="1" applyFill="1" applyAlignment="1">
      <alignment horizontal="right"/>
    </xf>
    <xf numFmtId="9" fontId="3" fillId="4" borderId="0" xfId="3" applyFont="1" applyFill="1" applyAlignment="1">
      <alignment horizontal="center"/>
    </xf>
    <xf numFmtId="0" fontId="0" fillId="4" borderId="0" xfId="0" applyFill="1" applyBorder="1"/>
    <xf numFmtId="0" fontId="0" fillId="4" borderId="0" xfId="0" applyFill="1" applyAlignment="1">
      <alignment horizontal="right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43" fontId="0" fillId="4" borderId="2" xfId="1" applyFont="1" applyFill="1" applyBorder="1"/>
    <xf numFmtId="43" fontId="0" fillId="4" borderId="3" xfId="1" applyFont="1" applyFill="1" applyBorder="1"/>
    <xf numFmtId="0" fontId="0" fillId="4" borderId="10" xfId="0" applyFill="1" applyBorder="1"/>
    <xf numFmtId="0" fontId="0" fillId="4" borderId="11" xfId="0" applyFill="1" applyBorder="1"/>
    <xf numFmtId="173" fontId="1" fillId="4" borderId="4" xfId="1" applyNumberFormat="1" applyFill="1" applyBorder="1"/>
    <xf numFmtId="173" fontId="1" fillId="4" borderId="5" xfId="1" applyNumberFormat="1" applyFill="1" applyBorder="1"/>
    <xf numFmtId="173" fontId="1" fillId="4" borderId="6" xfId="1" applyNumberFormat="1" applyFill="1" applyBorder="1"/>
    <xf numFmtId="182" fontId="0" fillId="4" borderId="0" xfId="0" applyNumberFormat="1" applyFill="1" applyAlignment="1">
      <alignment horizontal="center"/>
    </xf>
    <xf numFmtId="182" fontId="1" fillId="4" borderId="1" xfId="2" applyNumberFormat="1" applyFill="1" applyBorder="1"/>
    <xf numFmtId="182" fontId="1" fillId="4" borderId="2" xfId="2" applyNumberFormat="1" applyFill="1" applyBorder="1"/>
    <xf numFmtId="182" fontId="1" fillId="4" borderId="3" xfId="2" applyNumberFormat="1" applyFill="1" applyBorder="1"/>
    <xf numFmtId="44" fontId="1" fillId="4" borderId="0" xfId="2" applyFill="1"/>
    <xf numFmtId="182" fontId="1" fillId="4" borderId="4" xfId="2" applyNumberFormat="1" applyFill="1" applyBorder="1"/>
    <xf numFmtId="182" fontId="1" fillId="4" borderId="5" xfId="2" applyNumberFormat="1" applyFill="1" applyBorder="1"/>
    <xf numFmtId="182" fontId="1" fillId="4" borderId="6" xfId="2" applyNumberFormat="1" applyFill="1" applyBorder="1"/>
    <xf numFmtId="182" fontId="1" fillId="4" borderId="0" xfId="2" applyNumberFormat="1" applyFill="1"/>
    <xf numFmtId="173" fontId="0" fillId="4" borderId="0" xfId="0" applyNumberFormat="1" applyFill="1"/>
    <xf numFmtId="0" fontId="0" fillId="5" borderId="0" xfId="0" applyFill="1" applyBorder="1" applyAlignment="1">
      <alignment horizontal="right"/>
    </xf>
    <xf numFmtId="0" fontId="0" fillId="5" borderId="0" xfId="0" applyFill="1"/>
    <xf numFmtId="0" fontId="3" fillId="5" borderId="0" xfId="0" applyFont="1" applyFill="1" applyAlignment="1">
      <alignment horizontal="right"/>
    </xf>
    <xf numFmtId="9" fontId="3" fillId="5" borderId="0" xfId="3" applyFont="1" applyFill="1" applyAlignment="1">
      <alignment horizontal="center"/>
    </xf>
    <xf numFmtId="0" fontId="0" fillId="5" borderId="0" xfId="0" applyFill="1" applyBorder="1"/>
    <xf numFmtId="0" fontId="0" fillId="5" borderId="0" xfId="0" applyFill="1" applyAlignment="1">
      <alignment horizontal="right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43" fontId="0" fillId="5" borderId="2" xfId="1" applyFont="1" applyFill="1" applyBorder="1"/>
    <xf numFmtId="43" fontId="0" fillId="5" borderId="3" xfId="1" applyFont="1" applyFill="1" applyBorder="1"/>
    <xf numFmtId="0" fontId="0" fillId="5" borderId="10" xfId="0" applyFill="1" applyBorder="1"/>
    <xf numFmtId="0" fontId="0" fillId="5" borderId="11" xfId="0" applyFill="1" applyBorder="1"/>
    <xf numFmtId="173" fontId="1" fillId="5" borderId="4" xfId="1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3" fontId="0" fillId="5" borderId="0" xfId="0" applyNumberFormat="1" applyFill="1" applyAlignment="1">
      <alignment horizontal="center"/>
    </xf>
    <xf numFmtId="182" fontId="1" fillId="5" borderId="1" xfId="2" applyNumberFormat="1" applyFill="1" applyBorder="1"/>
    <xf numFmtId="182" fontId="1" fillId="5" borderId="2" xfId="2" applyNumberFormat="1" applyFill="1" applyBorder="1"/>
    <xf numFmtId="182" fontId="1" fillId="5" borderId="3" xfId="2" applyNumberFormat="1" applyFill="1" applyBorder="1"/>
    <xf numFmtId="44" fontId="1" fillId="5" borderId="0" xfId="2" applyFill="1"/>
    <xf numFmtId="182" fontId="1" fillId="5" borderId="4" xfId="2" applyNumberFormat="1" applyFill="1" applyBorder="1"/>
    <xf numFmtId="182" fontId="1" fillId="5" borderId="5" xfId="2" applyNumberFormat="1" applyFill="1" applyBorder="1"/>
    <xf numFmtId="182" fontId="1" fillId="5" borderId="6" xfId="2" applyNumberFormat="1" applyFill="1" applyBorder="1"/>
    <xf numFmtId="182" fontId="1" fillId="5" borderId="0" xfId="2" applyNumberFormat="1" applyFill="1"/>
    <xf numFmtId="173" fontId="0" fillId="5" borderId="0" xfId="0" applyNumberFormat="1" applyFill="1"/>
    <xf numFmtId="0" fontId="2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="200" workbookViewId="0">
      <selection activeCell="E12" sqref="E12"/>
    </sheetView>
  </sheetViews>
  <sheetFormatPr defaultColWidth="9.109375" defaultRowHeight="13.2" x14ac:dyDescent="0.25"/>
  <cols>
    <col min="1" max="1" width="2.109375" style="3" customWidth="1"/>
    <col min="2" max="2" width="9.109375" style="3"/>
    <col min="3" max="3" width="13" style="3" bestFit="1" customWidth="1"/>
    <col min="4" max="4" width="12.6640625" style="3" bestFit="1" customWidth="1"/>
    <col min="5" max="5" width="10.88671875" style="3" bestFit="1" customWidth="1"/>
    <col min="6" max="6" width="9.109375" style="3"/>
    <col min="7" max="7" width="11.33203125" style="3" customWidth="1"/>
    <col min="8" max="8" width="10.33203125" style="3" customWidth="1"/>
    <col min="9" max="16384" width="9.109375" style="3"/>
  </cols>
  <sheetData>
    <row r="1" spans="2:8" x14ac:dyDescent="0.25">
      <c r="B1" s="145" t="s">
        <v>0</v>
      </c>
      <c r="C1" s="145"/>
      <c r="D1" s="145"/>
      <c r="E1" s="145"/>
      <c r="F1" s="145"/>
      <c r="G1" s="145"/>
    </row>
    <row r="2" spans="2:8" x14ac:dyDescent="0.25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2:8" x14ac:dyDescent="0.25">
      <c r="B3" s="5" t="s">
        <v>19</v>
      </c>
      <c r="C3" s="6">
        <v>28</v>
      </c>
      <c r="D3" s="7">
        <v>27</v>
      </c>
      <c r="E3" s="7">
        <v>27.8</v>
      </c>
      <c r="F3" s="8">
        <v>29</v>
      </c>
    </row>
    <row r="4" spans="2:8" x14ac:dyDescent="0.25">
      <c r="B4" s="5" t="s">
        <v>7</v>
      </c>
      <c r="C4" s="9">
        <v>0.3</v>
      </c>
      <c r="D4" s="10">
        <v>0.3</v>
      </c>
      <c r="E4" s="10">
        <v>0.3</v>
      </c>
      <c r="F4" s="11">
        <v>0.3</v>
      </c>
    </row>
    <row r="6" spans="2:8" x14ac:dyDescent="0.25">
      <c r="B6" s="5" t="s">
        <v>20</v>
      </c>
      <c r="C6" s="12">
        <v>52.999999995876806</v>
      </c>
      <c r="D6" s="13">
        <v>62</v>
      </c>
      <c r="E6" s="13">
        <v>64</v>
      </c>
      <c r="F6" s="14">
        <v>0</v>
      </c>
    </row>
    <row r="7" spans="2:8" x14ac:dyDescent="0.25">
      <c r="B7" s="5" t="s">
        <v>21</v>
      </c>
      <c r="C7" s="3">
        <v>60</v>
      </c>
      <c r="D7" s="3">
        <v>62</v>
      </c>
      <c r="E7" s="3">
        <v>64</v>
      </c>
      <c r="F7" s="3">
        <v>66</v>
      </c>
    </row>
    <row r="8" spans="2:8" x14ac:dyDescent="0.25">
      <c r="B8" s="5" t="s">
        <v>22</v>
      </c>
      <c r="C8" s="15">
        <v>15</v>
      </c>
      <c r="D8" s="16">
        <v>9.9</v>
      </c>
      <c r="E8" s="16">
        <f>Ending_Inventory Feb</f>
        <v>35.900000000000006</v>
      </c>
      <c r="F8" s="17">
        <f>Ending_Inventory Mar</f>
        <v>65.900000000000006</v>
      </c>
    </row>
    <row r="9" spans="2:8" x14ac:dyDescent="0.25">
      <c r="B9" s="5" t="s">
        <v>24</v>
      </c>
      <c r="C9" s="18">
        <v>58</v>
      </c>
      <c r="D9" s="19">
        <v>36</v>
      </c>
      <c r="E9" s="19">
        <v>34</v>
      </c>
      <c r="F9" s="20">
        <v>59</v>
      </c>
      <c r="G9" s="3" t="s">
        <v>8</v>
      </c>
    </row>
    <row r="10" spans="2:8" x14ac:dyDescent="0.25">
      <c r="B10" s="5" t="s">
        <v>23</v>
      </c>
      <c r="C10" s="21">
        <f>Beginning_Inventory+Production_Qty-Delivery_Reqmts</f>
        <v>9.9999999958768058</v>
      </c>
      <c r="D10" s="22">
        <f>Beginning_Inventory+Production_Qty-Delivery_Reqmts</f>
        <v>35.900000000000006</v>
      </c>
      <c r="E10" s="22">
        <f>Beginning_Inventory+Production_Qty-Delivery_Reqmts</f>
        <v>65.900000000000006</v>
      </c>
      <c r="F10" s="23">
        <f>Beginning_Inventory+Production_Qty-Delivery_Reqmts</f>
        <v>6.9000000000000057</v>
      </c>
      <c r="G10" s="4">
        <v>7</v>
      </c>
    </row>
    <row r="11" spans="2:8" x14ac:dyDescent="0.25">
      <c r="B11" s="5"/>
    </row>
    <row r="12" spans="2:8" x14ac:dyDescent="0.25">
      <c r="B12" s="5" t="s">
        <v>25</v>
      </c>
      <c r="C12" s="6">
        <f>Production_Qty*Production</f>
        <v>1483.9999998845506</v>
      </c>
      <c r="D12" s="7">
        <f>Production_Qty*Production</f>
        <v>1674</v>
      </c>
      <c r="E12" s="7">
        <f>Production_Qty*Production</f>
        <v>1779.2</v>
      </c>
      <c r="F12" s="8">
        <f>Production_Qty*Production</f>
        <v>0</v>
      </c>
      <c r="G12" s="24"/>
      <c r="H12" s="24"/>
    </row>
    <row r="13" spans="2:8" x14ac:dyDescent="0.25">
      <c r="B13" s="5" t="s">
        <v>26</v>
      </c>
      <c r="C13" s="9">
        <f>Inventory*(Beginning_Inventory+Ending_Inventory)/2</f>
        <v>3.7499999993815205</v>
      </c>
      <c r="D13" s="10">
        <f>Inventory*(Beginning_Inventory+Ending_Inventory)/2</f>
        <v>6.87</v>
      </c>
      <c r="E13" s="10">
        <f>Inventory*(Beginning_Inventory+Ending_Inventory)/2</f>
        <v>15.270000000000001</v>
      </c>
      <c r="F13" s="11">
        <f>Inventory*(Beginning_Inventory+Ending_Inventory)/2</f>
        <v>10.920000000000002</v>
      </c>
      <c r="G13" s="24" t="s">
        <v>10</v>
      </c>
    </row>
    <row r="14" spans="2:8" x14ac:dyDescent="0.25">
      <c r="B14" s="5" t="s">
        <v>9</v>
      </c>
      <c r="C14" s="24">
        <f>Production_Cost+Inventory_Cost</f>
        <v>1487.7499998839321</v>
      </c>
      <c r="D14" s="24">
        <f>Production_Cost+Inventory_Cost</f>
        <v>1680.87</v>
      </c>
      <c r="E14" s="24">
        <f>Production_Cost+Inventory_Cost</f>
        <v>1794.47</v>
      </c>
      <c r="F14" s="24">
        <f>Production_Cost+Inventory_Cost</f>
        <v>10.920000000000002</v>
      </c>
      <c r="G14" s="24">
        <f>SUM((Total_Cost Jan):(Total_Cost Apr.))</f>
        <v>4974.0099998839323</v>
      </c>
    </row>
  </sheetData>
  <mergeCells count="1">
    <mergeCell ref="B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4" sqref="D4"/>
    </sheetView>
  </sheetViews>
  <sheetFormatPr defaultRowHeight="13.2" x14ac:dyDescent="0.25"/>
  <cols>
    <col min="1" max="1" width="6.109375" bestFit="1" customWidth="1"/>
    <col min="2" max="2" width="13.6640625" bestFit="1" customWidth="1"/>
    <col min="3" max="3" width="12.109375" bestFit="1" customWidth="1"/>
    <col min="4" max="4" width="7.88671875" bestFit="1" customWidth="1"/>
    <col min="5" max="5" width="13.88671875" bestFit="1" customWidth="1"/>
    <col min="6" max="6" width="9.33203125" customWidth="1"/>
    <col min="7" max="7" width="12.5546875" bestFit="1" customWidth="1"/>
    <col min="8" max="8" width="15.3320312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G1" t="s">
        <v>17</v>
      </c>
      <c r="H1" t="s">
        <v>18</v>
      </c>
    </row>
    <row r="2" spans="1:8" x14ac:dyDescent="0.25">
      <c r="A2" s="1" t="s">
        <v>2</v>
      </c>
      <c r="B2" s="2">
        <v>28</v>
      </c>
      <c r="C2" s="2">
        <v>0.3</v>
      </c>
      <c r="D2">
        <v>58</v>
      </c>
      <c r="E2">
        <v>60</v>
      </c>
      <c r="G2">
        <v>15</v>
      </c>
      <c r="H2">
        <v>7</v>
      </c>
    </row>
    <row r="3" spans="1:8" x14ac:dyDescent="0.25">
      <c r="A3" s="1" t="s">
        <v>3</v>
      </c>
      <c r="B3" s="2">
        <v>27</v>
      </c>
      <c r="C3" s="2">
        <v>0.3</v>
      </c>
      <c r="D3">
        <v>36</v>
      </c>
      <c r="E3">
        <v>62</v>
      </c>
    </row>
    <row r="4" spans="1:8" x14ac:dyDescent="0.25">
      <c r="A4" s="1" t="s">
        <v>4</v>
      </c>
      <c r="B4" s="2">
        <v>27.8</v>
      </c>
      <c r="C4" s="2">
        <v>0.3</v>
      </c>
      <c r="D4">
        <v>34</v>
      </c>
      <c r="E4">
        <v>64</v>
      </c>
    </row>
    <row r="5" spans="1:8" x14ac:dyDescent="0.25">
      <c r="A5" s="1" t="s">
        <v>16</v>
      </c>
      <c r="B5" s="2">
        <v>29</v>
      </c>
      <c r="C5" s="2">
        <v>0.3</v>
      </c>
      <c r="D5">
        <v>59</v>
      </c>
      <c r="E5">
        <v>66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opLeftCell="C1" zoomScale="200" workbookViewId="0">
      <selection activeCell="B2" sqref="B2:G51"/>
    </sheetView>
  </sheetViews>
  <sheetFormatPr defaultColWidth="9.109375" defaultRowHeight="13.2" x14ac:dyDescent="0.25"/>
  <cols>
    <col min="1" max="1" width="2.109375" style="3" customWidth="1"/>
    <col min="2" max="2" width="10.33203125" style="3" customWidth="1"/>
    <col min="3" max="3" width="13" style="3" bestFit="1" customWidth="1"/>
    <col min="4" max="4" width="10.6640625" style="3" customWidth="1"/>
    <col min="5" max="5" width="11.88671875" style="3" customWidth="1"/>
    <col min="6" max="6" width="9.6640625" style="3" bestFit="1" customWidth="1"/>
    <col min="7" max="7" width="11.33203125" style="3" customWidth="1"/>
    <col min="8" max="8" width="10.33203125" style="3" customWidth="1"/>
    <col min="9" max="16384" width="9.109375" style="3"/>
  </cols>
  <sheetData>
    <row r="1" spans="2:7" x14ac:dyDescent="0.25">
      <c r="B1" s="145" t="s">
        <v>0</v>
      </c>
      <c r="C1" s="145"/>
      <c r="D1" s="145"/>
      <c r="E1" s="145"/>
      <c r="F1" s="145"/>
      <c r="G1" s="145"/>
    </row>
    <row r="2" spans="2:7" x14ac:dyDescent="0.25">
      <c r="E2" s="46" t="s">
        <v>30</v>
      </c>
      <c r="F2" s="54">
        <v>50</v>
      </c>
      <c r="G2" s="28"/>
    </row>
    <row r="3" spans="2:7" x14ac:dyDescent="0.25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2:7" x14ac:dyDescent="0.25">
      <c r="B4" s="5" t="s">
        <v>19</v>
      </c>
      <c r="C4" s="29">
        <v>28</v>
      </c>
      <c r="D4" s="30">
        <v>27</v>
      </c>
      <c r="E4" s="30">
        <v>27.8</v>
      </c>
      <c r="F4" s="31">
        <v>29</v>
      </c>
    </row>
    <row r="5" spans="2:7" x14ac:dyDescent="0.25">
      <c r="B5" s="5" t="s">
        <v>7</v>
      </c>
      <c r="C5" s="36">
        <v>0.3</v>
      </c>
      <c r="D5" s="37">
        <v>0.3</v>
      </c>
      <c r="E5" s="37">
        <v>0.3</v>
      </c>
      <c r="F5" s="38">
        <v>0.3</v>
      </c>
    </row>
    <row r="6" spans="2:7" x14ac:dyDescent="0.25">
      <c r="B6" s="5" t="s">
        <v>27</v>
      </c>
      <c r="C6" s="39">
        <v>3</v>
      </c>
      <c r="D6" s="40">
        <v>3</v>
      </c>
      <c r="E6" s="40">
        <v>3</v>
      </c>
      <c r="F6" s="41">
        <v>3</v>
      </c>
    </row>
    <row r="7" spans="2:7" x14ac:dyDescent="0.25">
      <c r="G7" s="3" t="s">
        <v>34</v>
      </c>
    </row>
    <row r="8" spans="2:7" x14ac:dyDescent="0.25">
      <c r="B8" s="5" t="s">
        <v>20</v>
      </c>
      <c r="C8" s="12">
        <v>60</v>
      </c>
      <c r="D8" s="13">
        <v>62</v>
      </c>
      <c r="E8" s="13">
        <v>64</v>
      </c>
      <c r="F8" s="14">
        <v>0.98160696999029662</v>
      </c>
      <c r="G8" s="56">
        <v>2221.4389157792821</v>
      </c>
    </row>
    <row r="9" spans="2:7" x14ac:dyDescent="0.25">
      <c r="B9" s="5"/>
      <c r="C9" s="19"/>
      <c r="D9" s="19"/>
      <c r="E9" s="19"/>
      <c r="F9" s="19"/>
    </row>
    <row r="10" spans="2:7" x14ac:dyDescent="0.25">
      <c r="B10" s="58" t="s">
        <v>32</v>
      </c>
      <c r="C10" s="59"/>
      <c r="D10" s="60" t="s">
        <v>29</v>
      </c>
      <c r="E10" s="61">
        <v>0.8</v>
      </c>
      <c r="F10" s="62"/>
      <c r="G10" s="62"/>
    </row>
    <row r="11" spans="2:7" x14ac:dyDescent="0.25">
      <c r="B11" s="63" t="s">
        <v>7</v>
      </c>
      <c r="C11" s="64">
        <v>24</v>
      </c>
      <c r="D11" s="65">
        <v>57</v>
      </c>
      <c r="E11" s="65">
        <v>94</v>
      </c>
      <c r="F11" s="66">
        <v>47.981606969990324</v>
      </c>
      <c r="G11" s="59"/>
    </row>
    <row r="12" spans="2:7" x14ac:dyDescent="0.25">
      <c r="B12" s="59" t="s">
        <v>27</v>
      </c>
      <c r="C12" s="67">
        <v>0</v>
      </c>
      <c r="D12" s="68">
        <v>0</v>
      </c>
      <c r="E12" s="68">
        <v>0</v>
      </c>
      <c r="F12" s="69">
        <v>0</v>
      </c>
      <c r="G12" s="59"/>
    </row>
    <row r="13" spans="2:7" x14ac:dyDescent="0.25">
      <c r="B13" s="59" t="s">
        <v>28</v>
      </c>
      <c r="C13" s="62">
        <f>C11-C12</f>
        <v>24</v>
      </c>
      <c r="D13" s="62">
        <f>D11-D12</f>
        <v>57</v>
      </c>
      <c r="E13" s="62">
        <f>E11-E12</f>
        <v>94</v>
      </c>
      <c r="F13" s="62">
        <f>F11-F12</f>
        <v>47.981606969990324</v>
      </c>
      <c r="G13" s="59"/>
    </row>
    <row r="14" spans="2:7" x14ac:dyDescent="0.25">
      <c r="B14" s="63" t="s">
        <v>21</v>
      </c>
      <c r="C14" s="62">
        <v>60</v>
      </c>
      <c r="D14" s="62">
        <v>62</v>
      </c>
      <c r="E14" s="62">
        <v>64</v>
      </c>
      <c r="F14" s="62">
        <v>66</v>
      </c>
      <c r="G14" s="59"/>
    </row>
    <row r="15" spans="2:7" x14ac:dyDescent="0.25">
      <c r="B15" s="63" t="s">
        <v>22</v>
      </c>
      <c r="C15" s="64">
        <v>10</v>
      </c>
      <c r="D15" s="70">
        <f>C17</f>
        <v>24</v>
      </c>
      <c r="E15" s="70">
        <f>D17</f>
        <v>57</v>
      </c>
      <c r="F15" s="71">
        <f>E17</f>
        <v>94</v>
      </c>
      <c r="G15" s="59"/>
    </row>
    <row r="16" spans="2:7" x14ac:dyDescent="0.25">
      <c r="B16" s="63" t="s">
        <v>24</v>
      </c>
      <c r="C16" s="72">
        <f>ROUND(58*E10,0)</f>
        <v>46</v>
      </c>
      <c r="D16" s="62">
        <f>ROUND(36*E10, 0)</f>
        <v>29</v>
      </c>
      <c r="E16" s="62">
        <f>ROUND(34*E10, 0)</f>
        <v>27</v>
      </c>
      <c r="F16" s="73">
        <f>ROUND(59*E10,0)</f>
        <v>47</v>
      </c>
      <c r="G16" s="59" t="s">
        <v>36</v>
      </c>
    </row>
    <row r="17" spans="2:8" x14ac:dyDescent="0.25">
      <c r="B17" s="63" t="s">
        <v>23</v>
      </c>
      <c r="C17" s="74">
        <f>C15+C$8-C16</f>
        <v>24</v>
      </c>
      <c r="D17" s="75">
        <f>D15+D$8-D16</f>
        <v>57</v>
      </c>
      <c r="E17" s="75">
        <f>E15+E$8-E16</f>
        <v>94</v>
      </c>
      <c r="F17" s="76">
        <f>F15+F$8-F16</f>
        <v>47.981606969990295</v>
      </c>
      <c r="G17" s="77">
        <f>2*$F$2*F12</f>
        <v>0</v>
      </c>
    </row>
    <row r="18" spans="2:8" x14ac:dyDescent="0.25">
      <c r="B18" s="63"/>
      <c r="C18" s="59"/>
      <c r="D18" s="59"/>
      <c r="E18" s="59"/>
      <c r="F18" s="59"/>
      <c r="G18" s="59"/>
    </row>
    <row r="19" spans="2:8" x14ac:dyDescent="0.25">
      <c r="B19" s="63" t="s">
        <v>25</v>
      </c>
      <c r="C19" s="78">
        <f>C$4*C$8</f>
        <v>1680</v>
      </c>
      <c r="D19" s="79">
        <f>D$4*D$8</f>
        <v>1674</v>
      </c>
      <c r="E19" s="79">
        <f>E$4*E$8</f>
        <v>1779.2</v>
      </c>
      <c r="F19" s="80">
        <f>F$4*F$8</f>
        <v>28.466602129718602</v>
      </c>
      <c r="G19" s="81"/>
      <c r="H19" s="35"/>
    </row>
    <row r="20" spans="2:8" x14ac:dyDescent="0.25">
      <c r="B20" s="63" t="s">
        <v>26</v>
      </c>
      <c r="C20" s="82">
        <f>C$5*C11+C$6*C12</f>
        <v>7.1999999999999993</v>
      </c>
      <c r="D20" s="83">
        <f>D$5*D11+D$6*D12</f>
        <v>17.099999999999998</v>
      </c>
      <c r="E20" s="83">
        <f>E$5*E11+E$6*E12</f>
        <v>28.2</v>
      </c>
      <c r="F20" s="84">
        <f>F$5*F11+F$6*F12</f>
        <v>14.394482090997096</v>
      </c>
      <c r="G20" s="81" t="s">
        <v>10</v>
      </c>
    </row>
    <row r="21" spans="2:8" x14ac:dyDescent="0.25">
      <c r="B21" s="63" t="s">
        <v>9</v>
      </c>
      <c r="C21" s="85">
        <f>C19+C20</f>
        <v>1687.2</v>
      </c>
      <c r="D21" s="85">
        <f>D19+D20</f>
        <v>1691.1</v>
      </c>
      <c r="E21" s="85">
        <f>E19+E20</f>
        <v>1807.4</v>
      </c>
      <c r="F21" s="85">
        <f>F19+F20</f>
        <v>42.861084220715696</v>
      </c>
      <c r="G21" s="85">
        <f>SUM(C21:F21)</f>
        <v>5228.5610842207161</v>
      </c>
    </row>
    <row r="22" spans="2:8" x14ac:dyDescent="0.25">
      <c r="B22" s="59"/>
      <c r="C22" s="59"/>
      <c r="D22" s="59"/>
      <c r="E22" s="59"/>
      <c r="F22" s="59" t="s">
        <v>31</v>
      </c>
      <c r="G22" s="86">
        <f>F$2*SUM(C16:F16)-G21-G17</f>
        <v>2221.4389157792839</v>
      </c>
    </row>
    <row r="23" spans="2:8" x14ac:dyDescent="0.25">
      <c r="B23" s="59"/>
      <c r="C23" s="59"/>
      <c r="D23" s="59"/>
      <c r="E23" s="59"/>
      <c r="F23" s="59"/>
      <c r="G23" s="59"/>
    </row>
    <row r="24" spans="2:8" x14ac:dyDescent="0.25">
      <c r="B24" s="87" t="s">
        <v>33</v>
      </c>
      <c r="C24" s="88"/>
      <c r="D24" s="89" t="s">
        <v>29</v>
      </c>
      <c r="E24" s="90">
        <v>1</v>
      </c>
      <c r="F24" s="91"/>
      <c r="G24" s="91"/>
    </row>
    <row r="25" spans="2:8" x14ac:dyDescent="0.25">
      <c r="B25" s="92" t="s">
        <v>7</v>
      </c>
      <c r="C25" s="93">
        <v>12</v>
      </c>
      <c r="D25" s="94">
        <v>38</v>
      </c>
      <c r="E25" s="94">
        <v>68</v>
      </c>
      <c r="F25" s="95">
        <v>9.9816069699902883</v>
      </c>
      <c r="G25" s="88"/>
    </row>
    <row r="26" spans="2:8" x14ac:dyDescent="0.25">
      <c r="B26" s="88" t="s">
        <v>27</v>
      </c>
      <c r="C26" s="96">
        <v>0</v>
      </c>
      <c r="D26" s="97">
        <v>0</v>
      </c>
      <c r="E26" s="97">
        <v>0</v>
      </c>
      <c r="F26" s="98">
        <v>0</v>
      </c>
      <c r="G26" s="88"/>
    </row>
    <row r="27" spans="2:8" x14ac:dyDescent="0.25">
      <c r="B27" s="88" t="s">
        <v>28</v>
      </c>
      <c r="C27" s="91">
        <f>C25-C26</f>
        <v>12</v>
      </c>
      <c r="D27" s="91">
        <f>D25-D26</f>
        <v>38</v>
      </c>
      <c r="E27" s="91">
        <f>E25-E26</f>
        <v>68</v>
      </c>
      <c r="F27" s="91">
        <f>F25-F26</f>
        <v>9.9816069699902883</v>
      </c>
      <c r="G27" s="88"/>
    </row>
    <row r="28" spans="2:8" x14ac:dyDescent="0.25">
      <c r="B28" s="92" t="s">
        <v>21</v>
      </c>
      <c r="C28" s="88">
        <v>60</v>
      </c>
      <c r="D28" s="88">
        <v>62</v>
      </c>
      <c r="E28" s="88">
        <v>64</v>
      </c>
      <c r="F28" s="88">
        <v>66</v>
      </c>
      <c r="G28" s="88"/>
    </row>
    <row r="29" spans="2:8" x14ac:dyDescent="0.25">
      <c r="B29" s="92" t="s">
        <v>22</v>
      </c>
      <c r="C29" s="93">
        <v>10</v>
      </c>
      <c r="D29" s="99">
        <f>C31</f>
        <v>12</v>
      </c>
      <c r="E29" s="99">
        <f>D31</f>
        <v>38</v>
      </c>
      <c r="F29" s="100">
        <f>E31</f>
        <v>68</v>
      </c>
      <c r="G29" s="88"/>
    </row>
    <row r="30" spans="2:8" x14ac:dyDescent="0.25">
      <c r="B30" s="92" t="s">
        <v>24</v>
      </c>
      <c r="C30" s="101">
        <f>ROUND(58*E24,0)</f>
        <v>58</v>
      </c>
      <c r="D30" s="91">
        <f>ROUND(36*E24, 0)</f>
        <v>36</v>
      </c>
      <c r="E30" s="91">
        <f>ROUND(34*E24, 0)</f>
        <v>34</v>
      </c>
      <c r="F30" s="102">
        <f>ROUND(59*E24,0)</f>
        <v>59</v>
      </c>
      <c r="G30" s="88" t="s">
        <v>36</v>
      </c>
    </row>
    <row r="31" spans="2:8" x14ac:dyDescent="0.25">
      <c r="B31" s="92" t="s">
        <v>23</v>
      </c>
      <c r="C31" s="103">
        <f>C29+C$8-C30</f>
        <v>12</v>
      </c>
      <c r="D31" s="104">
        <f>D29+D$8-D30</f>
        <v>38</v>
      </c>
      <c r="E31" s="104">
        <f>E29+E$8-E30</f>
        <v>68</v>
      </c>
      <c r="F31" s="105">
        <f>F29+F$8-F30</f>
        <v>9.9816069699902954</v>
      </c>
      <c r="G31" s="106">
        <f>2*$F$2*F26</f>
        <v>0</v>
      </c>
    </row>
    <row r="32" spans="2:8" x14ac:dyDescent="0.25">
      <c r="B32" s="92"/>
      <c r="C32" s="88"/>
      <c r="D32" s="88"/>
      <c r="E32" s="88"/>
      <c r="F32" s="88"/>
      <c r="G32" s="88"/>
    </row>
    <row r="33" spans="2:8" x14ac:dyDescent="0.25">
      <c r="B33" s="92" t="s">
        <v>25</v>
      </c>
      <c r="C33" s="107">
        <f>C$4*C$8</f>
        <v>1680</v>
      </c>
      <c r="D33" s="108">
        <f>D$4*D$8</f>
        <v>1674</v>
      </c>
      <c r="E33" s="108">
        <f>E$4*E$8</f>
        <v>1779.2</v>
      </c>
      <c r="F33" s="109">
        <f>F$4*F$8</f>
        <v>28.466602129718602</v>
      </c>
      <c r="G33" s="110"/>
    </row>
    <row r="34" spans="2:8" x14ac:dyDescent="0.25">
      <c r="B34" s="92" t="s">
        <v>26</v>
      </c>
      <c r="C34" s="111">
        <f>C$5*C25+C$6*C26</f>
        <v>3.5999999999999996</v>
      </c>
      <c r="D34" s="112">
        <f>D$5*D25+D$6*D26</f>
        <v>11.4</v>
      </c>
      <c r="E34" s="112">
        <f>E$5*E25+E$6*E26</f>
        <v>20.399999999999999</v>
      </c>
      <c r="F34" s="113">
        <f>F$5*F25+F$6*F26</f>
        <v>2.9944820909970864</v>
      </c>
      <c r="G34" s="110" t="s">
        <v>10</v>
      </c>
    </row>
    <row r="35" spans="2:8" x14ac:dyDescent="0.25">
      <c r="B35" s="92" t="s">
        <v>9</v>
      </c>
      <c r="C35" s="114">
        <f>C33+C34</f>
        <v>1683.6</v>
      </c>
      <c r="D35" s="114">
        <f>D33+D34</f>
        <v>1685.4</v>
      </c>
      <c r="E35" s="114">
        <f>E33+E34</f>
        <v>1799.6000000000001</v>
      </c>
      <c r="F35" s="114">
        <f>F33+F34</f>
        <v>31.461084220715687</v>
      </c>
      <c r="G35" s="114">
        <f>SUM(C35:F35)</f>
        <v>5200.0610842207161</v>
      </c>
    </row>
    <row r="36" spans="2:8" x14ac:dyDescent="0.25">
      <c r="B36" s="88"/>
      <c r="C36" s="88"/>
      <c r="D36" s="88"/>
      <c r="E36" s="88"/>
      <c r="F36" s="88" t="s">
        <v>31</v>
      </c>
      <c r="G36" s="115">
        <f>F$2*SUM(C30:F30)-G35-G31</f>
        <v>4149.9389157792839</v>
      </c>
    </row>
    <row r="37" spans="2:8" x14ac:dyDescent="0.25">
      <c r="B37" s="88"/>
      <c r="C37" s="88"/>
      <c r="D37" s="88"/>
      <c r="E37" s="88"/>
      <c r="F37" s="88"/>
      <c r="G37" s="88"/>
    </row>
    <row r="38" spans="2:8" x14ac:dyDescent="0.25">
      <c r="B38" s="116" t="s">
        <v>35</v>
      </c>
      <c r="C38" s="117"/>
      <c r="D38" s="118" t="s">
        <v>29</v>
      </c>
      <c r="E38" s="119">
        <v>1.3</v>
      </c>
      <c r="F38" s="120"/>
      <c r="G38" s="120"/>
      <c r="H38" s="19"/>
    </row>
    <row r="39" spans="2:8" x14ac:dyDescent="0.25">
      <c r="B39" s="121" t="s">
        <v>7</v>
      </c>
      <c r="C39" s="122">
        <v>0</v>
      </c>
      <c r="D39" s="123">
        <v>10</v>
      </c>
      <c r="E39" s="123">
        <v>30</v>
      </c>
      <c r="F39" s="124">
        <v>0</v>
      </c>
      <c r="G39" s="117"/>
    </row>
    <row r="40" spans="2:8" x14ac:dyDescent="0.25">
      <c r="B40" s="117" t="s">
        <v>27</v>
      </c>
      <c r="C40" s="125">
        <v>4.9999999999999867</v>
      </c>
      <c r="D40" s="126">
        <v>0</v>
      </c>
      <c r="E40" s="126">
        <v>0</v>
      </c>
      <c r="F40" s="127">
        <v>46.018393030009712</v>
      </c>
      <c r="G40" s="117"/>
    </row>
    <row r="41" spans="2:8" x14ac:dyDescent="0.25">
      <c r="B41" s="117" t="s">
        <v>28</v>
      </c>
      <c r="C41" s="120">
        <f>C39-C40</f>
        <v>-4.9999999999999867</v>
      </c>
      <c r="D41" s="120">
        <f>D39-D40</f>
        <v>10</v>
      </c>
      <c r="E41" s="120">
        <f>E39-E40</f>
        <v>30</v>
      </c>
      <c r="F41" s="120">
        <f>F39-F40</f>
        <v>-46.018393030009712</v>
      </c>
      <c r="G41" s="117"/>
    </row>
    <row r="42" spans="2:8" x14ac:dyDescent="0.25">
      <c r="B42" s="121" t="s">
        <v>21</v>
      </c>
      <c r="C42" s="117">
        <v>60</v>
      </c>
      <c r="D42" s="117">
        <v>62</v>
      </c>
      <c r="E42" s="117">
        <v>64</v>
      </c>
      <c r="F42" s="117">
        <v>66</v>
      </c>
      <c r="G42" s="117"/>
    </row>
    <row r="43" spans="2:8" x14ac:dyDescent="0.25">
      <c r="B43" s="121" t="s">
        <v>22</v>
      </c>
      <c r="C43" s="122">
        <v>10</v>
      </c>
      <c r="D43" s="128">
        <f>C45</f>
        <v>-5</v>
      </c>
      <c r="E43" s="128">
        <f>D45</f>
        <v>10</v>
      </c>
      <c r="F43" s="129">
        <f>E45</f>
        <v>30</v>
      </c>
      <c r="G43" s="117"/>
    </row>
    <row r="44" spans="2:8" x14ac:dyDescent="0.25">
      <c r="B44" s="121" t="s">
        <v>24</v>
      </c>
      <c r="C44" s="130">
        <f>ROUND(58*E38,0)</f>
        <v>75</v>
      </c>
      <c r="D44" s="120">
        <f>ROUND(36*E38, 0)</f>
        <v>47</v>
      </c>
      <c r="E44" s="120">
        <f>ROUND(34*E38, 0)</f>
        <v>44</v>
      </c>
      <c r="F44" s="131">
        <f>ROUND(59*E38,0)</f>
        <v>77</v>
      </c>
      <c r="G44" s="117" t="s">
        <v>36</v>
      </c>
    </row>
    <row r="45" spans="2:8" x14ac:dyDescent="0.25">
      <c r="B45" s="121" t="s">
        <v>23</v>
      </c>
      <c r="C45" s="132">
        <f>C43+C$8-C44</f>
        <v>-5</v>
      </c>
      <c r="D45" s="133">
        <f>D43+D$8-D44</f>
        <v>10</v>
      </c>
      <c r="E45" s="133">
        <f>E43+E$8-E44</f>
        <v>30</v>
      </c>
      <c r="F45" s="134">
        <f>F43+F$8-F44</f>
        <v>-46.018393030009705</v>
      </c>
      <c r="G45" s="135">
        <f>2*$F$2*F40</f>
        <v>4601.8393030009711</v>
      </c>
      <c r="H45" s="4"/>
    </row>
    <row r="46" spans="2:8" x14ac:dyDescent="0.25">
      <c r="B46" s="121"/>
      <c r="C46" s="117"/>
      <c r="D46" s="117"/>
      <c r="E46" s="117"/>
      <c r="F46" s="117"/>
      <c r="G46" s="117"/>
    </row>
    <row r="47" spans="2:8" x14ac:dyDescent="0.25">
      <c r="B47" s="121" t="s">
        <v>25</v>
      </c>
      <c r="C47" s="136">
        <f>C$4*C$8</f>
        <v>1680</v>
      </c>
      <c r="D47" s="137">
        <f>D$4*D$8</f>
        <v>1674</v>
      </c>
      <c r="E47" s="137">
        <f>E$4*E$8</f>
        <v>1779.2</v>
      </c>
      <c r="F47" s="138">
        <f>F$4*F$8</f>
        <v>28.466602129718602</v>
      </c>
      <c r="G47" s="139"/>
      <c r="H47" s="35"/>
    </row>
    <row r="48" spans="2:8" x14ac:dyDescent="0.25">
      <c r="B48" s="121" t="s">
        <v>26</v>
      </c>
      <c r="C48" s="140">
        <f>C$5*C39+C$6*C40</f>
        <v>14.999999999999961</v>
      </c>
      <c r="D48" s="141">
        <f>D$5*D39+D$6*D40</f>
        <v>3</v>
      </c>
      <c r="E48" s="141">
        <f>E$5*E39+E$6*E40</f>
        <v>9</v>
      </c>
      <c r="F48" s="142">
        <f>F$5*F39+F$6*F40</f>
        <v>138.05517909002913</v>
      </c>
      <c r="G48" s="139" t="s">
        <v>10</v>
      </c>
      <c r="H48" s="35"/>
    </row>
    <row r="49" spans="2:8" x14ac:dyDescent="0.25">
      <c r="B49" s="121" t="s">
        <v>9</v>
      </c>
      <c r="C49" s="143">
        <f>C47+C48</f>
        <v>1695</v>
      </c>
      <c r="D49" s="143">
        <f>D47+D48</f>
        <v>1677</v>
      </c>
      <c r="E49" s="143">
        <f>E47+E48</f>
        <v>1788.2</v>
      </c>
      <c r="F49" s="143">
        <f>F47+F48</f>
        <v>166.52178121974774</v>
      </c>
      <c r="G49" s="143">
        <f>SUM(C49:F49)</f>
        <v>5326.7217812197478</v>
      </c>
      <c r="H49" s="45"/>
    </row>
    <row r="50" spans="2:8" x14ac:dyDescent="0.25">
      <c r="B50" s="117"/>
      <c r="C50" s="117"/>
      <c r="D50" s="117"/>
      <c r="E50" s="117"/>
      <c r="F50" s="117" t="s">
        <v>31</v>
      </c>
      <c r="G50" s="144">
        <f>F$2*SUM(C44:F44)-G49-G45</f>
        <v>2221.4389157792812</v>
      </c>
      <c r="H50" s="55"/>
    </row>
    <row r="51" spans="2:8" x14ac:dyDescent="0.25">
      <c r="B51" s="117"/>
      <c r="C51" s="117"/>
      <c r="D51" s="117"/>
      <c r="E51" s="117"/>
      <c r="F51" s="117"/>
      <c r="G51" s="117"/>
    </row>
  </sheetData>
  <mergeCells count="1">
    <mergeCell ref="B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opLeftCell="C5" zoomScale="200" workbookViewId="0">
      <selection activeCell="C15" sqref="C15"/>
    </sheetView>
  </sheetViews>
  <sheetFormatPr defaultColWidth="9.109375" defaultRowHeight="13.2" x14ac:dyDescent="0.25"/>
  <cols>
    <col min="1" max="1" width="2.109375" style="3" customWidth="1"/>
    <col min="2" max="2" width="10.33203125" style="3" customWidth="1"/>
    <col min="3" max="3" width="13" style="3" bestFit="1" customWidth="1"/>
    <col min="4" max="4" width="10.6640625" style="3" customWidth="1"/>
    <col min="5" max="5" width="11.88671875" style="3" customWidth="1"/>
    <col min="6" max="6" width="9.6640625" style="3" bestFit="1" customWidth="1"/>
    <col min="7" max="7" width="11.33203125" style="3" customWidth="1"/>
    <col min="8" max="8" width="10.33203125" style="3" customWidth="1"/>
    <col min="9" max="16384" width="9.109375" style="3"/>
  </cols>
  <sheetData>
    <row r="1" spans="2:7" x14ac:dyDescent="0.25">
      <c r="B1" s="145" t="s">
        <v>0</v>
      </c>
      <c r="C1" s="145"/>
      <c r="D1" s="145"/>
      <c r="E1" s="145"/>
      <c r="F1" s="145"/>
      <c r="G1" s="145"/>
    </row>
    <row r="2" spans="2:7" x14ac:dyDescent="0.25">
      <c r="C2" s="48" t="s">
        <v>29</v>
      </c>
      <c r="D2" s="47">
        <v>1</v>
      </c>
      <c r="E2" s="46" t="s">
        <v>30</v>
      </c>
      <c r="F2" s="54">
        <v>50</v>
      </c>
      <c r="G2" s="28"/>
    </row>
    <row r="3" spans="2:7" x14ac:dyDescent="0.25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2:7" x14ac:dyDescent="0.25">
      <c r="B4" s="5" t="s">
        <v>19</v>
      </c>
      <c r="C4" s="29">
        <v>28</v>
      </c>
      <c r="D4" s="30">
        <v>27</v>
      </c>
      <c r="E4" s="30">
        <v>27.8</v>
      </c>
      <c r="F4" s="31">
        <v>29</v>
      </c>
    </row>
    <row r="5" spans="2:7" x14ac:dyDescent="0.25">
      <c r="B5" s="5" t="s">
        <v>7</v>
      </c>
      <c r="C5" s="36">
        <v>0.3</v>
      </c>
      <c r="D5" s="37">
        <v>0.3</v>
      </c>
      <c r="E5" s="37">
        <v>0.3</v>
      </c>
      <c r="F5" s="38">
        <v>0.3</v>
      </c>
    </row>
    <row r="6" spans="2:7" x14ac:dyDescent="0.25">
      <c r="B6" s="5" t="s">
        <v>27</v>
      </c>
      <c r="C6" s="39">
        <v>3</v>
      </c>
      <c r="D6" s="40">
        <v>3</v>
      </c>
      <c r="E6" s="40">
        <v>3</v>
      </c>
      <c r="F6" s="41">
        <v>3</v>
      </c>
    </row>
    <row r="8" spans="2:7" x14ac:dyDescent="0.25">
      <c r="B8" s="5" t="s">
        <v>20</v>
      </c>
      <c r="C8" s="12">
        <v>51.000000000000576</v>
      </c>
      <c r="D8" s="13">
        <v>62</v>
      </c>
      <c r="E8" s="13">
        <v>64</v>
      </c>
      <c r="F8" s="14">
        <v>0</v>
      </c>
    </row>
    <row r="9" spans="2:7" x14ac:dyDescent="0.25">
      <c r="B9" s="5" t="s">
        <v>7</v>
      </c>
      <c r="C9" s="18">
        <v>2.9999999999990088</v>
      </c>
      <c r="D9" s="19">
        <v>28.999999999998465</v>
      </c>
      <c r="E9" s="19">
        <v>58.999999999998181</v>
      </c>
      <c r="F9" s="20">
        <v>0</v>
      </c>
    </row>
    <row r="10" spans="2:7" x14ac:dyDescent="0.25">
      <c r="B10" s="3" t="s">
        <v>27</v>
      </c>
      <c r="C10" s="25">
        <v>0</v>
      </c>
      <c r="D10" s="26">
        <v>0</v>
      </c>
      <c r="E10" s="26">
        <v>0</v>
      </c>
      <c r="F10" s="27">
        <v>0</v>
      </c>
    </row>
    <row r="11" spans="2:7" x14ac:dyDescent="0.25">
      <c r="B11" s="3" t="s">
        <v>28</v>
      </c>
      <c r="C11" s="19">
        <f>Inventory_Qty-BackOrder_Qty</f>
        <v>2.9999999999990088</v>
      </c>
      <c r="D11" s="19">
        <f>Inventory_Qty-BackOrder_Qty</f>
        <v>28.999999999998465</v>
      </c>
      <c r="E11" s="19">
        <f>Inventory_Qty-BackOrder_Qty</f>
        <v>58.999999999998181</v>
      </c>
      <c r="F11" s="19">
        <f>Inventory_Qty-BackOrder_Qty</f>
        <v>0</v>
      </c>
    </row>
    <row r="12" spans="2:7" x14ac:dyDescent="0.25">
      <c r="B12" s="5" t="s">
        <v>21</v>
      </c>
      <c r="C12" s="3">
        <v>60</v>
      </c>
      <c r="D12" s="3">
        <v>62</v>
      </c>
      <c r="E12" s="3">
        <v>64</v>
      </c>
      <c r="F12" s="3">
        <v>66</v>
      </c>
    </row>
    <row r="13" spans="2:7" x14ac:dyDescent="0.25">
      <c r="B13" s="5" t="s">
        <v>22</v>
      </c>
      <c r="C13" s="15">
        <v>10</v>
      </c>
      <c r="D13" s="42">
        <f>Ending_Inventory Jan</f>
        <v>3.0000000000005755</v>
      </c>
      <c r="E13" s="42">
        <f>Ending_Inventory Feb</f>
        <v>29.000000000000568</v>
      </c>
      <c r="F13" s="43">
        <f>Ending_Inventory Mar</f>
        <v>59.000000000000568</v>
      </c>
    </row>
    <row r="14" spans="2:7" x14ac:dyDescent="0.25">
      <c r="B14" s="5" t="s">
        <v>24</v>
      </c>
      <c r="C14" s="18">
        <f>ROUND(58*Economic_Climate,0)</f>
        <v>58</v>
      </c>
      <c r="D14" s="19">
        <f>ROUND(36*Economic_Climate, 0)</f>
        <v>36</v>
      </c>
      <c r="E14" s="19">
        <f>ROUND(34*Economic_Climate, 0)</f>
        <v>34</v>
      </c>
      <c r="F14" s="20">
        <f>ROUND(59*Economic_Climate,0)</f>
        <v>59</v>
      </c>
      <c r="G14" s="3" t="s">
        <v>36</v>
      </c>
    </row>
    <row r="15" spans="2:7" x14ac:dyDescent="0.25">
      <c r="B15" s="5" t="s">
        <v>23</v>
      </c>
      <c r="C15" s="32">
        <f>Beginning_Inventory+Production_Qty-Delivery_Reqmts</f>
        <v>3.0000000000005755</v>
      </c>
      <c r="D15" s="33">
        <f>Beginning_Inventory+Production_Qty-Delivery_Reqmts</f>
        <v>29.000000000000568</v>
      </c>
      <c r="E15" s="33">
        <f>Beginning_Inventory+Production_Qty-Delivery_Reqmts</f>
        <v>59.000000000000568</v>
      </c>
      <c r="F15" s="34">
        <f>Beginning_Inventory+Production_Qty-Delivery_Reqmts</f>
        <v>5.6843418860808015E-13</v>
      </c>
      <c r="G15" s="57">
        <f>2*F$2*F10</f>
        <v>0</v>
      </c>
    </row>
    <row r="16" spans="2:7" x14ac:dyDescent="0.25">
      <c r="B16" s="5"/>
    </row>
    <row r="17" spans="2:8" x14ac:dyDescent="0.25">
      <c r="B17" s="5" t="s">
        <v>25</v>
      </c>
      <c r="C17" s="49">
        <f>Production_Qty*Production</f>
        <v>1428.0000000000161</v>
      </c>
      <c r="D17" s="50">
        <f>Production_Qty*Production</f>
        <v>1674</v>
      </c>
      <c r="E17" s="50">
        <f>Production_Qty*Production</f>
        <v>1779.2</v>
      </c>
      <c r="F17" s="44">
        <f>Production_Qty*Production</f>
        <v>0</v>
      </c>
      <c r="G17" s="35"/>
      <c r="H17" s="35"/>
    </row>
    <row r="18" spans="2:8" x14ac:dyDescent="0.25">
      <c r="B18" s="5" t="s">
        <v>26</v>
      </c>
      <c r="C18" s="51">
        <f>Inventory*C9+C6*C10</f>
        <v>0.89999999999970259</v>
      </c>
      <c r="D18" s="52">
        <f>Inventory*D9+D6*D10</f>
        <v>8.6999999999995392</v>
      </c>
      <c r="E18" s="52">
        <f>Inventory*E9+E6*E10</f>
        <v>17.699999999999452</v>
      </c>
      <c r="F18" s="53">
        <f>Inventory*F9+F6*F10</f>
        <v>0</v>
      </c>
      <c r="G18" s="35" t="s">
        <v>10</v>
      </c>
    </row>
    <row r="19" spans="2:8" x14ac:dyDescent="0.25">
      <c r="B19" s="5" t="s">
        <v>9</v>
      </c>
      <c r="C19" s="45">
        <f>Production_Cost+Inventory_Cost</f>
        <v>1428.9000000000158</v>
      </c>
      <c r="D19" s="45">
        <f>Production_Cost+Inventory_Cost</f>
        <v>1682.6999999999996</v>
      </c>
      <c r="E19" s="45">
        <f>Production_Cost+Inventory_Cost</f>
        <v>1796.8999999999994</v>
      </c>
      <c r="F19" s="45">
        <f>Production_Cost+Inventory_Cost</f>
        <v>0</v>
      </c>
      <c r="G19" s="45">
        <f>SUM((Total_Cost Jan):(Total_Cost Apr.))</f>
        <v>4908.5000000000146</v>
      </c>
    </row>
    <row r="20" spans="2:8" x14ac:dyDescent="0.25">
      <c r="F20" s="3" t="s">
        <v>31</v>
      </c>
      <c r="G20" s="55">
        <f>F2*SUM(Delivery_Reqmts)-G19-G15</f>
        <v>4441.4999999999854</v>
      </c>
    </row>
  </sheetData>
  <mergeCells count="1">
    <mergeCell ref="B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41</vt:i4>
      </vt:variant>
    </vt:vector>
  </HeadingPairs>
  <TitlesOfParts>
    <vt:vector size="45" baseType="lpstr">
      <vt:lpstr>Inventory Model</vt:lpstr>
      <vt:lpstr>Data</vt:lpstr>
      <vt:lpstr>MinimumRegret</vt:lpstr>
      <vt:lpstr>With BackOrder</vt:lpstr>
      <vt:lpstr>'With BackOrder'!Apr.</vt:lpstr>
      <vt:lpstr>Apr.</vt:lpstr>
      <vt:lpstr>BackOrder_Qty</vt:lpstr>
      <vt:lpstr>'With BackOrder'!Beginning_Inventory</vt:lpstr>
      <vt:lpstr>Beginning_Inventory</vt:lpstr>
      <vt:lpstr>BoundaryConditions</vt:lpstr>
      <vt:lpstr>'With BackOrder'!Delivery_Reqmts</vt:lpstr>
      <vt:lpstr>Delivery_Reqmts</vt:lpstr>
      <vt:lpstr>Economic_Climate</vt:lpstr>
      <vt:lpstr>'With BackOrder'!Ending_Inventory</vt:lpstr>
      <vt:lpstr>Ending_Inventory</vt:lpstr>
      <vt:lpstr>'With BackOrder'!Feb</vt:lpstr>
      <vt:lpstr>Feb</vt:lpstr>
      <vt:lpstr>'With BackOrder'!Inventory</vt:lpstr>
      <vt:lpstr>Inventory</vt:lpstr>
      <vt:lpstr>'With BackOrder'!Inventory_Cost</vt:lpstr>
      <vt:lpstr>Inventory_Cost</vt:lpstr>
      <vt:lpstr>Inventory_Qty</vt:lpstr>
      <vt:lpstr>'With BackOrder'!Jan</vt:lpstr>
      <vt:lpstr>Jan</vt:lpstr>
      <vt:lpstr>'With BackOrder'!LP</vt:lpstr>
      <vt:lpstr>LP</vt:lpstr>
      <vt:lpstr>'With BackOrder'!Mar</vt:lpstr>
      <vt:lpstr>Mar</vt:lpstr>
      <vt:lpstr>'With BackOrder'!May</vt:lpstr>
      <vt:lpstr>May</vt:lpstr>
      <vt:lpstr>MonthlyData</vt:lpstr>
      <vt:lpstr>'With BackOrder'!Production</vt:lpstr>
      <vt:lpstr>Production</vt:lpstr>
      <vt:lpstr>'With BackOrder'!Production_Cost</vt:lpstr>
      <vt:lpstr>Production_Cost</vt:lpstr>
      <vt:lpstr>'With BackOrder'!Production_Limits</vt:lpstr>
      <vt:lpstr>Production_Limits</vt:lpstr>
      <vt:lpstr>'With BackOrder'!Production_Qty</vt:lpstr>
      <vt:lpstr>Production_Qty</vt:lpstr>
      <vt:lpstr>'With BackOrder'!Total</vt:lpstr>
      <vt:lpstr>Total</vt:lpstr>
      <vt:lpstr>'With BackOrder'!Total_Cost</vt:lpstr>
      <vt:lpstr>Total_Cost</vt:lpstr>
      <vt:lpstr>'With BackOrder'!Unit_Costs</vt:lpstr>
      <vt:lpstr>Unit_Costs</vt:lpstr>
    </vt:vector>
  </TitlesOfParts>
  <Company>ISyE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JVANDEVA</dc:creator>
  <cp:lastModifiedBy>Aniket Gupta</cp:lastModifiedBy>
  <dcterms:created xsi:type="dcterms:W3CDTF">2001-12-16T21:29:33Z</dcterms:created>
  <dcterms:modified xsi:type="dcterms:W3CDTF">2024-02-03T22:29:00Z</dcterms:modified>
</cp:coreProperties>
</file>