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46A0BD9E-3EC0-4262-9801-71BD1843E2E9}" xr6:coauthVersionLast="47" xr6:coauthVersionMax="47" xr10:uidLastSave="{00000000-0000-0000-0000-000000000000}"/>
  <bookViews>
    <workbookView xWindow="3348" yWindow="3348" windowWidth="17280" windowHeight="8880" tabRatio="872" activeTab="6"/>
  </bookViews>
  <sheets>
    <sheet name="Input Sheet" sheetId="6" r:id="rId1"/>
    <sheet name="Profile Calc" sheetId="11" r:id="rId2"/>
    <sheet name="Ratchet Chart" sheetId="12" r:id="rId3"/>
    <sheet name="Sp 1.5 Input" sheetId="1" r:id="rId4"/>
    <sheet name="Sp 1.5 Table" sheetId="9" r:id="rId5"/>
    <sheet name="Sp 1.5 Chart" sheetId="2" r:id="rId6"/>
    <sheet name="Monthly Profile" sheetId="10" r:id="rId7"/>
  </sheets>
  <definedNames>
    <definedName name="_xlnm.Print_Area" localSheetId="0">'Input Sheet'!$A$1:$H$29</definedName>
    <definedName name="_xlnm.Print_Area" localSheetId="6">'Monthly Profile'!$A$1:$J$30</definedName>
    <definedName name="_xlnm.Print_Area" localSheetId="1">'Profile Calc'!$A$1:$O$66</definedName>
    <definedName name="_xlnm.Print_Area" localSheetId="3">'Sp 1.5 Input'!$A$1:$O$60</definedName>
    <definedName name="_xlnm.Print_Area" localSheetId="4">'Sp 1.5 Table'!$A$1:$J$42</definedName>
  </definedNames>
  <calcPr calcId="191029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0" l="1"/>
  <c r="P19" i="10"/>
  <c r="P20" i="10"/>
  <c r="P21" i="10"/>
  <c r="P22" i="10"/>
  <c r="P11" i="10"/>
  <c r="P23" i="10" s="1"/>
  <c r="R23" i="10" s="1"/>
  <c r="T23" i="10" s="1"/>
  <c r="P12" i="10"/>
  <c r="P13" i="10"/>
  <c r="P14" i="10"/>
  <c r="P15" i="10"/>
  <c r="P16" i="10"/>
  <c r="P17" i="10"/>
  <c r="Q12" i="10"/>
  <c r="Q13" i="10"/>
  <c r="Q14" i="10"/>
  <c r="Q15" i="10"/>
  <c r="Q16" i="10"/>
  <c r="Q17" i="10"/>
  <c r="Q11" i="10"/>
  <c r="Q24" i="10" s="1"/>
  <c r="Q25" i="10" s="1"/>
  <c r="Q26" i="10" s="1"/>
  <c r="Q18" i="10"/>
  <c r="Q23" i="10" s="1"/>
  <c r="Q19" i="10"/>
  <c r="Q20" i="10"/>
  <c r="Q21" i="10"/>
  <c r="Q22" i="10"/>
  <c r="A17" i="1"/>
  <c r="E17" i="1" s="1"/>
  <c r="A37" i="1"/>
  <c r="A28" i="1" s="1"/>
  <c r="A50" i="1" s="1"/>
  <c r="A27" i="1"/>
  <c r="A29" i="1"/>
  <c r="A51" i="1" s="1"/>
  <c r="A35" i="1"/>
  <c r="A57" i="1" s="1"/>
  <c r="A49" i="1"/>
  <c r="H17" i="9"/>
  <c r="A36" i="1"/>
  <c r="A59" i="1"/>
  <c r="A25" i="1"/>
  <c r="A47" i="1" s="1"/>
  <c r="H15" i="9"/>
  <c r="A31" i="1"/>
  <c r="C17" i="9"/>
  <c r="A32" i="1"/>
  <c r="E4" i="9"/>
  <c r="C9" i="11"/>
  <c r="A9" i="11"/>
  <c r="A46" i="11"/>
  <c r="G46" i="11"/>
  <c r="G24" i="11"/>
  <c r="B6" i="6"/>
  <c r="E9" i="11" s="1"/>
  <c r="G26" i="9"/>
  <c r="D11" i="6"/>
  <c r="F11" i="6" s="1"/>
  <c r="G11" i="6" s="1"/>
  <c r="D13" i="6"/>
  <c r="F13" i="6"/>
  <c r="G13" i="6" s="1"/>
  <c r="D18" i="10"/>
  <c r="I18" i="10"/>
  <c r="E12" i="10"/>
  <c r="E13" i="10" s="1"/>
  <c r="E14" i="10" s="1"/>
  <c r="E15" i="10" s="1"/>
  <c r="D19" i="10"/>
  <c r="I19" i="10"/>
  <c r="D20" i="10"/>
  <c r="I20" i="10"/>
  <c r="D21" i="10"/>
  <c r="I21" i="10"/>
  <c r="D22" i="10"/>
  <c r="I22" i="10"/>
  <c r="I11" i="10"/>
  <c r="D11" i="10"/>
  <c r="F11" i="10"/>
  <c r="J11" i="10"/>
  <c r="I12" i="10"/>
  <c r="D12" i="10"/>
  <c r="I13" i="10"/>
  <c r="D13" i="10"/>
  <c r="I14" i="10"/>
  <c r="D14" i="10"/>
  <c r="I15" i="10"/>
  <c r="D15" i="10"/>
  <c r="I16" i="10"/>
  <c r="D16" i="10"/>
  <c r="I17" i="10"/>
  <c r="D17" i="10"/>
  <c r="B7" i="6"/>
  <c r="D20" i="6" s="1"/>
  <c r="F20" i="6" s="1"/>
  <c r="D9" i="6"/>
  <c r="F9" i="6"/>
  <c r="F15" i="6" s="1"/>
  <c r="A46" i="1"/>
  <c r="A26" i="1"/>
  <c r="A48" i="1"/>
  <c r="A33" i="1"/>
  <c r="A55" i="1"/>
  <c r="B55" i="1" s="1"/>
  <c r="A34" i="1"/>
  <c r="A56" i="1"/>
  <c r="G56" i="1" s="1"/>
  <c r="B56" i="1"/>
  <c r="B15" i="9" s="1"/>
  <c r="B59" i="1"/>
  <c r="B49" i="1"/>
  <c r="G15" i="9"/>
  <c r="B48" i="1"/>
  <c r="G17" i="9" s="1"/>
  <c r="A58" i="1"/>
  <c r="D59" i="1"/>
  <c r="D56" i="1"/>
  <c r="D55" i="1"/>
  <c r="D51" i="1"/>
  <c r="D50" i="1"/>
  <c r="D49" i="1"/>
  <c r="D48" i="1"/>
  <c r="D47" i="1"/>
  <c r="B51" i="1"/>
  <c r="B50" i="1"/>
  <c r="G47" i="1"/>
  <c r="G49" i="1"/>
  <c r="G50" i="1"/>
  <c r="G51" i="1"/>
  <c r="G55" i="1"/>
  <c r="G59" i="1"/>
  <c r="G46" i="1"/>
  <c r="G24" i="1"/>
  <c r="G34" i="1"/>
  <c r="G26" i="1"/>
  <c r="G25" i="1"/>
  <c r="G27" i="1"/>
  <c r="G28" i="1"/>
  <c r="G29" i="1"/>
  <c r="G32" i="1"/>
  <c r="G33" i="1"/>
  <c r="G36" i="1"/>
  <c r="G37" i="1"/>
  <c r="F22" i="6" l="1"/>
  <c r="F24" i="6" s="1"/>
  <c r="G15" i="6"/>
  <c r="F16" i="6"/>
  <c r="F17" i="6"/>
  <c r="F15" i="10"/>
  <c r="J15" i="10" s="1"/>
  <c r="E16" i="10"/>
  <c r="A53" i="1"/>
  <c r="B57" i="1"/>
  <c r="B17" i="9" s="1"/>
  <c r="G57" i="1"/>
  <c r="C15" i="9"/>
  <c r="D57" i="1"/>
  <c r="F14" i="10"/>
  <c r="J14" i="10" s="1"/>
  <c r="F12" i="10"/>
  <c r="J12" i="10" s="1"/>
  <c r="B47" i="1"/>
  <c r="D58" i="1"/>
  <c r="B4" i="9"/>
  <c r="C18" i="9"/>
  <c r="B26" i="9" s="1"/>
  <c r="B58" i="1"/>
  <c r="G9" i="6"/>
  <c r="A37" i="11"/>
  <c r="A17" i="11"/>
  <c r="H11" i="9"/>
  <c r="G58" i="1"/>
  <c r="D46" i="1"/>
  <c r="B46" i="1"/>
  <c r="G18" i="9" s="1"/>
  <c r="G31" i="1"/>
  <c r="B18" i="9"/>
  <c r="G11" i="9"/>
  <c r="F13" i="10"/>
  <c r="J13" i="10" s="1"/>
  <c r="G35" i="1"/>
  <c r="G48" i="1"/>
  <c r="A30" i="1"/>
  <c r="C17" i="1"/>
  <c r="P24" i="10"/>
  <c r="P25" i="10" s="1"/>
  <c r="P26" i="10" s="1"/>
  <c r="R26" i="10" s="1"/>
  <c r="S26" i="10" s="1"/>
  <c r="T26" i="10" s="1"/>
  <c r="T29" i="10" s="1"/>
  <c r="J25" i="10" s="1"/>
  <c r="A54" i="1"/>
  <c r="C30" i="1" l="1"/>
  <c r="I30" i="1" s="1"/>
  <c r="C27" i="1"/>
  <c r="C34" i="1"/>
  <c r="C28" i="1"/>
  <c r="G17" i="1"/>
  <c r="C24" i="1"/>
  <c r="C31" i="1"/>
  <c r="C26" i="1"/>
  <c r="C33" i="1"/>
  <c r="C36" i="1"/>
  <c r="C32" i="1"/>
  <c r="C35" i="1"/>
  <c r="C37" i="1"/>
  <c r="C29" i="1"/>
  <c r="I29" i="1" s="1"/>
  <c r="C25" i="1"/>
  <c r="A52" i="1"/>
  <c r="G30" i="1"/>
  <c r="E17" i="10"/>
  <c r="F16" i="10"/>
  <c r="J16" i="10" s="1"/>
  <c r="B33" i="9"/>
  <c r="F33" i="9" s="1"/>
  <c r="G33" i="9" s="1"/>
  <c r="B40" i="9"/>
  <c r="F40" i="9" s="1"/>
  <c r="G40" i="9" s="1"/>
  <c r="C17" i="11"/>
  <c r="E17" i="11"/>
  <c r="A33" i="11"/>
  <c r="A35" i="11"/>
  <c r="A59" i="11"/>
  <c r="A27" i="11"/>
  <c r="A32" i="11"/>
  <c r="A34" i="11"/>
  <c r="A36" i="11"/>
  <c r="A28" i="11"/>
  <c r="A30" i="11"/>
  <c r="A29" i="11"/>
  <c r="A26" i="11"/>
  <c r="A25" i="11"/>
  <c r="A31" i="11"/>
  <c r="G37" i="11"/>
  <c r="G54" i="1"/>
  <c r="B54" i="1"/>
  <c r="D54" i="1"/>
  <c r="H12" i="9"/>
  <c r="B53" i="1"/>
  <c r="D53" i="1"/>
  <c r="H14" i="9"/>
  <c r="G53" i="1"/>
  <c r="C14" i="9"/>
  <c r="C12" i="9"/>
  <c r="I25" i="1" l="1"/>
  <c r="M25" i="1"/>
  <c r="G29" i="11"/>
  <c r="A51" i="11"/>
  <c r="G59" i="11"/>
  <c r="C46" i="1"/>
  <c r="M24" i="1"/>
  <c r="I24" i="1"/>
  <c r="A52" i="11"/>
  <c r="G30" i="11"/>
  <c r="G35" i="11"/>
  <c r="A57" i="11"/>
  <c r="I37" i="1"/>
  <c r="C59" i="1"/>
  <c r="I59" i="1" s="1"/>
  <c r="E35" i="1"/>
  <c r="E27" i="1"/>
  <c r="E36" i="1"/>
  <c r="E37" i="1"/>
  <c r="K37" i="1" s="1"/>
  <c r="E29" i="1"/>
  <c r="E24" i="1"/>
  <c r="E28" i="1"/>
  <c r="E31" i="1"/>
  <c r="E26" i="1"/>
  <c r="E33" i="1"/>
  <c r="E34" i="1"/>
  <c r="E32" i="1"/>
  <c r="E30" i="1"/>
  <c r="E25" i="1"/>
  <c r="E18" i="10"/>
  <c r="F17" i="10"/>
  <c r="J17" i="10" s="1"/>
  <c r="C57" i="1"/>
  <c r="M35" i="1"/>
  <c r="I35" i="1"/>
  <c r="M28" i="1"/>
  <c r="I28" i="1"/>
  <c r="G28" i="11"/>
  <c r="A50" i="11"/>
  <c r="A58" i="11"/>
  <c r="G36" i="11"/>
  <c r="C54" i="1"/>
  <c r="I32" i="1"/>
  <c r="M32" i="1"/>
  <c r="C56" i="1"/>
  <c r="I34" i="1"/>
  <c r="M34" i="1"/>
  <c r="A48" i="11"/>
  <c r="G26" i="11"/>
  <c r="I31" i="1"/>
  <c r="C53" i="1"/>
  <c r="M31" i="1"/>
  <c r="B12" i="9"/>
  <c r="G12" i="9"/>
  <c r="B14" i="9"/>
  <c r="M30" i="1"/>
  <c r="C29" i="11"/>
  <c r="I29" i="11" s="1"/>
  <c r="C36" i="11"/>
  <c r="I36" i="11" s="1"/>
  <c r="C25" i="11"/>
  <c r="I25" i="11" s="1"/>
  <c r="C32" i="11"/>
  <c r="I32" i="11" s="1"/>
  <c r="C33" i="11"/>
  <c r="I33" i="11" s="1"/>
  <c r="C27" i="11"/>
  <c r="C35" i="11"/>
  <c r="I35" i="11" s="1"/>
  <c r="G17" i="11"/>
  <c r="C26" i="11"/>
  <c r="I26" i="11" s="1"/>
  <c r="C28" i="11"/>
  <c r="I28" i="11" s="1"/>
  <c r="C30" i="11"/>
  <c r="I30" i="11" s="1"/>
  <c r="C34" i="11"/>
  <c r="I34" i="11" s="1"/>
  <c r="C31" i="11"/>
  <c r="C37" i="11"/>
  <c r="C24" i="11"/>
  <c r="I36" i="1"/>
  <c r="C58" i="1"/>
  <c r="M36" i="1"/>
  <c r="C49" i="1"/>
  <c r="M27" i="1"/>
  <c r="I27" i="1"/>
  <c r="G33" i="11"/>
  <c r="A55" i="11"/>
  <c r="N30" i="11"/>
  <c r="G31" i="11"/>
  <c r="A53" i="11"/>
  <c r="A47" i="11"/>
  <c r="G25" i="11"/>
  <c r="M33" i="1"/>
  <c r="C55" i="1"/>
  <c r="I33" i="1"/>
  <c r="A56" i="11"/>
  <c r="G34" i="11"/>
  <c r="N33" i="11"/>
  <c r="G32" i="11"/>
  <c r="A54" i="11"/>
  <c r="N31" i="11"/>
  <c r="G52" i="1"/>
  <c r="D52" i="1"/>
  <c r="B52" i="1"/>
  <c r="G14" i="9" s="1"/>
  <c r="A49" i="11"/>
  <c r="N26" i="11"/>
  <c r="G27" i="11"/>
  <c r="M29" i="1"/>
  <c r="I26" i="1"/>
  <c r="M26" i="1"/>
  <c r="C67" i="1" l="1"/>
  <c r="I12" i="9"/>
  <c r="E33" i="9" s="1"/>
  <c r="I53" i="1"/>
  <c r="M53" i="1"/>
  <c r="I57" i="1"/>
  <c r="C66" i="1"/>
  <c r="M57" i="1"/>
  <c r="N26" i="1"/>
  <c r="E48" i="1"/>
  <c r="K26" i="1"/>
  <c r="E59" i="1"/>
  <c r="E57" i="1"/>
  <c r="E58" i="1"/>
  <c r="K35" i="1"/>
  <c r="N35" i="1"/>
  <c r="N29" i="11"/>
  <c r="G55" i="11"/>
  <c r="I58" i="1"/>
  <c r="M58" i="1"/>
  <c r="N25" i="11"/>
  <c r="G50" i="11"/>
  <c r="K31" i="1"/>
  <c r="N31" i="1"/>
  <c r="G52" i="11"/>
  <c r="E35" i="11"/>
  <c r="E24" i="11"/>
  <c r="E25" i="11"/>
  <c r="E28" i="11"/>
  <c r="E29" i="11"/>
  <c r="E33" i="11"/>
  <c r="E31" i="11"/>
  <c r="E26" i="11"/>
  <c r="E32" i="11"/>
  <c r="E27" i="11"/>
  <c r="E34" i="11"/>
  <c r="E36" i="11"/>
  <c r="E30" i="11"/>
  <c r="E37" i="11"/>
  <c r="K37" i="11" s="1"/>
  <c r="I54" i="1"/>
  <c r="M54" i="1"/>
  <c r="E19" i="10"/>
  <c r="F18" i="10"/>
  <c r="J18" i="10" s="1"/>
  <c r="K28" i="1"/>
  <c r="N28" i="1"/>
  <c r="E50" i="1"/>
  <c r="G51" i="11"/>
  <c r="I15" i="9"/>
  <c r="D40" i="9" s="1"/>
  <c r="I49" i="1"/>
  <c r="C50" i="1"/>
  <c r="C69" i="1"/>
  <c r="M49" i="1"/>
  <c r="G47" i="11"/>
  <c r="C46" i="11"/>
  <c r="I24" i="11"/>
  <c r="E47" i="1"/>
  <c r="K25" i="1"/>
  <c r="N25" i="1"/>
  <c r="K24" i="1"/>
  <c r="N24" i="1"/>
  <c r="E46" i="1"/>
  <c r="G57" i="11"/>
  <c r="G56" i="11"/>
  <c r="N24" i="11"/>
  <c r="N32" i="11"/>
  <c r="I37" i="11"/>
  <c r="N36" i="11"/>
  <c r="C49" i="11"/>
  <c r="I27" i="11"/>
  <c r="G48" i="11"/>
  <c r="G58" i="11"/>
  <c r="K30" i="1"/>
  <c r="E52" i="1"/>
  <c r="N30" i="1"/>
  <c r="E51" i="1"/>
  <c r="E56" i="1"/>
  <c r="E53" i="1"/>
  <c r="E55" i="1"/>
  <c r="K29" i="1"/>
  <c r="E54" i="1"/>
  <c r="N29" i="1"/>
  <c r="M38" i="1"/>
  <c r="L26" i="1"/>
  <c r="N28" i="11"/>
  <c r="N35" i="11"/>
  <c r="K32" i="1"/>
  <c r="N32" i="1"/>
  <c r="N34" i="11"/>
  <c r="I18" i="9"/>
  <c r="C47" i="1"/>
  <c r="I46" i="1"/>
  <c r="M46" i="1"/>
  <c r="G49" i="11"/>
  <c r="N48" i="11"/>
  <c r="G53" i="11"/>
  <c r="C53" i="11"/>
  <c r="I31" i="11"/>
  <c r="G54" i="11"/>
  <c r="M55" i="1"/>
  <c r="I55" i="1"/>
  <c r="L30" i="1"/>
  <c r="L36" i="1"/>
  <c r="K34" i="1"/>
  <c r="N34" i="1"/>
  <c r="K36" i="1"/>
  <c r="N36" i="1"/>
  <c r="I56" i="1"/>
  <c r="M56" i="1"/>
  <c r="N27" i="11"/>
  <c r="N33" i="1"/>
  <c r="K33" i="1"/>
  <c r="K27" i="1"/>
  <c r="N27" i="1"/>
  <c r="E49" i="1"/>
  <c r="K24" i="11" l="1"/>
  <c r="E46" i="11"/>
  <c r="O24" i="11"/>
  <c r="N55" i="1"/>
  <c r="K55" i="1"/>
  <c r="C47" i="11"/>
  <c r="I46" i="11"/>
  <c r="F19" i="10"/>
  <c r="J19" i="10" s="1"/>
  <c r="E20" i="10"/>
  <c r="K32" i="11"/>
  <c r="O32" i="11"/>
  <c r="E57" i="11"/>
  <c r="K35" i="11"/>
  <c r="O35" i="11"/>
  <c r="O36" i="1"/>
  <c r="K27" i="11"/>
  <c r="E49" i="11"/>
  <c r="O27" i="11"/>
  <c r="E67" i="1"/>
  <c r="K53" i="1"/>
  <c r="N53" i="1"/>
  <c r="C54" i="11"/>
  <c r="I53" i="11"/>
  <c r="D15" i="9"/>
  <c r="K56" i="1"/>
  <c r="N56" i="1"/>
  <c r="N38" i="11"/>
  <c r="N38" i="1"/>
  <c r="G9" i="1" s="1"/>
  <c r="O30" i="1"/>
  <c r="K31" i="11"/>
  <c r="E53" i="11"/>
  <c r="O31" i="11"/>
  <c r="K58" i="1"/>
  <c r="N58" i="1"/>
  <c r="K46" i="1"/>
  <c r="E70" i="1"/>
  <c r="N46" i="1"/>
  <c r="E48" i="11"/>
  <c r="K26" i="11"/>
  <c r="O26" i="11"/>
  <c r="N52" i="11"/>
  <c r="I47" i="1"/>
  <c r="M47" i="1"/>
  <c r="C48" i="1"/>
  <c r="K51" i="1"/>
  <c r="N51" i="1"/>
  <c r="K33" i="11"/>
  <c r="O33" i="11"/>
  <c r="K57" i="1"/>
  <c r="E66" i="1"/>
  <c r="N57" i="1"/>
  <c r="O58" i="1" s="1"/>
  <c r="L58" i="1"/>
  <c r="E68" i="1"/>
  <c r="K50" i="1"/>
  <c r="N50" i="1"/>
  <c r="E52" i="11"/>
  <c r="K30" i="11"/>
  <c r="O30" i="11"/>
  <c r="E51" i="11"/>
  <c r="K29" i="11"/>
  <c r="O29" i="11"/>
  <c r="O34" i="1"/>
  <c r="D18" i="9"/>
  <c r="D33" i="9" s="1"/>
  <c r="K59" i="1"/>
  <c r="E69" i="1"/>
  <c r="K49" i="1"/>
  <c r="N49" i="1"/>
  <c r="D12" i="9"/>
  <c r="K52" i="1"/>
  <c r="N52" i="1"/>
  <c r="K36" i="11"/>
  <c r="O36" i="11"/>
  <c r="E50" i="11"/>
  <c r="K28" i="11"/>
  <c r="O28" i="11"/>
  <c r="K54" i="1"/>
  <c r="N54" i="1"/>
  <c r="I49" i="11"/>
  <c r="C50" i="11"/>
  <c r="K47" i="1"/>
  <c r="N47" i="1"/>
  <c r="I50" i="1"/>
  <c r="M50" i="1"/>
  <c r="C51" i="1"/>
  <c r="K34" i="11"/>
  <c r="O34" i="11"/>
  <c r="K25" i="11"/>
  <c r="E47" i="11"/>
  <c r="O25" i="11"/>
  <c r="N48" i="1"/>
  <c r="K48" i="1"/>
  <c r="I54" i="11" l="1"/>
  <c r="C55" i="11"/>
  <c r="N53" i="11"/>
  <c r="O52" i="1"/>
  <c r="N60" i="1"/>
  <c r="I48" i="1"/>
  <c r="M48" i="1"/>
  <c r="L48" i="1" s="1"/>
  <c r="C70" i="1"/>
  <c r="C48" i="11"/>
  <c r="I47" i="11"/>
  <c r="N46" i="11"/>
  <c r="K50" i="11"/>
  <c r="O50" i="11"/>
  <c r="G9" i="11"/>
  <c r="O56" i="1"/>
  <c r="C40" i="9"/>
  <c r="C33" i="9"/>
  <c r="E40" i="9"/>
  <c r="K48" i="11"/>
  <c r="O48" i="11"/>
  <c r="K47" i="11"/>
  <c r="O47" i="11"/>
  <c r="E59" i="11"/>
  <c r="K59" i="11" s="1"/>
  <c r="E58" i="11"/>
  <c r="K57" i="11"/>
  <c r="O57" i="11"/>
  <c r="O38" i="11"/>
  <c r="K46" i="11"/>
  <c r="O46" i="11"/>
  <c r="K51" i="11"/>
  <c r="O51" i="11"/>
  <c r="I50" i="11"/>
  <c r="C51" i="11"/>
  <c r="N49" i="11"/>
  <c r="K52" i="11"/>
  <c r="O52" i="11"/>
  <c r="C52" i="1"/>
  <c r="I51" i="1"/>
  <c r="M51" i="1"/>
  <c r="E54" i="11"/>
  <c r="K53" i="11"/>
  <c r="O53" i="11"/>
  <c r="K49" i="11"/>
  <c r="O49" i="11"/>
  <c r="F20" i="10"/>
  <c r="J20" i="10" s="1"/>
  <c r="E21" i="10"/>
  <c r="I52" i="1" l="1"/>
  <c r="M52" i="1"/>
  <c r="L52" i="1" s="1"/>
  <c r="C68" i="1"/>
  <c r="F21" i="10"/>
  <c r="J21" i="10" s="1"/>
  <c r="E22" i="10"/>
  <c r="F22" i="10" s="1"/>
  <c r="J22" i="10" s="1"/>
  <c r="J23" i="10" s="1"/>
  <c r="J24" i="10" s="1"/>
  <c r="C56" i="11"/>
  <c r="I55" i="11"/>
  <c r="N54" i="11"/>
  <c r="C52" i="11"/>
  <c r="I51" i="11"/>
  <c r="N50" i="11"/>
  <c r="I48" i="11"/>
  <c r="N47" i="11"/>
  <c r="K58" i="11"/>
  <c r="O58" i="11"/>
  <c r="K54" i="11"/>
  <c r="E55" i="11"/>
  <c r="O54" i="11"/>
  <c r="M60" i="1"/>
  <c r="I9" i="1" s="1"/>
  <c r="C57" i="11" l="1"/>
  <c r="I56" i="11"/>
  <c r="N55" i="11"/>
  <c r="E56" i="11"/>
  <c r="K55" i="11"/>
  <c r="O55" i="11"/>
  <c r="I52" i="11"/>
  <c r="N51" i="11"/>
  <c r="K56" i="11" l="1"/>
  <c r="O56" i="11"/>
  <c r="O60" i="11" s="1"/>
  <c r="C58" i="11"/>
  <c r="I57" i="11"/>
  <c r="N56" i="11"/>
  <c r="I58" i="11" l="1"/>
  <c r="C59" i="11"/>
  <c r="N57" i="11"/>
  <c r="I59" i="11" l="1"/>
  <c r="N58" i="11"/>
  <c r="N60" i="11" s="1"/>
  <c r="I9" i="11" s="1"/>
</calcChain>
</file>

<file path=xl/sharedStrings.xml><?xml version="1.0" encoding="utf-8"?>
<sst xmlns="http://schemas.openxmlformats.org/spreadsheetml/2006/main" count="327" uniqueCount="131">
  <si>
    <t>CONTRACTED SERVICE</t>
  </si>
  <si>
    <t>RESERVED</t>
  </si>
  <si>
    <t xml:space="preserve">WITHDRAWAL </t>
  </si>
  <si>
    <t>INJECTION</t>
  </si>
  <si>
    <t>MAXIMUM</t>
  </si>
  <si>
    <t>MINIMUM</t>
  </si>
  <si>
    <t xml:space="preserve">STORAGE </t>
  </si>
  <si>
    <t xml:space="preserve">SERVICE </t>
  </si>
  <si>
    <t>% WITHDRAWAL</t>
  </si>
  <si>
    <t>WITHDRAWAL</t>
  </si>
  <si>
    <t>CAPACITY</t>
  </si>
  <si>
    <t>RATE</t>
  </si>
  <si>
    <t>(PJ)</t>
  </si>
  <si>
    <t>DAYS</t>
  </si>
  <si>
    <t>(TJ/D)</t>
  </si>
  <si>
    <t>INVENTORY</t>
  </si>
  <si>
    <t>(BCF)</t>
  </si>
  <si>
    <t>(MMCFD)</t>
  </si>
  <si>
    <t>Energy</t>
  </si>
  <si>
    <t>Volume</t>
  </si>
  <si>
    <t>STANDARD PROFILE</t>
  </si>
  <si>
    <t>RATCHET PROFILE</t>
  </si>
  <si>
    <t>Withdrawal Service Days  (Input):</t>
  </si>
  <si>
    <t>Injection Service Days  (Calc):</t>
  </si>
  <si>
    <t>Injection % of Withdrawal (Input):</t>
  </si>
  <si>
    <t>Firm Cycles Possible (Calc):</t>
  </si>
  <si>
    <t>Firm</t>
  </si>
  <si>
    <t>Monthly</t>
  </si>
  <si>
    <t>Annual</t>
  </si>
  <si>
    <t>Capacity</t>
  </si>
  <si>
    <t>Cost</t>
  </si>
  <si>
    <t>Inventory (GJ) (Input):</t>
  </si>
  <si>
    <t>Withdrawal (GJ/d):</t>
  </si>
  <si>
    <t>Injection (GJ/d):</t>
  </si>
  <si>
    <t>Demand Fee:</t>
  </si>
  <si>
    <t>per Month</t>
  </si>
  <si>
    <t>PJ/Month</t>
  </si>
  <si>
    <t>Volume Cycled</t>
  </si>
  <si>
    <t>Commodity Charge:</t>
  </si>
  <si>
    <t xml:space="preserve">Total Annual Cost:  </t>
  </si>
  <si>
    <t xml:space="preserve">Cost per unit cycled through:  </t>
  </si>
  <si>
    <t>CYCLES</t>
  </si>
  <si>
    <t>POSSIBLE</t>
  </si>
  <si>
    <t>Withdrawal</t>
  </si>
  <si>
    <t>Days</t>
  </si>
  <si>
    <t xml:space="preserve">Injection </t>
  </si>
  <si>
    <t>PROFILE</t>
  </si>
  <si>
    <t>STANDARD</t>
  </si>
  <si>
    <t>RATCHETED</t>
  </si>
  <si>
    <t>Lukens Step</t>
  </si>
  <si>
    <t>WD Rate</t>
  </si>
  <si>
    <t>INJ Rate</t>
  </si>
  <si>
    <t>Inventory Step</t>
  </si>
  <si>
    <t>LUKENS Ratchet Determination</t>
  </si>
  <si>
    <t>Inventory</t>
  </si>
  <si>
    <t>GJ/d</t>
  </si>
  <si>
    <t xml:space="preserve">From/To </t>
  </si>
  <si>
    <t>Rate</t>
  </si>
  <si>
    <t xml:space="preserve">         Inventory</t>
  </si>
  <si>
    <t>GJ's</t>
  </si>
  <si>
    <t>Injection Ratchet</t>
  </si>
  <si>
    <t>Required to</t>
  </si>
  <si>
    <t>Fill</t>
  </si>
  <si>
    <t>Withdrawal Ratchet</t>
  </si>
  <si>
    <t>Empty</t>
  </si>
  <si>
    <t>Max</t>
  </si>
  <si>
    <t xml:space="preserve">Max </t>
  </si>
  <si>
    <t>Cycles</t>
  </si>
  <si>
    <t>Min</t>
  </si>
  <si>
    <t>20 to 80% Range</t>
  </si>
  <si>
    <t>Range Rates GJ/Day</t>
  </si>
  <si>
    <t xml:space="preserve">Effective </t>
  </si>
  <si>
    <t>Demand</t>
  </si>
  <si>
    <t xml:space="preserve">Charge </t>
  </si>
  <si>
    <t>Cost $/GJ</t>
  </si>
  <si>
    <t>GJ's Inventory</t>
  </si>
  <si>
    <t>0 to 80% Range</t>
  </si>
  <si>
    <t>Effective</t>
  </si>
  <si>
    <t>0 to 100% Range</t>
  </si>
  <si>
    <t>Inventory Capacity :</t>
  </si>
  <si>
    <t>Maximum</t>
  </si>
  <si>
    <t>Injection</t>
  </si>
  <si>
    <t>Maximum Daily</t>
  </si>
  <si>
    <t xml:space="preserve">Withdrawal </t>
  </si>
  <si>
    <t>Daily Injection</t>
  </si>
  <si>
    <t xml:space="preserve"> Withdrawal</t>
  </si>
  <si>
    <t>Storage Demand</t>
  </si>
  <si>
    <t>Month</t>
  </si>
  <si>
    <t>Quantity</t>
  </si>
  <si>
    <t>Charge (A)</t>
  </si>
  <si>
    <t>Charge (B)</t>
  </si>
  <si>
    <t>Charge (C)</t>
  </si>
  <si>
    <t>Charge</t>
  </si>
  <si>
    <t>(A)+(B)+(C)</t>
  </si>
  <si>
    <t>April</t>
  </si>
  <si>
    <t>Rack Rate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</si>
  <si>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</si>
  <si>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</si>
  <si>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</si>
  <si>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</si>
  <si>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</si>
  <si>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</si>
  <si>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</si>
  <si>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</si>
  <si>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</si>
  <si>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</si>
  <si>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</si>
  <si>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Injection Commodity Rate:</t>
  </si>
  <si>
    <t>Withdrawal Commodity Rate:</t>
  </si>
  <si>
    <t>AECO Storage Monthly Profile Rack Rate Calculator</t>
  </si>
  <si>
    <t>GJ/day/month</t>
  </si>
  <si>
    <t>Cycle Ratchet for</t>
  </si>
  <si>
    <t>GJ</t>
  </si>
  <si>
    <t>Total Storage Demand Charge (C$)</t>
  </si>
  <si>
    <t>$/Dth/day/month</t>
  </si>
  <si>
    <t>$/GJ/day/month</t>
  </si>
  <si>
    <t>$/month</t>
  </si>
  <si>
    <t>$/Dth/month</t>
  </si>
  <si>
    <t>Total Storage Demand Charge (C$/GJ)</t>
  </si>
  <si>
    <t>% of Rack</t>
  </si>
  <si>
    <t xml:space="preserve">Annual Demand Rack Rate </t>
  </si>
  <si>
    <t>AECO Storage Inventory Profile Rack Rate Calculator:</t>
  </si>
  <si>
    <t xml:space="preserve">Inputs in </t>
  </si>
  <si>
    <t>Special 1.5 Cycle Ratchet</t>
  </si>
  <si>
    <t>1.5 Cycle STANDARD PROFILE</t>
  </si>
  <si>
    <t>Special 1.5 Cycle RATCHET PROFILE</t>
  </si>
  <si>
    <t xml:space="preserve">AECO HUB Special 1.5 Cycle Ratchet </t>
  </si>
  <si>
    <t>Inj</t>
  </si>
  <si>
    <t>With</t>
  </si>
  <si>
    <t>Approximate Cycle-ability per year</t>
  </si>
  <si>
    <t>$/GJ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</si>
</sst>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"/>
    <numFmt numFmtId="166" formatCode="0.0"/>
    <numFmt numFmtId="175" formatCode="0.0%"/>
    <numFmt numFmtId="179" formatCode="_(&quot;$&quot;* #,##0_);_(&quot;$&quot;* \(#,##0\);_(&quot;$&quot;* &quot;-&quot;??_);_(@_)"/>
    <numFmt numFmtId="180" formatCode="_(&quot;$&quot;* #,##0.000_);_(&quot;$&quot;* \(#,##0.000\);_(&quot;$&quot;* &quot;-&quot;??_);_(@_)"/>
    <numFmt numFmtId="181" formatCode="_(* #,##0.0_);_(* \(#,##0.0\);_(* &quot;-&quot;??_);_(@_)"/>
    <numFmt numFmtId="182" formatCode="_(* #,##0_);_(* \(#,##0\);_(* &quot;-&quot;??_);_(@_)"/>
    <numFmt numFmtId="183" formatCode="_(&quot;$&quot;* #,##0.0000_);_(&quot;$&quot;* \(#,##0.0000\);_(&quot;$&quot;* &quot;-&quot;??_);_(@_)"/>
    <numFmt numFmtId="188" formatCode="mmmm\-yy"/>
  </numFmts>
  <fonts count="23" x14ac:knownFonts="1">
    <font>
      <sz val="10"/>
      <name val="Arial"/>
    </font>
    <font>
      <sz val="10"/>
      <name val="MS Sans Serif"/>
    </font>
    <font>
      <sz val="10"/>
      <name val="Arial"/>
    </font>
    <font>
      <b/>
      <sz val="14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</font>
    <font>
      <b/>
      <sz val="14"/>
      <color indexed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6"/>
      <color indexed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4"/>
      <name val="Arial"/>
      <family val="2"/>
    </font>
    <font>
      <sz val="10"/>
      <name val="Arial"/>
    </font>
    <font>
      <sz val="10"/>
      <name val="Arial"/>
    </font>
    <font>
      <b/>
      <sz val="12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9" fillId="0" borderId="0" xfId="0" applyFont="1"/>
    <xf numFmtId="0" fontId="9" fillId="0" borderId="0" xfId="0" applyFont="1" applyBorder="1"/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9" fontId="11" fillId="0" borderId="0" xfId="3" applyNumberFormat="1" applyFont="1" applyFill="1"/>
    <xf numFmtId="179" fontId="11" fillId="0" borderId="0" xfId="2" applyNumberFormat="1" applyFont="1" applyFill="1"/>
    <xf numFmtId="180" fontId="11" fillId="0" borderId="0" xfId="2" applyNumberFormat="1" applyFont="1" applyFill="1"/>
    <xf numFmtId="0" fontId="10" fillId="0" borderId="0" xfId="0" applyFont="1" applyFill="1"/>
    <xf numFmtId="0" fontId="10" fillId="0" borderId="0" xfId="0" applyFont="1" applyFill="1" applyAlignment="1">
      <alignment horizontal="left"/>
    </xf>
    <xf numFmtId="0" fontId="9" fillId="0" borderId="0" xfId="0" applyFont="1" applyFill="1"/>
    <xf numFmtId="179" fontId="11" fillId="0" borderId="0" xfId="0" applyNumberFormat="1" applyFont="1" applyFill="1" applyBorder="1"/>
    <xf numFmtId="2" fontId="10" fillId="0" borderId="0" xfId="0" applyNumberFormat="1" applyFont="1" applyFill="1" applyBorder="1" applyAlignment="1"/>
    <xf numFmtId="0" fontId="9" fillId="0" borderId="0" xfId="0" applyFont="1" applyFill="1" applyBorder="1"/>
    <xf numFmtId="0" fontId="12" fillId="0" borderId="0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83" fontId="9" fillId="0" borderId="0" xfId="2" applyNumberFormat="1" applyFont="1" applyFill="1"/>
    <xf numFmtId="179" fontId="9" fillId="0" borderId="0" xfId="2" applyNumberFormat="1" applyFont="1" applyFill="1"/>
    <xf numFmtId="179" fontId="9" fillId="0" borderId="0" xfId="2" applyNumberFormat="1" applyFont="1" applyFill="1" applyBorder="1"/>
    <xf numFmtId="182" fontId="9" fillId="0" borderId="0" xfId="1" applyNumberFormat="1" applyFont="1" applyFill="1"/>
    <xf numFmtId="182" fontId="9" fillId="0" borderId="0" xfId="0" applyNumberFormat="1" applyFont="1" applyFill="1"/>
    <xf numFmtId="179" fontId="10" fillId="0" borderId="5" xfId="0" applyNumberFormat="1" applyFont="1" applyFill="1" applyBorder="1"/>
    <xf numFmtId="180" fontId="10" fillId="0" borderId="0" xfId="2" applyNumberFormat="1" applyFont="1" applyFill="1"/>
    <xf numFmtId="0" fontId="10" fillId="0" borderId="0" xfId="0" applyFont="1" applyFill="1" applyBorder="1"/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right"/>
    </xf>
    <xf numFmtId="180" fontId="10" fillId="2" borderId="6" xfId="2" applyNumberFormat="1" applyFont="1" applyFill="1" applyBorder="1"/>
    <xf numFmtId="179" fontId="10" fillId="0" borderId="0" xfId="0" applyNumberFormat="1" applyFont="1" applyFill="1"/>
    <xf numFmtId="179" fontId="9" fillId="0" borderId="0" xfId="0" applyNumberFormat="1" applyFont="1" applyFill="1"/>
    <xf numFmtId="179" fontId="9" fillId="0" borderId="0" xfId="0" applyNumberFormat="1" applyFont="1" applyFill="1" applyBorder="1"/>
    <xf numFmtId="180" fontId="10" fillId="0" borderId="0" xfId="2" applyNumberFormat="1" applyFont="1" applyFill="1" applyBorder="1"/>
    <xf numFmtId="0" fontId="0" fillId="0" borderId="0" xfId="0" applyFill="1"/>
    <xf numFmtId="0" fontId="0" fillId="0" borderId="0" xfId="0" applyFill="1" applyBorder="1"/>
    <xf numFmtId="0" fontId="15" fillId="0" borderId="0" xfId="0" applyFont="1"/>
    <xf numFmtId="0" fontId="10" fillId="0" borderId="0" xfId="0" applyFont="1"/>
    <xf numFmtId="0" fontId="13" fillId="0" borderId="0" xfId="0" applyFont="1" applyFill="1"/>
    <xf numFmtId="0" fontId="5" fillId="0" borderId="0" xfId="0" applyFont="1" applyFill="1"/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/>
    <xf numFmtId="38" fontId="0" fillId="0" borderId="3" xfId="1" applyNumberFormat="1" applyFont="1" applyBorder="1" applyAlignment="1">
      <alignment horizontal="center"/>
    </xf>
    <xf numFmtId="38" fontId="0" fillId="0" borderId="4" xfId="1" applyNumberFormat="1" applyFont="1" applyBorder="1" applyAlignment="1">
      <alignment horizontal="center"/>
    </xf>
    <xf numFmtId="38" fontId="0" fillId="0" borderId="1" xfId="1" applyNumberFormat="1" applyFont="1" applyBorder="1" applyAlignment="1">
      <alignment horizontal="center"/>
    </xf>
    <xf numFmtId="38" fontId="0" fillId="0" borderId="0" xfId="1" applyNumberFormat="1" applyFont="1" applyBorder="1" applyAlignment="1">
      <alignment horizontal="center"/>
    </xf>
    <xf numFmtId="38" fontId="0" fillId="0" borderId="2" xfId="1" applyNumberFormat="1" applyFont="1" applyBorder="1" applyAlignment="1">
      <alignment horizontal="center"/>
    </xf>
    <xf numFmtId="38" fontId="0" fillId="0" borderId="10" xfId="1" applyNumberFormat="1" applyFont="1" applyBorder="1" applyAlignment="1">
      <alignment horizontal="center"/>
    </xf>
    <xf numFmtId="166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6" fontId="10" fillId="0" borderId="7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6" fontId="0" fillId="0" borderId="0" xfId="0" applyNumberFormat="1" applyBorder="1"/>
    <xf numFmtId="0" fontId="14" fillId="0" borderId="0" xfId="0" applyFont="1" applyFill="1"/>
    <xf numFmtId="0" fontId="15" fillId="0" borderId="0" xfId="0" applyFont="1" applyFill="1"/>
    <xf numFmtId="0" fontId="12" fillId="0" borderId="0" xfId="0" quotePrefix="1" applyFont="1" applyFill="1" applyAlignment="1">
      <alignment horizontal="left"/>
    </xf>
    <xf numFmtId="166" fontId="0" fillId="0" borderId="0" xfId="0" applyNumberFormat="1" applyFill="1"/>
    <xf numFmtId="0" fontId="0" fillId="0" borderId="0" xfId="0" quotePrefix="1" applyFill="1" applyAlignment="1">
      <alignment horizontal="left"/>
    </xf>
    <xf numFmtId="0" fontId="2" fillId="0" borderId="0" xfId="0" applyFont="1" applyFill="1"/>
    <xf numFmtId="0" fontId="10" fillId="0" borderId="7" xfId="0" applyFont="1" applyFill="1" applyBorder="1" applyAlignment="1">
      <alignment horizontal="center"/>
    </xf>
    <xf numFmtId="0" fontId="10" fillId="0" borderId="8" xfId="0" applyFont="1" applyFill="1" applyBorder="1"/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0" xfId="0" quotePrefix="1" applyFont="1" applyFill="1" applyBorder="1" applyAlignment="1">
      <alignment horizontal="center"/>
    </xf>
    <xf numFmtId="0" fontId="10" fillId="0" borderId="3" xfId="0" applyFont="1" applyFill="1" applyBorder="1"/>
    <xf numFmtId="38" fontId="10" fillId="0" borderId="10" xfId="1" applyNumberFormat="1" applyFont="1" applyFill="1" applyBorder="1" applyAlignment="1">
      <alignment horizontal="center"/>
    </xf>
    <xf numFmtId="166" fontId="10" fillId="0" borderId="3" xfId="0" applyNumberFormat="1" applyFont="1" applyFill="1" applyBorder="1" applyAlignment="1">
      <alignment horizontal="center"/>
    </xf>
    <xf numFmtId="175" fontId="10" fillId="0" borderId="3" xfId="3" applyNumberFormat="1" applyFont="1" applyFill="1" applyBorder="1" applyAlignment="1">
      <alignment horizontal="center"/>
    </xf>
    <xf numFmtId="2" fontId="10" fillId="0" borderId="3" xfId="0" applyNumberFormat="1" applyFont="1" applyFill="1" applyBorder="1" applyAlignment="1">
      <alignment horizontal="center"/>
    </xf>
    <xf numFmtId="0" fontId="0" fillId="0" borderId="3" xfId="0" applyFill="1" applyBorder="1"/>
    <xf numFmtId="2" fontId="10" fillId="0" borderId="4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3" applyFont="1" applyFill="1" applyBorder="1" applyAlignment="1">
      <alignment horizontal="center"/>
    </xf>
    <xf numFmtId="0" fontId="3" fillId="0" borderId="0" xfId="0" applyFont="1" applyFill="1"/>
    <xf numFmtId="38" fontId="0" fillId="0" borderId="0" xfId="0" applyNumberFormat="1"/>
    <xf numFmtId="38" fontId="10" fillId="2" borderId="6" xfId="1" applyNumberFormat="1" applyFont="1" applyFill="1" applyBorder="1" applyAlignment="1">
      <alignment vertical="top" wrapText="1"/>
    </xf>
    <xf numFmtId="182" fontId="10" fillId="2" borderId="6" xfId="1" applyNumberFormat="1" applyFont="1" applyFill="1" applyBorder="1" applyAlignment="1"/>
    <xf numFmtId="9" fontId="0" fillId="0" borderId="3" xfId="3" applyFont="1" applyBorder="1" applyAlignment="1">
      <alignment horizontal="center"/>
    </xf>
    <xf numFmtId="9" fontId="0" fillId="0" borderId="0" xfId="3" applyFont="1" applyBorder="1" applyAlignment="1">
      <alignment horizontal="center"/>
    </xf>
    <xf numFmtId="166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38" fontId="10" fillId="0" borderId="14" xfId="1" applyNumberFormat="1" applyFont="1" applyBorder="1" applyAlignment="1">
      <alignment horizontal="left"/>
    </xf>
    <xf numFmtId="9" fontId="0" fillId="0" borderId="15" xfId="3" applyFont="1" applyBorder="1" applyAlignment="1">
      <alignment horizontal="center"/>
    </xf>
    <xf numFmtId="38" fontId="0" fillId="0" borderId="15" xfId="1" applyNumberFormat="1" applyFont="1" applyBorder="1" applyAlignment="1">
      <alignment horizontal="center"/>
    </xf>
    <xf numFmtId="38" fontId="0" fillId="0" borderId="16" xfId="1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17" xfId="0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19" xfId="0" applyBorder="1"/>
    <xf numFmtId="9" fontId="0" fillId="0" borderId="13" xfId="3" applyFont="1" applyBorder="1" applyAlignment="1">
      <alignment horizontal="center"/>
    </xf>
    <xf numFmtId="38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166" fontId="0" fillId="0" borderId="0" xfId="0" applyNumberFormat="1"/>
    <xf numFmtId="38" fontId="0" fillId="0" borderId="0" xfId="1" applyNumberFormat="1" applyFont="1"/>
    <xf numFmtId="0" fontId="5" fillId="0" borderId="0" xfId="0" applyFont="1"/>
    <xf numFmtId="0" fontId="16" fillId="0" borderId="0" xfId="0" applyFont="1" applyAlignment="1">
      <alignment horizontal="center"/>
    </xf>
    <xf numFmtId="0" fontId="16" fillId="0" borderId="0" xfId="0" applyFont="1"/>
    <xf numFmtId="9" fontId="0" fillId="0" borderId="0" xfId="3" applyFont="1" applyAlignment="1">
      <alignment horizontal="center"/>
    </xf>
    <xf numFmtId="38" fontId="0" fillId="0" borderId="0" xfId="1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7" fillId="0" borderId="0" xfId="0" applyFont="1"/>
    <xf numFmtId="38" fontId="10" fillId="0" borderId="0" xfId="1" applyNumberFormat="1" applyFont="1"/>
    <xf numFmtId="1" fontId="0" fillId="0" borderId="0" xfId="0" applyNumberFormat="1" applyAlignment="1">
      <alignment horizontal="left"/>
    </xf>
    <xf numFmtId="0" fontId="10" fillId="0" borderId="0" xfId="0" applyFont="1" applyAlignment="1">
      <alignment horizontal="left"/>
    </xf>
    <xf numFmtId="2" fontId="0" fillId="2" borderId="0" xfId="0" applyNumberFormat="1" applyFill="1"/>
    <xf numFmtId="0" fontId="7" fillId="0" borderId="0" xfId="0" applyFont="1" applyFill="1"/>
    <xf numFmtId="0" fontId="8" fillId="0" borderId="0" xfId="0" applyFont="1" applyFill="1"/>
    <xf numFmtId="0" fontId="13" fillId="0" borderId="0" xfId="0" applyFont="1"/>
    <xf numFmtId="0" fontId="12" fillId="0" borderId="0" xfId="0" applyFont="1"/>
    <xf numFmtId="182" fontId="0" fillId="3" borderId="21" xfId="1" applyNumberFormat="1" applyFont="1" applyFill="1" applyBorder="1"/>
    <xf numFmtId="188" fontId="0" fillId="0" borderId="0" xfId="0" applyNumberFormat="1"/>
    <xf numFmtId="182" fontId="0" fillId="0" borderId="0" xfId="1" applyNumberFormat="1" applyFont="1"/>
    <xf numFmtId="182" fontId="0" fillId="3" borderId="22" xfId="1" applyNumberFormat="1" applyFont="1" applyFill="1" applyBorder="1"/>
    <xf numFmtId="179" fontId="0" fillId="0" borderId="0" xfId="2" applyNumberFormat="1" applyFont="1"/>
    <xf numFmtId="179" fontId="10" fillId="0" borderId="0" xfId="2" applyNumberFormat="1" applyFont="1"/>
    <xf numFmtId="6" fontId="0" fillId="0" borderId="0" xfId="2" applyNumberFormat="1" applyFont="1"/>
    <xf numFmtId="164" fontId="0" fillId="0" borderId="21" xfId="0" applyNumberForma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1" xfId="0" applyFill="1" applyBorder="1"/>
    <xf numFmtId="44" fontId="0" fillId="0" borderId="0" xfId="2" applyNumberFormat="1" applyFont="1"/>
    <xf numFmtId="8" fontId="0" fillId="0" borderId="0" xfId="2" applyNumberFormat="1" applyFont="1"/>
    <xf numFmtId="0" fontId="0" fillId="0" borderId="0" xfId="0" applyAlignment="1">
      <alignment horizontal="right"/>
    </xf>
    <xf numFmtId="0" fontId="0" fillId="0" borderId="3" xfId="0" applyBorder="1"/>
    <xf numFmtId="9" fontId="0" fillId="0" borderId="0" xfId="3" applyFont="1"/>
    <xf numFmtId="8" fontId="12" fillId="3" borderId="5" xfId="2" applyFont="1" applyFill="1" applyBorder="1"/>
    <xf numFmtId="180" fontId="12" fillId="0" borderId="5" xfId="2" applyNumberFormat="1" applyFont="1" applyFill="1" applyBorder="1"/>
    <xf numFmtId="182" fontId="9" fillId="0" borderId="0" xfId="1" applyNumberFormat="1" applyFont="1" applyFill="1" applyBorder="1"/>
    <xf numFmtId="0" fontId="12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9" fontId="10" fillId="0" borderId="0" xfId="3" applyNumberFormat="1" applyFont="1" applyFill="1" applyBorder="1" applyAlignment="1"/>
    <xf numFmtId="179" fontId="19" fillId="0" borderId="0" xfId="2" applyNumberFormat="1" applyFont="1" applyFill="1"/>
    <xf numFmtId="179" fontId="11" fillId="2" borderId="6" xfId="0" applyNumberFormat="1" applyFont="1" applyFill="1" applyBorder="1"/>
    <xf numFmtId="38" fontId="10" fillId="2" borderId="10" xfId="1" applyNumberFormat="1" applyFont="1" applyFill="1" applyBorder="1" applyAlignment="1">
      <alignment horizontal="center"/>
    </xf>
    <xf numFmtId="38" fontId="0" fillId="4" borderId="0" xfId="1" applyNumberFormat="1" applyFont="1" applyFill="1" applyBorder="1" applyAlignment="1">
      <alignment horizontal="center"/>
    </xf>
    <xf numFmtId="38" fontId="0" fillId="4" borderId="2" xfId="1" applyNumberFormat="1" applyFont="1" applyFill="1" applyBorder="1" applyAlignment="1">
      <alignment horizontal="center"/>
    </xf>
    <xf numFmtId="9" fontId="2" fillId="0" borderId="0" xfId="3" applyFont="1" applyFill="1" applyBorder="1" applyAlignment="1">
      <alignment horizontal="center"/>
    </xf>
    <xf numFmtId="38" fontId="2" fillId="0" borderId="3" xfId="1" applyNumberFormat="1" applyFont="1" applyBorder="1" applyAlignment="1">
      <alignment horizontal="center"/>
    </xf>
    <xf numFmtId="38" fontId="2" fillId="0" borderId="4" xfId="1" applyNumberFormat="1" applyFont="1" applyBorder="1" applyAlignment="1">
      <alignment horizontal="center"/>
    </xf>
    <xf numFmtId="38" fontId="2" fillId="0" borderId="1" xfId="1" applyNumberFormat="1" applyFont="1" applyBorder="1" applyAlignment="1">
      <alignment horizontal="center"/>
    </xf>
    <xf numFmtId="38" fontId="2" fillId="0" borderId="0" xfId="1" applyNumberFormat="1" applyFont="1" applyBorder="1" applyAlignment="1">
      <alignment horizontal="center"/>
    </xf>
    <xf numFmtId="38" fontId="2" fillId="0" borderId="2" xfId="1" applyNumberFormat="1" applyFont="1" applyBorder="1" applyAlignment="1">
      <alignment horizontal="center"/>
    </xf>
    <xf numFmtId="38" fontId="2" fillId="0" borderId="10" xfId="1" applyNumberFormat="1" applyFont="1" applyBorder="1" applyAlignment="1">
      <alignment horizontal="center"/>
    </xf>
    <xf numFmtId="38" fontId="2" fillId="4" borderId="0" xfId="1" applyNumberFormat="1" applyFont="1" applyFill="1" applyBorder="1" applyAlignment="1">
      <alignment horizontal="center"/>
    </xf>
    <xf numFmtId="38" fontId="2" fillId="4" borderId="3" xfId="1" applyNumberFormat="1" applyFont="1" applyFill="1" applyBorder="1" applyAlignment="1">
      <alignment horizontal="center"/>
    </xf>
    <xf numFmtId="38" fontId="2" fillId="4" borderId="2" xfId="1" applyNumberFormat="1" applyFont="1" applyFill="1" applyBorder="1" applyAlignment="1">
      <alignment horizontal="center"/>
    </xf>
    <xf numFmtId="38" fontId="2" fillId="4" borderId="4" xfId="1" applyNumberFormat="1" applyFont="1" applyFill="1" applyBorder="1" applyAlignment="1">
      <alignment horizontal="center"/>
    </xf>
    <xf numFmtId="166" fontId="10" fillId="0" borderId="0" xfId="0" applyNumberFormat="1" applyFont="1"/>
    <xf numFmtId="8" fontId="22" fillId="0" borderId="0" xfId="2" applyFont="1" applyFill="1" applyBorder="1"/>
    <xf numFmtId="182" fontId="0" fillId="0" borderId="0" xfId="0" applyNumberFormat="1"/>
    <xf numFmtId="181" fontId="10" fillId="0" borderId="0" xfId="3" applyNumberFormat="1" applyFont="1" applyAlignment="1">
      <alignment horizontal="left"/>
    </xf>
    <xf numFmtId="182" fontId="0" fillId="0" borderId="0" xfId="0" applyNumberFormat="1" applyBorder="1"/>
    <xf numFmtId="1" fontId="0" fillId="0" borderId="0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AECO Standard &amp; Ratcheted Servce Profiles</a:t>
            </a:r>
          </a:p>
        </c:rich>
      </c:tx>
      <c:layout>
        <c:manualLayout>
          <c:xMode val="edge"/>
          <c:yMode val="edge"/>
          <c:x val="0.3113879003558718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98220640569393"/>
          <c:y val="0.13350785340314136"/>
          <c:w val="0.83985765124555145"/>
          <c:h val="0.70811518324607337"/>
        </c:manualLayout>
      </c:layout>
      <c:scatterChart>
        <c:scatterStyle val="lineMarker"/>
        <c:varyColors val="0"/>
        <c:ser>
          <c:idx val="1"/>
          <c:order val="0"/>
          <c:tx>
            <c:v>Max Withdrawal Standard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'Profile Calc'!$A$24:$A$37</c:f>
              <c:numCache>
                <c:formatCode>#,##0_);[Red]\(#,##0\)</c:formatCode>
                <c:ptCount val="14"/>
                <c:pt idx="0">
                  <c:v>0</c:v>
                </c:pt>
                <c:pt idx="1">
                  <c:v>100000</c:v>
                </c:pt>
                <c:pt idx="2">
                  <c:v>199000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499000</c:v>
                </c:pt>
                <c:pt idx="7">
                  <c:v>500000</c:v>
                </c:pt>
                <c:pt idx="8">
                  <c:v>600000</c:v>
                </c:pt>
                <c:pt idx="9">
                  <c:v>700000</c:v>
                </c:pt>
                <c:pt idx="10">
                  <c:v>799000</c:v>
                </c:pt>
                <c:pt idx="11">
                  <c:v>800000</c:v>
                </c:pt>
                <c:pt idx="12">
                  <c:v>900000</c:v>
                </c:pt>
                <c:pt idx="13">
                  <c:v>1000000</c:v>
                </c:pt>
              </c:numCache>
            </c:numRef>
          </c:xVal>
          <c:yVal>
            <c:numRef>
              <c:f>'Profile Calc'!$C$24:$C$37</c:f>
              <c:numCache>
                <c:formatCode>#,##0_);[Red]\(#,##0\)</c:formatCode>
                <c:ptCount val="14"/>
                <c:pt idx="0">
                  <c:v>4861.1111111111113</c:v>
                </c:pt>
                <c:pt idx="1">
                  <c:v>5833.3333333333339</c:v>
                </c:pt>
                <c:pt idx="2">
                  <c:v>6795.8333333333339</c:v>
                </c:pt>
                <c:pt idx="3">
                  <c:v>6805.5555555555557</c:v>
                </c:pt>
                <c:pt idx="4">
                  <c:v>7777.7777777777774</c:v>
                </c:pt>
                <c:pt idx="5">
                  <c:v>8750</c:v>
                </c:pt>
                <c:pt idx="6">
                  <c:v>9712.5</c:v>
                </c:pt>
                <c:pt idx="7">
                  <c:v>9722.2222222222226</c:v>
                </c:pt>
                <c:pt idx="8">
                  <c:v>9722.2222222222226</c:v>
                </c:pt>
                <c:pt idx="9">
                  <c:v>9722.2222222222226</c:v>
                </c:pt>
                <c:pt idx="10">
                  <c:v>9722.2222222222226</c:v>
                </c:pt>
                <c:pt idx="11">
                  <c:v>9722.2222222222226</c:v>
                </c:pt>
                <c:pt idx="12">
                  <c:v>9722.2222222222226</c:v>
                </c:pt>
                <c:pt idx="13">
                  <c:v>9722.2222222222226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2-4A20-9914-7B8745C7EE64}"/>
            </c:ext>
          </c:extLst>
        </c:ser>
        <c:ser>
          <c:idx val="0"/>
          <c:order val="1"/>
          <c:tx>
            <c:v>Max Injection Standard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'Profile Calc'!$A$24:$A$37</c:f>
              <c:numCache>
                <c:formatCode>#,##0_);[Red]\(#,##0\)</c:formatCode>
                <c:ptCount val="14"/>
                <c:pt idx="0">
                  <c:v>0</c:v>
                </c:pt>
                <c:pt idx="1">
                  <c:v>100000</c:v>
                </c:pt>
                <c:pt idx="2">
                  <c:v>199000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499000</c:v>
                </c:pt>
                <c:pt idx="7">
                  <c:v>500000</c:v>
                </c:pt>
                <c:pt idx="8">
                  <c:v>600000</c:v>
                </c:pt>
                <c:pt idx="9">
                  <c:v>700000</c:v>
                </c:pt>
                <c:pt idx="10">
                  <c:v>799000</c:v>
                </c:pt>
                <c:pt idx="11">
                  <c:v>800000</c:v>
                </c:pt>
                <c:pt idx="12">
                  <c:v>900000</c:v>
                </c:pt>
                <c:pt idx="13">
                  <c:v>1000000</c:v>
                </c:pt>
              </c:numCache>
            </c:numRef>
          </c:xVal>
          <c:yVal>
            <c:numRef>
              <c:f>'Profile Calc'!$E$24:$E$37</c:f>
              <c:numCache>
                <c:formatCode>#,##0_);[Red]\(#,##0\)</c:formatCode>
                <c:ptCount val="14"/>
                <c:pt idx="0">
                  <c:v>9722.2222222222226</c:v>
                </c:pt>
                <c:pt idx="1">
                  <c:v>9722.2222222222226</c:v>
                </c:pt>
                <c:pt idx="2">
                  <c:v>9722.2222222222226</c:v>
                </c:pt>
                <c:pt idx="3">
                  <c:v>9722.2222222222226</c:v>
                </c:pt>
                <c:pt idx="4">
                  <c:v>9722.2222222222226</c:v>
                </c:pt>
                <c:pt idx="5">
                  <c:v>9722.2222222222226</c:v>
                </c:pt>
                <c:pt idx="6">
                  <c:v>9722.2222222222226</c:v>
                </c:pt>
                <c:pt idx="7">
                  <c:v>9722.2222222222226</c:v>
                </c:pt>
                <c:pt idx="8">
                  <c:v>8750</c:v>
                </c:pt>
                <c:pt idx="9">
                  <c:v>7777.7777777777774</c:v>
                </c:pt>
                <c:pt idx="10">
                  <c:v>6815.2777777777774</c:v>
                </c:pt>
                <c:pt idx="11">
                  <c:v>6805.5555555555557</c:v>
                </c:pt>
                <c:pt idx="12">
                  <c:v>5833.3333333333339</c:v>
                </c:pt>
                <c:pt idx="13">
                  <c:v>4861.1111111111113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12-4A20-9914-7B8745C7EE64}"/>
            </c:ext>
          </c:extLst>
        </c:ser>
        <c:ser>
          <c:idx val="2"/>
          <c:order val="2"/>
          <c:tx>
            <c:v>Max Withdrawal Ratchet</c:v>
          </c:tx>
          <c:spPr>
            <a:ln w="38100">
              <a:solidFill>
                <a:srgbClr val="FFFF00"/>
              </a:solidFill>
              <a:prstDash val="lgDash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'Profile Calc'!$A$24:$A$37</c:f>
              <c:numCache>
                <c:formatCode>#,##0_);[Red]\(#,##0\)</c:formatCode>
                <c:ptCount val="14"/>
                <c:pt idx="0">
                  <c:v>0</c:v>
                </c:pt>
                <c:pt idx="1">
                  <c:v>100000</c:v>
                </c:pt>
                <c:pt idx="2">
                  <c:v>199000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499000</c:v>
                </c:pt>
                <c:pt idx="7">
                  <c:v>500000</c:v>
                </c:pt>
                <c:pt idx="8">
                  <c:v>600000</c:v>
                </c:pt>
                <c:pt idx="9">
                  <c:v>700000</c:v>
                </c:pt>
                <c:pt idx="10">
                  <c:v>799000</c:v>
                </c:pt>
                <c:pt idx="11">
                  <c:v>800000</c:v>
                </c:pt>
                <c:pt idx="12">
                  <c:v>900000</c:v>
                </c:pt>
                <c:pt idx="13">
                  <c:v>1000000</c:v>
                </c:pt>
              </c:numCache>
            </c:numRef>
          </c:xVal>
          <c:yVal>
            <c:numRef>
              <c:f>'Profile Calc'!$C$46:$C$59</c:f>
              <c:numCache>
                <c:formatCode>#,##0_);[Red]\(#,##0\)</c:formatCode>
                <c:ptCount val="14"/>
                <c:pt idx="0">
                  <c:v>5833.333333333333</c:v>
                </c:pt>
                <c:pt idx="1">
                  <c:v>5833.333333333333</c:v>
                </c:pt>
                <c:pt idx="2">
                  <c:v>5833.333333333333</c:v>
                </c:pt>
                <c:pt idx="3">
                  <c:v>8263.8888888888887</c:v>
                </c:pt>
                <c:pt idx="4">
                  <c:v>8263.8888888888887</c:v>
                </c:pt>
                <c:pt idx="5">
                  <c:v>8263.8888888888887</c:v>
                </c:pt>
                <c:pt idx="6">
                  <c:v>8263.8888888888887</c:v>
                </c:pt>
                <c:pt idx="7">
                  <c:v>9722.2222222222226</c:v>
                </c:pt>
                <c:pt idx="8">
                  <c:v>9722.2222222222226</c:v>
                </c:pt>
                <c:pt idx="9">
                  <c:v>9722.2222222222226</c:v>
                </c:pt>
                <c:pt idx="10">
                  <c:v>9722.2222222222226</c:v>
                </c:pt>
                <c:pt idx="11">
                  <c:v>9722.2222222222226</c:v>
                </c:pt>
                <c:pt idx="12">
                  <c:v>9722.2222222222226</c:v>
                </c:pt>
                <c:pt idx="13">
                  <c:v>9722.2222222222226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12-4A20-9914-7B8745C7EE64}"/>
            </c:ext>
          </c:extLst>
        </c:ser>
        <c:ser>
          <c:idx val="3"/>
          <c:order val="3"/>
          <c:tx>
            <c:v>Max Injection Ratchet</c:v>
          </c:tx>
          <c:spPr>
            <a:ln w="38100">
              <a:solidFill>
                <a:srgbClr val="00FFFF"/>
              </a:solidFill>
              <a:prstDash val="lgDash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'Profile Calc'!$A$24:$A$37</c:f>
              <c:numCache>
                <c:formatCode>#,##0_);[Red]\(#,##0\)</c:formatCode>
                <c:ptCount val="14"/>
                <c:pt idx="0">
                  <c:v>0</c:v>
                </c:pt>
                <c:pt idx="1">
                  <c:v>100000</c:v>
                </c:pt>
                <c:pt idx="2">
                  <c:v>199000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499000</c:v>
                </c:pt>
                <c:pt idx="7">
                  <c:v>500000</c:v>
                </c:pt>
                <c:pt idx="8">
                  <c:v>600000</c:v>
                </c:pt>
                <c:pt idx="9">
                  <c:v>700000</c:v>
                </c:pt>
                <c:pt idx="10">
                  <c:v>799000</c:v>
                </c:pt>
                <c:pt idx="11">
                  <c:v>800000</c:v>
                </c:pt>
                <c:pt idx="12">
                  <c:v>900000</c:v>
                </c:pt>
                <c:pt idx="13">
                  <c:v>1000000</c:v>
                </c:pt>
              </c:numCache>
            </c:numRef>
          </c:xVal>
          <c:yVal>
            <c:numRef>
              <c:f>'Profile Calc'!$E$46:$E$59</c:f>
              <c:numCache>
                <c:formatCode>#,##0_);[Red]\(#,##0\)</c:formatCode>
                <c:ptCount val="14"/>
                <c:pt idx="0">
                  <c:v>9722.2222222222226</c:v>
                </c:pt>
                <c:pt idx="1">
                  <c:v>9722.2222222222226</c:v>
                </c:pt>
                <c:pt idx="2">
                  <c:v>9722.2222222222226</c:v>
                </c:pt>
                <c:pt idx="3">
                  <c:v>9722.2222222222226</c:v>
                </c:pt>
                <c:pt idx="4">
                  <c:v>9722.2222222222226</c:v>
                </c:pt>
                <c:pt idx="5">
                  <c:v>9722.2222222222226</c:v>
                </c:pt>
                <c:pt idx="6">
                  <c:v>9722.2222222222226</c:v>
                </c:pt>
                <c:pt idx="7">
                  <c:v>8263.8888888888887</c:v>
                </c:pt>
                <c:pt idx="8">
                  <c:v>8263.8888888888887</c:v>
                </c:pt>
                <c:pt idx="9">
                  <c:v>8263.8888888888887</c:v>
                </c:pt>
                <c:pt idx="10">
                  <c:v>8263.8888888888887</c:v>
                </c:pt>
                <c:pt idx="11">
                  <c:v>5833.333333333333</c:v>
                </c:pt>
                <c:pt idx="12">
                  <c:v>5833.333333333333</c:v>
                </c:pt>
                <c:pt idx="13">
                  <c:v>5833.333333333333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12-4A20-9914-7B8745C7E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289824"/>
        <c:axId val="1"/>
      </c:scatterChart>
      <c:valAx>
        <c:axId val="175728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Reserved Storage Capacity (PJ)</a:t>
                </a:r>
              </a:p>
            </c:rich>
          </c:tx>
          <c:layout>
            <c:manualLayout>
              <c:xMode val="edge"/>
              <c:yMode val="edge"/>
              <c:x val="0.41103202846975084"/>
              <c:y val="0.893979057591622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TJ/d</a:t>
                </a:r>
              </a:p>
            </c:rich>
          </c:tx>
          <c:layout>
            <c:manualLayout>
              <c:xMode val="edge"/>
              <c:yMode val="edge"/>
              <c:x val="1.4234875444839855E-2"/>
              <c:y val="0.46073298429319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72898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6512455516014"/>
          <c:y val="0.95942408376963362"/>
          <c:w val="0.84608540925266895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AECO HUB Special 1.5 Cycle Ratchet 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6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2811387900355871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09252669039144"/>
          <c:y val="0.14267015706806285"/>
          <c:w val="0.84074733096085397"/>
          <c:h val="0.69895287958115193"/>
        </c:manualLayout>
      </c:layout>
      <c:scatterChart>
        <c:scatterStyle val="lineMarker"/>
        <c:varyColors val="0"/>
        <c:ser>
          <c:idx val="2"/>
          <c:order val="0"/>
          <c:tx>
            <c:v>Max Withdrawal Ratchet</c:v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'Sp 1.5 Input'!$A$24:$A$37</c:f>
              <c:numCache>
                <c:formatCode>#,##0_);[Red]\(#,##0\)</c:formatCode>
                <c:ptCount val="14"/>
                <c:pt idx="0">
                  <c:v>0</c:v>
                </c:pt>
                <c:pt idx="1">
                  <c:v>100000</c:v>
                </c:pt>
                <c:pt idx="2">
                  <c:v>199000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499000</c:v>
                </c:pt>
                <c:pt idx="7">
                  <c:v>500000</c:v>
                </c:pt>
                <c:pt idx="8">
                  <c:v>600000</c:v>
                </c:pt>
                <c:pt idx="9">
                  <c:v>700000</c:v>
                </c:pt>
                <c:pt idx="10">
                  <c:v>799000</c:v>
                </c:pt>
                <c:pt idx="11">
                  <c:v>800000</c:v>
                </c:pt>
                <c:pt idx="12">
                  <c:v>900000</c:v>
                </c:pt>
                <c:pt idx="13">
                  <c:v>1000000</c:v>
                </c:pt>
              </c:numCache>
            </c:numRef>
          </c:xVal>
          <c:yVal>
            <c:numRef>
              <c:f>'Sp 1.5 Input'!$C$46:$C$59</c:f>
              <c:numCache>
                <c:formatCode>#,##0_);[Red]\(#,##0\)</c:formatCode>
                <c:ptCount val="14"/>
                <c:pt idx="0">
                  <c:v>3330.833333333333</c:v>
                </c:pt>
                <c:pt idx="1">
                  <c:v>3330.833333333333</c:v>
                </c:pt>
                <c:pt idx="2">
                  <c:v>3330.833333333333</c:v>
                </c:pt>
                <c:pt idx="3">
                  <c:v>9996.3645833333321</c:v>
                </c:pt>
                <c:pt idx="4">
                  <c:v>9996.3645833333321</c:v>
                </c:pt>
                <c:pt idx="5">
                  <c:v>9996.3645833333321</c:v>
                </c:pt>
                <c:pt idx="6">
                  <c:v>9996.3645833333321</c:v>
                </c:pt>
                <c:pt idx="7">
                  <c:v>16683.333333333332</c:v>
                </c:pt>
                <c:pt idx="8">
                  <c:v>16683.333333333332</c:v>
                </c:pt>
                <c:pt idx="9">
                  <c:v>16683.333333333332</c:v>
                </c:pt>
                <c:pt idx="10">
                  <c:v>16683.333333333332</c:v>
                </c:pt>
                <c:pt idx="11">
                  <c:v>16683.333333333332</c:v>
                </c:pt>
                <c:pt idx="12">
                  <c:v>16683.333333333332</c:v>
                </c:pt>
                <c:pt idx="13">
                  <c:v>16683.333333333332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D-4904-B346-C1992D3BE761}"/>
            </c:ext>
          </c:extLst>
        </c:ser>
        <c:ser>
          <c:idx val="3"/>
          <c:order val="1"/>
          <c:tx>
            <c:v>Max Injection Ratchet</c:v>
          </c:tx>
          <c:spPr>
            <a:ln w="38100">
              <a:solidFill>
                <a:srgbClr val="0000FF"/>
              </a:solidFill>
              <a:prstDash val="lgDash"/>
            </a:ln>
          </c:spPr>
          <c:marker>
            <c:symbol val="x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'Sp 1.5 Input'!$A$24:$A$37</c:f>
              <c:numCache>
                <c:formatCode>#,##0_);[Red]\(#,##0\)</c:formatCode>
                <c:ptCount val="14"/>
                <c:pt idx="0">
                  <c:v>0</c:v>
                </c:pt>
                <c:pt idx="1">
                  <c:v>100000</c:v>
                </c:pt>
                <c:pt idx="2">
                  <c:v>199000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499000</c:v>
                </c:pt>
                <c:pt idx="7">
                  <c:v>500000</c:v>
                </c:pt>
                <c:pt idx="8">
                  <c:v>600000</c:v>
                </c:pt>
                <c:pt idx="9">
                  <c:v>700000</c:v>
                </c:pt>
                <c:pt idx="10">
                  <c:v>799000</c:v>
                </c:pt>
                <c:pt idx="11">
                  <c:v>800000</c:v>
                </c:pt>
                <c:pt idx="12">
                  <c:v>900000</c:v>
                </c:pt>
                <c:pt idx="13">
                  <c:v>1000000</c:v>
                </c:pt>
              </c:numCache>
            </c:numRef>
          </c:xVal>
          <c:yVal>
            <c:numRef>
              <c:f>'Sp 1.5 Input'!$E$46:$E$59</c:f>
              <c:numCache>
                <c:formatCode>#,##0_);[Red]\(#,##0\)</c:formatCode>
                <c:ptCount val="14"/>
                <c:pt idx="0">
                  <c:v>16683.333333333332</c:v>
                </c:pt>
                <c:pt idx="1">
                  <c:v>16683.333333333332</c:v>
                </c:pt>
                <c:pt idx="2">
                  <c:v>16683.333333333332</c:v>
                </c:pt>
                <c:pt idx="3">
                  <c:v>16683.333333333332</c:v>
                </c:pt>
                <c:pt idx="4">
                  <c:v>16683.333333333332</c:v>
                </c:pt>
                <c:pt idx="5">
                  <c:v>16683.333333333332</c:v>
                </c:pt>
                <c:pt idx="6">
                  <c:v>16683.333333333332</c:v>
                </c:pt>
                <c:pt idx="7">
                  <c:v>10009.027777777777</c:v>
                </c:pt>
                <c:pt idx="8">
                  <c:v>10009.027777777777</c:v>
                </c:pt>
                <c:pt idx="9">
                  <c:v>10009.027777777777</c:v>
                </c:pt>
                <c:pt idx="10">
                  <c:v>10009.027777777777</c:v>
                </c:pt>
                <c:pt idx="11">
                  <c:v>3330.833333333333</c:v>
                </c:pt>
                <c:pt idx="12">
                  <c:v>3330.833333333333</c:v>
                </c:pt>
                <c:pt idx="13">
                  <c:v>3330.833333333333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D-4904-B346-C1992D3BE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290816"/>
        <c:axId val="1"/>
      </c:scatterChart>
      <c:valAx>
        <c:axId val="175729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Reserved Storage Capacity (GJ)</a:t>
                </a:r>
              </a:p>
            </c:rich>
          </c:tx>
          <c:layout>
            <c:manualLayout>
              <c:xMode val="edge"/>
              <c:yMode val="edge"/>
              <c:x val="0.40925266903914587"/>
              <c:y val="0.893979057591622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GJ/d</a:t>
                </a:r>
              </a:p>
            </c:rich>
          </c:tx>
          <c:layout>
            <c:manualLayout>
              <c:xMode val="edge"/>
              <c:yMode val="edge"/>
              <c:x val="1.3345195729537365E-2"/>
              <c:y val="0.4646596858638743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72908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206405693950174"/>
          <c:y val="0.95942408376963362"/>
          <c:w val="0.41548042704626326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6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6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114300</xdr:rowOff>
    </xdr:from>
    <xdr:to>
      <xdr:col>6</xdr:col>
      <xdr:colOff>601980</xdr:colOff>
      <xdr:row>0</xdr:row>
      <xdr:rowOff>114300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3089E3F8-A8EC-36F7-274C-99BA708A47AC}"/>
            </a:ext>
          </a:extLst>
        </xdr:cNvPr>
        <xdr:cNvSpPr>
          <a:spLocks noChangeShapeType="1"/>
        </xdr:cNvSpPr>
      </xdr:nvSpPr>
      <xdr:spPr bwMode="auto">
        <a:xfrm>
          <a:off x="5905500" y="114300"/>
          <a:ext cx="525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99DB8-C64D-5707-5192-53891D623B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2145B-43CC-6023-780F-44EA13DF60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0.21825</cdr:x>
      <cdr:y>0.16975</cdr:y>
    </cdr:from>
    <cdr:to>
      <cdr:x>0.33275</cdr:x>
      <cdr:y>0.25075</cdr:y>
    </cdr:to>
    <cdr:sp macro="" textlink="">
      <cdr:nvSpPr>
        <cdr:cNvPr id="2049" name="AutoShape 1">
          <a:extLst xmlns:a="http://schemas.openxmlformats.org/drawingml/2006/main">
            <a:ext uri="{FF2B5EF4-FFF2-40B4-BE49-F238E27FC236}">
              <a16:creationId xmlns:a16="http://schemas.microsoft.com/office/drawing/2014/main" id="{BBBB2C71-F9A0-C5BB-03AC-E5342C15D6C4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69285" y="988230"/>
          <a:ext cx="980679" cy="471556"/>
        </a:xfrm>
        <a:prstGeom xmlns:a="http://schemas.openxmlformats.org/drawingml/2006/main" prst="rightArrow">
          <a:avLst>
            <a:gd name="adj1" fmla="val 50000"/>
            <a:gd name="adj2" fmla="val 51992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0.48325</cdr:x>
      <cdr:y>0.38725</cdr:y>
    </cdr:from>
    <cdr:to>
      <cdr:x>0.59925</cdr:x>
      <cdr:y>0.46825</cdr:y>
    </cdr:to>
    <cdr:sp macro="" textlink="">
      <cdr:nvSpPr>
        <cdr:cNvPr id="2050" name="AutoShape 2">
          <a:extLst xmlns:a="http://schemas.openxmlformats.org/drawingml/2006/main">
            <a:ext uri="{FF2B5EF4-FFF2-40B4-BE49-F238E27FC236}">
              <a16:creationId xmlns:a16="http://schemas.microsoft.com/office/drawing/2014/main" id="{560B535E-6B20-771A-7A15-777FA7AEAD19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38978" y="2254446"/>
          <a:ext cx="993526" cy="471556"/>
        </a:xfrm>
        <a:prstGeom xmlns:a="http://schemas.openxmlformats.org/drawingml/2006/main" prst="rightArrow">
          <a:avLst>
            <a:gd name="adj1" fmla="val 50000"/>
            <a:gd name="adj2" fmla="val 52673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0.69075</cdr:x>
      <cdr:y>0.624</cdr:y>
    </cdr:from>
    <cdr:to>
      <cdr:x>0.806</cdr:x>
      <cdr:y>0.706</cdr:y>
    </cdr:to>
    <cdr:sp macro="" textlink="">
      <cdr:nvSpPr>
        <cdr:cNvPr id="2051" name="AutoShape 3">
          <a:extLst xmlns:a="http://schemas.openxmlformats.org/drawingml/2006/main">
            <a:ext uri="{FF2B5EF4-FFF2-40B4-BE49-F238E27FC236}">
              <a16:creationId xmlns:a16="http://schemas.microsoft.com/office/drawing/2014/main" id="{3AAF5434-FD03-5F57-3597-921AC9AB7D36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6191" y="3632728"/>
          <a:ext cx="987102" cy="477378"/>
        </a:xfrm>
        <a:prstGeom xmlns:a="http://schemas.openxmlformats.org/drawingml/2006/main" prst="rightArrow">
          <a:avLst>
            <a:gd name="adj1" fmla="val 50000"/>
            <a:gd name="adj2" fmla="val 51694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0.55975</cdr:x>
      <cdr:y>0.16975</cdr:y>
    </cdr:from>
    <cdr:to>
      <cdr:x>0.67475</cdr:x>
      <cdr:y>0.25075</cdr:y>
    </cdr:to>
    <cdr:sp macro="" textlink="">
      <cdr:nvSpPr>
        <cdr:cNvPr id="2052" name="AutoShape 4">
          <a:extLst xmlns:a="http://schemas.openxmlformats.org/drawingml/2006/main">
            <a:ext uri="{FF2B5EF4-FFF2-40B4-BE49-F238E27FC236}">
              <a16:creationId xmlns:a16="http://schemas.microsoft.com/office/drawing/2014/main" id="{A863D27B-AB8D-9142-EAC6-5443AE070568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 rot="10800000">
          <a:off x="4794192" y="988230"/>
          <a:ext cx="984961" cy="471556"/>
        </a:xfrm>
        <a:prstGeom xmlns:a="http://schemas.openxmlformats.org/drawingml/2006/main" prst="rightArrow">
          <a:avLst>
            <a:gd name="adj1" fmla="val 50000"/>
            <a:gd name="adj2" fmla="val 52219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0.27225</cdr:x>
      <cdr:y>0.38725</cdr:y>
    </cdr:from>
    <cdr:to>
      <cdr:x>0.38825</cdr:x>
      <cdr:y>0.46975</cdr:y>
    </cdr:to>
    <cdr:sp macro="" textlink="">
      <cdr:nvSpPr>
        <cdr:cNvPr id="2053" name="AutoShape 5">
          <a:extLst xmlns:a="http://schemas.openxmlformats.org/drawingml/2006/main">
            <a:ext uri="{FF2B5EF4-FFF2-40B4-BE49-F238E27FC236}">
              <a16:creationId xmlns:a16="http://schemas.microsoft.com/office/drawing/2014/main" id="{2D1C7F78-DC4C-4E48-E4C9-145E3F0A2EC5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 rot="10800000">
          <a:off x="2331789" y="2254446"/>
          <a:ext cx="993526" cy="480288"/>
        </a:xfrm>
        <a:prstGeom xmlns:a="http://schemas.openxmlformats.org/drawingml/2006/main" prst="rightArrow">
          <a:avLst>
            <a:gd name="adj1" fmla="val 50000"/>
            <a:gd name="adj2" fmla="val 51715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0.1115</cdr:x>
      <cdr:y>0.636</cdr:y>
    </cdr:from>
    <cdr:to>
      <cdr:x>0.2275</cdr:x>
      <cdr:y>0.71925</cdr:y>
    </cdr:to>
    <cdr:sp macro="" textlink="">
      <cdr:nvSpPr>
        <cdr:cNvPr id="2054" name="AutoShape 6">
          <a:extLst xmlns:a="http://schemas.openxmlformats.org/drawingml/2006/main">
            <a:ext uri="{FF2B5EF4-FFF2-40B4-BE49-F238E27FC236}">
              <a16:creationId xmlns:a16="http://schemas.microsoft.com/office/drawing/2014/main" id="{DB4A0F7F-DA4C-30BD-DC07-4B3F68163D25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 rot="10800000">
          <a:off x="954984" y="3702588"/>
          <a:ext cx="993526" cy="484655"/>
        </a:xfrm>
        <a:prstGeom xmlns:a="http://schemas.openxmlformats.org/drawingml/2006/main" prst="rightArrow">
          <a:avLst>
            <a:gd name="adj1" fmla="val 50000"/>
            <a:gd name="adj2" fmla="val 51249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0.226</cdr:x>
      <cdr:y>0.19425</cdr:y>
    </cdr:from>
    <cdr:to>
      <cdr:x>0.30075</cdr:x>
      <cdr:y>0.22775</cdr:y>
    </cdr:to>
    <cdr:sp macro="" textlink="">
      <cdr:nvSpPr>
        <cdr:cNvPr id="2055" name="Text Box 7">
          <a:extLst xmlns:a="http://schemas.openxmlformats.org/drawingml/2006/main">
            <a:ext uri="{FF2B5EF4-FFF2-40B4-BE49-F238E27FC236}">
              <a16:creationId xmlns:a16="http://schemas.microsoft.com/office/drawing/2014/main" id="{358B06FF-C31F-F4DE-50D2-BDEF2F4573C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5663" y="1130861"/>
          <a:ext cx="640225" cy="1950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30 Days</a:t>
          </a:r>
        </a:p>
      </cdr:txBody>
    </cdr:sp>
  </cdr:relSizeAnchor>
  <cdr:relSizeAnchor xmlns:cdr="http://schemas.openxmlformats.org/drawingml/2006/chartDrawing">
    <cdr:from>
      <cdr:x>0.4975</cdr:x>
      <cdr:y>0.4185</cdr:y>
    </cdr:from>
    <cdr:to>
      <cdr:x>0.57475</cdr:x>
      <cdr:y>0.44525</cdr:y>
    </cdr:to>
    <cdr:sp macro="" textlink="">
      <cdr:nvSpPr>
        <cdr:cNvPr id="2056" name="Text Box 8">
          <a:extLst xmlns:a="http://schemas.openxmlformats.org/drawingml/2006/main">
            <a:ext uri="{FF2B5EF4-FFF2-40B4-BE49-F238E27FC236}">
              <a16:creationId xmlns:a16="http://schemas.microsoft.com/office/drawing/2014/main" id="{098DB544-3922-E9FA-89D9-3E29E2DDCC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1028" y="2436373"/>
          <a:ext cx="661637" cy="1557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30 Days</a:t>
          </a:r>
        </a:p>
      </cdr:txBody>
    </cdr:sp>
  </cdr:relSizeAnchor>
  <cdr:relSizeAnchor xmlns:cdr="http://schemas.openxmlformats.org/drawingml/2006/chartDrawing">
    <cdr:from>
      <cdr:x>0.69925</cdr:x>
      <cdr:y>0.6555</cdr:y>
    </cdr:from>
    <cdr:to>
      <cdr:x>0.79425</cdr:x>
      <cdr:y>0.692</cdr:y>
    </cdr:to>
    <cdr:sp macro="" textlink="">
      <cdr:nvSpPr>
        <cdr:cNvPr id="2057" name="Text Box 9">
          <a:extLst xmlns:a="http://schemas.openxmlformats.org/drawingml/2006/main">
            <a:ext uri="{FF2B5EF4-FFF2-40B4-BE49-F238E27FC236}">
              <a16:creationId xmlns:a16="http://schemas.microsoft.com/office/drawing/2014/main" id="{FE1B7529-1675-28EF-6E67-70BEBBC7455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88992" y="3816111"/>
          <a:ext cx="813664" cy="2124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60 Days</a:t>
          </a:r>
        </a:p>
      </cdr:txBody>
    </cdr:sp>
  </cdr:relSizeAnchor>
  <cdr:relSizeAnchor xmlns:cdr="http://schemas.openxmlformats.org/drawingml/2006/chartDrawing">
    <cdr:from>
      <cdr:x>0.59925</cdr:x>
      <cdr:y>0.19425</cdr:y>
    </cdr:from>
    <cdr:to>
      <cdr:x>0.67475</cdr:x>
      <cdr:y>0.22775</cdr:y>
    </cdr:to>
    <cdr:sp macro="" textlink="">
      <cdr:nvSpPr>
        <cdr:cNvPr id="2058" name="Text Box 10">
          <a:extLst xmlns:a="http://schemas.openxmlformats.org/drawingml/2006/main">
            <a:ext uri="{FF2B5EF4-FFF2-40B4-BE49-F238E27FC236}">
              <a16:creationId xmlns:a16="http://schemas.microsoft.com/office/drawing/2014/main" id="{539569A2-885B-EABB-F08D-B7333D8713A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32504" y="1130861"/>
          <a:ext cx="646649" cy="1950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30 Days</a:t>
          </a:r>
        </a:p>
      </cdr:txBody>
    </cdr:sp>
  </cdr:relSizeAnchor>
  <cdr:relSizeAnchor xmlns:cdr="http://schemas.openxmlformats.org/drawingml/2006/chartDrawing">
    <cdr:from>
      <cdr:x>0.30075</cdr:x>
      <cdr:y>0.4185</cdr:y>
    </cdr:from>
    <cdr:to>
      <cdr:x>0.389</cdr:x>
      <cdr:y>0.44525</cdr:y>
    </cdr:to>
    <cdr:sp macro="" textlink="">
      <cdr:nvSpPr>
        <cdr:cNvPr id="2059" name="Text Box 11">
          <a:extLst xmlns:a="http://schemas.openxmlformats.org/drawingml/2006/main">
            <a:ext uri="{FF2B5EF4-FFF2-40B4-BE49-F238E27FC236}">
              <a16:creationId xmlns:a16="http://schemas.microsoft.com/office/drawing/2014/main" id="{1FBE736A-4E08-0A9C-2D83-0D7D7BBC7C3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75888" y="2436373"/>
          <a:ext cx="755850" cy="1557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30 Days</a:t>
          </a:r>
        </a:p>
      </cdr:txBody>
    </cdr:sp>
  </cdr:relSizeAnchor>
  <cdr:relSizeAnchor xmlns:cdr="http://schemas.openxmlformats.org/drawingml/2006/chartDrawing">
    <cdr:from>
      <cdr:x>0.147</cdr:x>
      <cdr:y>0.6695</cdr:y>
    </cdr:from>
    <cdr:to>
      <cdr:x>0.21825</cdr:x>
      <cdr:y>0.71775</cdr:y>
    </cdr:to>
    <cdr:sp macro="" textlink="">
      <cdr:nvSpPr>
        <cdr:cNvPr id="2060" name="Text Box 12">
          <a:extLst xmlns:a="http://schemas.openxmlformats.org/drawingml/2006/main">
            <a:ext uri="{FF2B5EF4-FFF2-40B4-BE49-F238E27FC236}">
              <a16:creationId xmlns:a16="http://schemas.microsoft.com/office/drawing/2014/main" id="{21DF4074-1CBE-13D9-1A48-FF7C21CDB0A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59037" y="3897615"/>
          <a:ext cx="610248" cy="2808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60 Days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workbookViewId="0">
      <selection activeCell="B3" sqref="B3"/>
    </sheetView>
  </sheetViews>
  <sheetFormatPr defaultColWidth="9.109375" defaultRowHeight="13.2" x14ac:dyDescent="0.25"/>
  <cols>
    <col min="1" max="1" width="31.6640625" style="5" customWidth="1"/>
    <col min="2" max="2" width="10.88671875" style="5" customWidth="1"/>
    <col min="3" max="3" width="3.33203125" style="14" customWidth="1"/>
    <col min="4" max="4" width="14.6640625" style="5" customWidth="1"/>
    <col min="5" max="5" width="12.44140625" style="5" customWidth="1"/>
    <col min="6" max="6" width="12" style="5" customWidth="1"/>
    <col min="7" max="7" width="10.44140625" style="5" customWidth="1"/>
    <col min="8" max="8" width="4.5546875" style="6" customWidth="1"/>
    <col min="9" max="9" width="10.5546875" style="5" customWidth="1"/>
    <col min="10" max="10" width="11.33203125" style="5" customWidth="1"/>
    <col min="11" max="16384" width="9.109375" style="5"/>
  </cols>
  <sheetData>
    <row r="1" spans="1:8" s="14" customFormat="1" ht="17.399999999999999" x14ac:dyDescent="0.3">
      <c r="A1" s="140" t="s">
        <v>121</v>
      </c>
      <c r="B1" s="141"/>
      <c r="C1" s="16"/>
      <c r="D1" s="9"/>
      <c r="E1" s="10"/>
      <c r="F1" s="165" t="s">
        <v>122</v>
      </c>
      <c r="G1" s="11"/>
      <c r="H1" s="166"/>
    </row>
    <row r="2" spans="1:8" s="14" customFormat="1" x14ac:dyDescent="0.25">
      <c r="A2" s="7"/>
      <c r="B2" s="8"/>
      <c r="C2" s="16"/>
      <c r="D2" s="9"/>
      <c r="E2" s="10"/>
      <c r="F2" s="10"/>
      <c r="G2" s="11"/>
      <c r="H2" s="15"/>
    </row>
    <row r="3" spans="1:8" s="14" customFormat="1" x14ac:dyDescent="0.25">
      <c r="A3" s="12" t="s">
        <v>31</v>
      </c>
      <c r="B3" s="97">
        <v>1000000</v>
      </c>
      <c r="C3" s="16"/>
      <c r="D3" s="9"/>
      <c r="E3" s="10"/>
      <c r="F3" s="10"/>
      <c r="G3" s="11"/>
      <c r="H3" s="15"/>
    </row>
    <row r="4" spans="1:8" s="14" customFormat="1" x14ac:dyDescent="0.25">
      <c r="A4" s="12" t="s">
        <v>22</v>
      </c>
      <c r="B4" s="98">
        <v>120</v>
      </c>
      <c r="H4" s="17"/>
    </row>
    <row r="5" spans="1:8" s="14" customFormat="1" x14ac:dyDescent="0.25">
      <c r="A5" s="13" t="s">
        <v>23</v>
      </c>
      <c r="B5" s="98">
        <v>120</v>
      </c>
      <c r="D5" s="17"/>
      <c r="E5" s="162"/>
      <c r="F5" s="17"/>
      <c r="G5" s="18"/>
      <c r="H5" s="18"/>
    </row>
    <row r="6" spans="1:8" s="14" customFormat="1" x14ac:dyDescent="0.25">
      <c r="A6" s="12" t="s">
        <v>24</v>
      </c>
      <c r="B6" s="164">
        <f>B4/B5</f>
        <v>1</v>
      </c>
      <c r="D6" s="20" t="s">
        <v>26</v>
      </c>
      <c r="E6" s="20" t="s">
        <v>27</v>
      </c>
      <c r="F6" s="20" t="s">
        <v>28</v>
      </c>
      <c r="G6" s="20"/>
      <c r="H6" s="20"/>
    </row>
    <row r="7" spans="1:8" s="14" customFormat="1" x14ac:dyDescent="0.25">
      <c r="A7" s="13" t="s">
        <v>25</v>
      </c>
      <c r="B7" s="16">
        <f>365/(B4+B5)</f>
        <v>1.5208333333333333</v>
      </c>
      <c r="D7" s="163" t="s">
        <v>29</v>
      </c>
      <c r="E7" s="163" t="s">
        <v>57</v>
      </c>
      <c r="F7" s="163" t="s">
        <v>30</v>
      </c>
      <c r="G7" s="20"/>
      <c r="H7" s="20"/>
    </row>
    <row r="8" spans="1:8" s="14" customFormat="1" x14ac:dyDescent="0.25">
      <c r="H8" s="17"/>
    </row>
    <row r="9" spans="1:8" s="14" customFormat="1" x14ac:dyDescent="0.25">
      <c r="A9" s="12" t="s">
        <v>31</v>
      </c>
      <c r="D9" s="161">
        <f>B3</f>
        <v>1000000</v>
      </c>
      <c r="E9" s="24">
        <v>3.7499999999999999E-2</v>
      </c>
      <c r="F9" s="25">
        <f>D9*E9*12</f>
        <v>450000</v>
      </c>
      <c r="G9" s="25">
        <f>+F9/12</f>
        <v>37500</v>
      </c>
      <c r="H9" s="26"/>
    </row>
    <row r="10" spans="1:8" s="14" customFormat="1" x14ac:dyDescent="0.25">
      <c r="E10" s="24"/>
      <c r="H10" s="17"/>
    </row>
    <row r="11" spans="1:8" s="14" customFormat="1" x14ac:dyDescent="0.25">
      <c r="A11" s="12" t="s">
        <v>32</v>
      </c>
      <c r="D11" s="27">
        <f>D9/B4*7/6</f>
        <v>9722.2222222222226</v>
      </c>
      <c r="E11" s="24">
        <v>2.0175000000000001</v>
      </c>
      <c r="F11" s="25">
        <f>D11*E11*12</f>
        <v>235375.00000000003</v>
      </c>
      <c r="G11" s="25">
        <f>+F11/12</f>
        <v>19614.583333333336</v>
      </c>
      <c r="H11" s="26"/>
    </row>
    <row r="12" spans="1:8" s="14" customFormat="1" x14ac:dyDescent="0.25">
      <c r="E12" s="24"/>
      <c r="H12" s="17"/>
    </row>
    <row r="13" spans="1:8" s="14" customFormat="1" x14ac:dyDescent="0.25">
      <c r="A13" s="12" t="s">
        <v>33</v>
      </c>
      <c r="D13" s="28">
        <f>D9/B5*7/6</f>
        <v>9722.2222222222226</v>
      </c>
      <c r="E13" s="24">
        <v>2.8988</v>
      </c>
      <c r="F13" s="26">
        <f>D13*E13*12</f>
        <v>338193.33333333337</v>
      </c>
      <c r="G13" s="26">
        <f>+F13/12</f>
        <v>28182.777777777781</v>
      </c>
      <c r="H13" s="26"/>
    </row>
    <row r="14" spans="1:8" s="14" customFormat="1" x14ac:dyDescent="0.25">
      <c r="A14" s="12"/>
      <c r="D14" s="28"/>
      <c r="E14" s="24"/>
      <c r="F14" s="26"/>
      <c r="G14" s="26"/>
      <c r="H14" s="26"/>
    </row>
    <row r="15" spans="1:8" s="14" customFormat="1" ht="16.2" thickBot="1" x14ac:dyDescent="0.35">
      <c r="A15" s="12" t="s">
        <v>34</v>
      </c>
      <c r="C15" s="182" t="s">
        <v>120</v>
      </c>
      <c r="F15" s="29">
        <f>SUM(F9:F13)</f>
        <v>1023568.3333333334</v>
      </c>
      <c r="G15" s="159">
        <f>F15/D9</f>
        <v>1.0235683333333334</v>
      </c>
    </row>
    <row r="16" spans="1:8" s="14" customFormat="1" ht="13.8" thickTop="1" x14ac:dyDescent="0.25">
      <c r="D16" s="12"/>
      <c r="F16" s="25">
        <f>+F15/12</f>
        <v>85297.361111111109</v>
      </c>
      <c r="G16" s="14" t="s">
        <v>35</v>
      </c>
      <c r="H16" s="17"/>
    </row>
    <row r="17" spans="1:8" s="14" customFormat="1" x14ac:dyDescent="0.25">
      <c r="D17" s="12"/>
      <c r="F17" s="30">
        <f>+F15/12/(D9/1000)</f>
        <v>85.297361111111115</v>
      </c>
      <c r="G17" s="12" t="s">
        <v>36</v>
      </c>
      <c r="H17" s="31"/>
    </row>
    <row r="18" spans="1:8" x14ac:dyDescent="0.25">
      <c r="A18" s="14"/>
      <c r="B18" s="14"/>
      <c r="D18" s="32" t="s">
        <v>37</v>
      </c>
      <c r="E18" s="14"/>
      <c r="F18" s="14"/>
      <c r="G18" s="14"/>
      <c r="H18" s="17"/>
    </row>
    <row r="19" spans="1:8" x14ac:dyDescent="0.25">
      <c r="A19" s="14"/>
      <c r="B19" s="14"/>
      <c r="D19" s="14"/>
      <c r="E19" s="14"/>
      <c r="F19" s="14"/>
      <c r="G19" s="14"/>
      <c r="H19" s="17"/>
    </row>
    <row r="20" spans="1:8" x14ac:dyDescent="0.25">
      <c r="A20" s="14"/>
      <c r="B20" s="33" t="s">
        <v>38</v>
      </c>
      <c r="C20" s="33"/>
      <c r="D20" s="28">
        <f>D9*B7</f>
        <v>1520833.3333333333</v>
      </c>
      <c r="E20" s="34">
        <v>0.15</v>
      </c>
      <c r="F20" s="26">
        <f>D20*E20</f>
        <v>228124.99999999997</v>
      </c>
      <c r="G20" s="26"/>
      <c r="H20" s="26"/>
    </row>
    <row r="21" spans="1:8" x14ac:dyDescent="0.25">
      <c r="A21" s="14"/>
      <c r="B21" s="14"/>
      <c r="D21" s="14"/>
      <c r="E21" s="14"/>
      <c r="F21" s="14"/>
      <c r="G21" s="14"/>
      <c r="H21" s="17"/>
    </row>
    <row r="22" spans="1:8" x14ac:dyDescent="0.25">
      <c r="A22" s="14"/>
      <c r="B22" s="14"/>
      <c r="D22" s="14"/>
      <c r="E22" s="33" t="s">
        <v>39</v>
      </c>
      <c r="F22" s="35">
        <f>+F15+F20</f>
        <v>1251693.3333333333</v>
      </c>
      <c r="G22" s="36"/>
      <c r="H22" s="37"/>
    </row>
    <row r="23" spans="1:8" x14ac:dyDescent="0.25">
      <c r="A23" s="14"/>
      <c r="B23" s="14"/>
      <c r="D23" s="14"/>
      <c r="E23" s="14"/>
      <c r="F23" s="14"/>
      <c r="G23" s="14"/>
      <c r="H23" s="17"/>
    </row>
    <row r="24" spans="1:8" ht="13.8" thickBot="1" x14ac:dyDescent="0.3">
      <c r="A24" s="14"/>
      <c r="B24" s="14"/>
      <c r="D24" s="14"/>
      <c r="E24" s="33" t="s">
        <v>40</v>
      </c>
      <c r="F24" s="160">
        <f>F22/D20</f>
        <v>0.82303123287671232</v>
      </c>
      <c r="G24" s="38"/>
      <c r="H24" s="38"/>
    </row>
    <row r="25" spans="1:8" ht="13.8" thickTop="1" x14ac:dyDescent="0.25">
      <c r="A25" s="14"/>
      <c r="B25" s="14"/>
      <c r="D25" s="14"/>
      <c r="E25" s="14"/>
      <c r="F25" s="14"/>
      <c r="G25" s="14"/>
      <c r="H25" s="17"/>
    </row>
    <row r="26" spans="1:8" x14ac:dyDescent="0.25">
      <c r="A26" s="14"/>
      <c r="B26" s="14"/>
      <c r="D26" s="14"/>
      <c r="E26" s="14"/>
      <c r="F26" s="14"/>
      <c r="G26" s="14"/>
      <c r="H26" s="17"/>
    </row>
  </sheetData>
  <phoneticPr fontId="18" type="noConversion"/>
  <pageMargins left="0.75" right="0.75" top="1" bottom="1" header="0.5" footer="0.5"/>
  <pageSetup orientation="landscape" r:id="rId1"/>
  <headerFooter alignWithMargins="0">
    <oddFooter>&amp;LPrinted:&amp;D&amp;RFile:&amp;F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6"/>
  <sheetViews>
    <sheetView workbookViewId="0">
      <selection activeCell="P1" sqref="P1"/>
    </sheetView>
  </sheetViews>
  <sheetFormatPr defaultRowHeight="13.2" x14ac:dyDescent="0.25"/>
  <cols>
    <col min="1" max="1" width="12.6640625" customWidth="1"/>
    <col min="2" max="2" width="5" customWidth="1"/>
    <col min="3" max="3" width="10.6640625" customWidth="1"/>
    <col min="4" max="4" width="5.6640625" customWidth="1"/>
    <col min="5" max="5" width="11.33203125" customWidth="1"/>
    <col min="6" max="6" width="5.44140625" customWidth="1"/>
    <col min="7" max="7" width="11.44140625" customWidth="1"/>
    <col min="8" max="8" width="4.88671875" customWidth="1"/>
    <col min="9" max="9" width="11.109375" customWidth="1"/>
    <col min="10" max="10" width="4.5546875" customWidth="1"/>
    <col min="11" max="11" width="11.5546875" customWidth="1"/>
    <col min="12" max="12" width="4.88671875" customWidth="1"/>
    <col min="13" max="13" width="10.6640625" customWidth="1"/>
    <col min="14" max="14" width="11.44140625" style="64" bestFit="1" customWidth="1"/>
    <col min="15" max="15" width="9.44140625" style="64" bestFit="1" customWidth="1"/>
  </cols>
  <sheetData>
    <row r="1" spans="1:15" s="41" customFormat="1" ht="17.399999999999999" x14ac:dyDescent="0.3">
      <c r="A1" s="140" t="s">
        <v>121</v>
      </c>
      <c r="B1" s="75"/>
      <c r="C1" s="75"/>
      <c r="D1" s="76"/>
      <c r="E1" s="75"/>
      <c r="F1" s="75"/>
      <c r="G1" s="75"/>
      <c r="H1" s="75"/>
      <c r="I1" s="75"/>
      <c r="N1" s="63"/>
      <c r="O1" s="63"/>
    </row>
    <row r="2" spans="1:15" x14ac:dyDescent="0.25">
      <c r="A2" s="39"/>
      <c r="B2" s="39"/>
      <c r="C2" s="39"/>
      <c r="D2" s="39"/>
      <c r="E2" s="77"/>
      <c r="F2" s="78"/>
      <c r="G2" s="77"/>
      <c r="H2" s="78"/>
      <c r="I2" s="39"/>
    </row>
    <row r="3" spans="1:15" ht="17.399999999999999" x14ac:dyDescent="0.3">
      <c r="A3" s="43" t="s">
        <v>0</v>
      </c>
      <c r="B3" s="39"/>
      <c r="C3" s="39"/>
      <c r="D3" s="39"/>
      <c r="E3" s="77"/>
      <c r="F3" s="78"/>
      <c r="G3" s="77"/>
      <c r="H3" s="78"/>
      <c r="I3" s="39"/>
    </row>
    <row r="4" spans="1:15" x14ac:dyDescent="0.25">
      <c r="A4" s="39"/>
      <c r="B4" s="39"/>
      <c r="C4" s="79"/>
      <c r="D4" s="39"/>
      <c r="E4" s="39"/>
      <c r="F4" s="39"/>
      <c r="G4" s="39"/>
      <c r="H4" s="39"/>
      <c r="I4" s="39"/>
    </row>
    <row r="5" spans="1:15" s="54" customFormat="1" x14ac:dyDescent="0.25">
      <c r="A5" s="80" t="s">
        <v>1</v>
      </c>
      <c r="B5" s="81"/>
      <c r="C5" s="82" t="s">
        <v>2</v>
      </c>
      <c r="D5" s="82"/>
      <c r="E5" s="82" t="s">
        <v>3</v>
      </c>
      <c r="F5" s="82"/>
      <c r="G5" s="81" t="s">
        <v>47</v>
      </c>
      <c r="H5" s="81"/>
      <c r="I5" s="83" t="s">
        <v>48</v>
      </c>
      <c r="N5" s="49"/>
      <c r="O5" s="49"/>
    </row>
    <row r="6" spans="1:15" s="54" customFormat="1" x14ac:dyDescent="0.25">
      <c r="A6" s="19" t="s">
        <v>6</v>
      </c>
      <c r="B6" s="31"/>
      <c r="C6" s="20" t="s">
        <v>7</v>
      </c>
      <c r="D6" s="20"/>
      <c r="E6" s="20" t="s">
        <v>8</v>
      </c>
      <c r="F6" s="20"/>
      <c r="G6" s="31" t="s">
        <v>46</v>
      </c>
      <c r="H6" s="31"/>
      <c r="I6" s="21" t="s">
        <v>46</v>
      </c>
      <c r="N6" s="49"/>
      <c r="O6" s="49"/>
    </row>
    <row r="7" spans="1:15" s="54" customFormat="1" x14ac:dyDescent="0.25">
      <c r="A7" s="19" t="s">
        <v>10</v>
      </c>
      <c r="B7" s="31"/>
      <c r="C7" s="20"/>
      <c r="D7" s="20"/>
      <c r="E7" s="20"/>
      <c r="F7" s="20"/>
      <c r="G7" s="20" t="s">
        <v>41</v>
      </c>
      <c r="H7" s="31"/>
      <c r="I7" s="21" t="s">
        <v>41</v>
      </c>
      <c r="N7" s="49"/>
      <c r="O7" s="49"/>
    </row>
    <row r="8" spans="1:15" s="54" customFormat="1" x14ac:dyDescent="0.25">
      <c r="A8" s="84" t="s">
        <v>12</v>
      </c>
      <c r="B8" s="85"/>
      <c r="C8" s="22" t="s">
        <v>13</v>
      </c>
      <c r="D8" s="22"/>
      <c r="E8" s="22"/>
      <c r="F8" s="22"/>
      <c r="G8" s="22" t="s">
        <v>42</v>
      </c>
      <c r="H8" s="85"/>
      <c r="I8" s="23" t="s">
        <v>42</v>
      </c>
      <c r="N8" s="49"/>
      <c r="O8" s="49"/>
    </row>
    <row r="9" spans="1:15" s="1" customFormat="1" x14ac:dyDescent="0.25">
      <c r="A9" s="86">
        <f>'Input Sheet'!B3</f>
        <v>1000000</v>
      </c>
      <c r="B9" s="85"/>
      <c r="C9" s="87">
        <f>'Input Sheet'!B4</f>
        <v>120</v>
      </c>
      <c r="D9" s="22"/>
      <c r="E9" s="88">
        <f>'Input Sheet'!B6</f>
        <v>1</v>
      </c>
      <c r="F9" s="22"/>
      <c r="G9" s="89">
        <f>365/(N38+O38)</f>
        <v>1.5484300258964958</v>
      </c>
      <c r="H9" s="90"/>
      <c r="I9" s="91">
        <f>365/(N60+O60)</f>
        <v>1.4961159885146791</v>
      </c>
      <c r="N9" s="2"/>
      <c r="O9" s="2"/>
    </row>
    <row r="10" spans="1:15" x14ac:dyDescent="0.25">
      <c r="A10" s="92"/>
      <c r="B10" s="40"/>
      <c r="C10" s="93"/>
      <c r="D10" s="93"/>
      <c r="E10" s="170"/>
      <c r="F10" s="93"/>
      <c r="G10" s="92"/>
      <c r="H10" s="93"/>
      <c r="I10" s="92"/>
      <c r="J10" s="2"/>
      <c r="K10" s="3"/>
      <c r="L10" s="2"/>
      <c r="M10" s="3"/>
    </row>
    <row r="11" spans="1:15" ht="17.399999999999999" x14ac:dyDescent="0.3">
      <c r="A11" s="43" t="s">
        <v>20</v>
      </c>
      <c r="B11" s="39"/>
      <c r="C11" s="39"/>
      <c r="D11" s="44"/>
      <c r="E11" s="39"/>
      <c r="F11" s="39"/>
      <c r="G11" s="39"/>
      <c r="H11" s="39"/>
      <c r="I11" s="39"/>
    </row>
    <row r="12" spans="1:15" s="39" customFormat="1" ht="17.399999999999999" x14ac:dyDescent="0.3">
      <c r="A12" s="43"/>
      <c r="D12" s="44"/>
      <c r="N12" s="65"/>
      <c r="O12" s="65"/>
    </row>
    <row r="13" spans="1:15" s="42" customFormat="1" x14ac:dyDescent="0.25">
      <c r="A13" s="82" t="s">
        <v>4</v>
      </c>
      <c r="B13" s="82"/>
      <c r="C13" s="82" t="s">
        <v>5</v>
      </c>
      <c r="D13" s="82"/>
      <c r="E13" s="82" t="s">
        <v>4</v>
      </c>
      <c r="F13" s="82"/>
      <c r="G13" s="83" t="s">
        <v>5</v>
      </c>
      <c r="H13" s="12"/>
      <c r="I13" s="12"/>
      <c r="N13" s="62"/>
      <c r="O13" s="62"/>
    </row>
    <row r="14" spans="1:15" s="42" customFormat="1" x14ac:dyDescent="0.25">
      <c r="A14" s="49" t="s">
        <v>9</v>
      </c>
      <c r="B14" s="49"/>
      <c r="C14" s="49" t="s">
        <v>9</v>
      </c>
      <c r="D14" s="49"/>
      <c r="E14" s="49" t="s">
        <v>3</v>
      </c>
      <c r="F14" s="49"/>
      <c r="G14" s="50" t="s">
        <v>3</v>
      </c>
      <c r="N14" s="62"/>
      <c r="O14" s="62"/>
    </row>
    <row r="15" spans="1:15" s="42" customFormat="1" x14ac:dyDescent="0.25">
      <c r="A15" s="49" t="s">
        <v>11</v>
      </c>
      <c r="B15" s="49"/>
      <c r="C15" s="49" t="s">
        <v>11</v>
      </c>
      <c r="D15" s="49"/>
      <c r="E15" s="49" t="s">
        <v>11</v>
      </c>
      <c r="F15" s="49"/>
      <c r="G15" s="50" t="s">
        <v>11</v>
      </c>
      <c r="N15" s="62"/>
      <c r="O15" s="62"/>
    </row>
    <row r="16" spans="1:15" s="42" customFormat="1" x14ac:dyDescent="0.25">
      <c r="A16" s="52" t="s">
        <v>14</v>
      </c>
      <c r="B16" s="52"/>
      <c r="C16" s="52" t="s">
        <v>14</v>
      </c>
      <c r="D16" s="52"/>
      <c r="E16" s="52" t="s">
        <v>14</v>
      </c>
      <c r="F16" s="52"/>
      <c r="G16" s="53" t="s">
        <v>14</v>
      </c>
      <c r="N16" s="62"/>
      <c r="O16" s="62"/>
    </row>
    <row r="17" spans="1:15" x14ac:dyDescent="0.25">
      <c r="A17" s="171">
        <f>A9/C9*7/6</f>
        <v>9722.2222222222226</v>
      </c>
      <c r="B17" s="171"/>
      <c r="C17" s="171">
        <f>A17/2</f>
        <v>4861.1111111111113</v>
      </c>
      <c r="D17" s="171"/>
      <c r="E17" s="171">
        <f>A17*E9</f>
        <v>9722.2222222222226</v>
      </c>
      <c r="F17" s="171"/>
      <c r="G17" s="172">
        <f>C17*E9</f>
        <v>4861.1111111111113</v>
      </c>
    </row>
    <row r="18" spans="1:15" x14ac:dyDescent="0.25">
      <c r="A18" s="4"/>
      <c r="B18" s="4"/>
      <c r="C18" s="4"/>
      <c r="D18" s="4"/>
      <c r="E18" s="4"/>
      <c r="F18" s="4"/>
      <c r="G18" s="4"/>
    </row>
    <row r="19" spans="1:15" s="42" customFormat="1" x14ac:dyDescent="0.25">
      <c r="A19" s="42" t="s">
        <v>18</v>
      </c>
      <c r="G19" s="42" t="s">
        <v>19</v>
      </c>
      <c r="N19" s="62"/>
      <c r="O19" s="62"/>
    </row>
    <row r="20" spans="1:15" s="42" customFormat="1" x14ac:dyDescent="0.25">
      <c r="A20" s="45"/>
      <c r="B20" s="46"/>
      <c r="C20" s="46" t="s">
        <v>4</v>
      </c>
      <c r="D20" s="46"/>
      <c r="E20" s="47" t="s">
        <v>4</v>
      </c>
      <c r="F20" s="45"/>
      <c r="G20" s="46"/>
      <c r="H20" s="46"/>
      <c r="I20" s="46" t="s">
        <v>4</v>
      </c>
      <c r="J20" s="46"/>
      <c r="K20" s="47" t="s">
        <v>4</v>
      </c>
      <c r="N20" s="67" t="s">
        <v>43</v>
      </c>
      <c r="O20" s="47" t="s">
        <v>45</v>
      </c>
    </row>
    <row r="21" spans="1:15" s="42" customFormat="1" x14ac:dyDescent="0.25">
      <c r="A21" s="48"/>
      <c r="B21" s="49"/>
      <c r="C21" s="49" t="s">
        <v>9</v>
      </c>
      <c r="D21" s="49"/>
      <c r="E21" s="50" t="s">
        <v>3</v>
      </c>
      <c r="F21" s="48"/>
      <c r="G21" s="49"/>
      <c r="H21" s="49"/>
      <c r="I21" s="49" t="s">
        <v>9</v>
      </c>
      <c r="J21" s="49"/>
      <c r="K21" s="50" t="s">
        <v>3</v>
      </c>
      <c r="N21" s="48" t="s">
        <v>44</v>
      </c>
      <c r="O21" s="50" t="s">
        <v>44</v>
      </c>
    </row>
    <row r="22" spans="1:15" s="42" customFormat="1" x14ac:dyDescent="0.25">
      <c r="A22" s="48" t="s">
        <v>15</v>
      </c>
      <c r="B22" s="49"/>
      <c r="C22" s="49" t="s">
        <v>11</v>
      </c>
      <c r="D22" s="49"/>
      <c r="E22" s="50" t="s">
        <v>11</v>
      </c>
      <c r="F22" s="48"/>
      <c r="G22" s="49" t="s">
        <v>15</v>
      </c>
      <c r="H22" s="49"/>
      <c r="I22" s="49" t="s">
        <v>11</v>
      </c>
      <c r="J22" s="49"/>
      <c r="K22" s="50" t="s">
        <v>11</v>
      </c>
      <c r="N22" s="48"/>
      <c r="O22" s="50"/>
    </row>
    <row r="23" spans="1:15" s="42" customFormat="1" x14ac:dyDescent="0.25">
      <c r="A23" s="51" t="s">
        <v>12</v>
      </c>
      <c r="B23" s="52"/>
      <c r="C23" s="52" t="s">
        <v>14</v>
      </c>
      <c r="D23" s="52"/>
      <c r="E23" s="53" t="s">
        <v>14</v>
      </c>
      <c r="F23" s="51"/>
      <c r="G23" s="52" t="s">
        <v>16</v>
      </c>
      <c r="H23" s="52"/>
      <c r="I23" s="52" t="s">
        <v>17</v>
      </c>
      <c r="J23" s="52"/>
      <c r="K23" s="53" t="s">
        <v>17</v>
      </c>
      <c r="N23" s="48"/>
      <c r="O23" s="50"/>
    </row>
    <row r="24" spans="1:15" x14ac:dyDescent="0.25">
      <c r="A24" s="173">
        <v>0</v>
      </c>
      <c r="B24" s="174"/>
      <c r="C24" s="174">
        <f>IF($C$17+(A24/($C$9*6/7))&lt;$A$17,($C$17+(A24/($C$9*6/7))),$A$17)</f>
        <v>4861.1111111111113</v>
      </c>
      <c r="D24" s="174"/>
      <c r="E24" s="175">
        <f>IF($G$17+(($A$9-A24)/($C$9*6/7/$E$9))&lt;$E$17,$G$17+(($A$9-A24)/($C$9*6/7/$E$9)),$E$17)</f>
        <v>9722.2222222222226</v>
      </c>
      <c r="F24" s="173"/>
      <c r="G24" s="174">
        <f t="shared" ref="G24:G37" si="0">A24/38*35.494</f>
        <v>0</v>
      </c>
      <c r="H24" s="174"/>
      <c r="I24" s="174">
        <f t="shared" ref="I24:I37" si="1">C24/38*35.494</f>
        <v>4540.5336257309946</v>
      </c>
      <c r="J24" s="174"/>
      <c r="K24" s="175">
        <f t="shared" ref="K24:K37" si="2">E24/38*35.494</f>
        <v>9081.0672514619891</v>
      </c>
      <c r="N24" s="68">
        <f>(A25-A24)/C25</f>
        <v>17.142857142857142</v>
      </c>
      <c r="O24" s="69">
        <f>(A25-A24)/E24</f>
        <v>10.285714285714285</v>
      </c>
    </row>
    <row r="25" spans="1:15" x14ac:dyDescent="0.25">
      <c r="A25" s="173">
        <f>$A$37*0.1</f>
        <v>100000</v>
      </c>
      <c r="B25" s="174"/>
      <c r="C25" s="174">
        <f t="shared" ref="C25:C37" si="3">IF($C$17+(A25/($C$9*6/7))&lt;$A$17,($C$17+(A25/($C$9*6/7))),$A$17)</f>
        <v>5833.3333333333339</v>
      </c>
      <c r="D25" s="174"/>
      <c r="E25" s="175">
        <f t="shared" ref="E25:E37" si="4">IF($G$17+(($A$9-A25)/($C$9*6/7/$E$9))&lt;$E$17,$G$17+(($A$9-A25)/($C$9*6/7/$E$9)),$E$17)</f>
        <v>9722.2222222222226</v>
      </c>
      <c r="F25" s="173"/>
      <c r="G25" s="174">
        <f t="shared" si="0"/>
        <v>93405.263157894748</v>
      </c>
      <c r="H25" s="174"/>
      <c r="I25" s="174">
        <f t="shared" si="1"/>
        <v>5448.6403508771937</v>
      </c>
      <c r="J25" s="174"/>
      <c r="K25" s="175">
        <f t="shared" si="2"/>
        <v>9081.0672514619891</v>
      </c>
      <c r="N25" s="68">
        <f t="shared" ref="N25:N36" si="5">(A26-A25)/C26</f>
        <v>14.567749846719803</v>
      </c>
      <c r="O25" s="69">
        <f t="shared" ref="O25:O36" si="6">(A26-A25)/E25</f>
        <v>10.182857142857143</v>
      </c>
    </row>
    <row r="26" spans="1:15" x14ac:dyDescent="0.25">
      <c r="A26" s="173">
        <f>$A$37*0.199</f>
        <v>199000</v>
      </c>
      <c r="B26" s="174"/>
      <c r="C26" s="174">
        <f t="shared" si="3"/>
        <v>6795.8333333333339</v>
      </c>
      <c r="D26" s="174"/>
      <c r="E26" s="175">
        <f t="shared" si="4"/>
        <v>9722.2222222222226</v>
      </c>
      <c r="F26" s="173"/>
      <c r="G26" s="174">
        <f>A26/38*35.494</f>
        <v>185876.4736842105</v>
      </c>
      <c r="H26" s="174"/>
      <c r="I26" s="174">
        <f>C26/38*35.494</f>
        <v>6347.6660087719301</v>
      </c>
      <c r="J26" s="174"/>
      <c r="K26" s="175">
        <f>E26/38*35.494</f>
        <v>9081.0672514619891</v>
      </c>
      <c r="N26" s="68">
        <f t="shared" si="5"/>
        <v>0.14693877551020407</v>
      </c>
      <c r="O26" s="69">
        <f t="shared" si="6"/>
        <v>0.10285714285714286</v>
      </c>
    </row>
    <row r="27" spans="1:15" x14ac:dyDescent="0.25">
      <c r="A27" s="173">
        <f>$A$37*0.2</f>
        <v>200000</v>
      </c>
      <c r="B27" s="174"/>
      <c r="C27" s="174">
        <f t="shared" si="3"/>
        <v>6805.5555555555557</v>
      </c>
      <c r="D27" s="174"/>
      <c r="E27" s="175">
        <f t="shared" si="4"/>
        <v>9722.2222222222226</v>
      </c>
      <c r="F27" s="173"/>
      <c r="G27" s="174">
        <f t="shared" si="0"/>
        <v>186810.5263157895</v>
      </c>
      <c r="H27" s="174"/>
      <c r="I27" s="174">
        <f t="shared" si="1"/>
        <v>6356.7470760233919</v>
      </c>
      <c r="J27" s="174"/>
      <c r="K27" s="175">
        <f t="shared" si="2"/>
        <v>9081.0672514619891</v>
      </c>
      <c r="N27" s="68">
        <f t="shared" si="5"/>
        <v>12.857142857142858</v>
      </c>
      <c r="O27" s="69">
        <f t="shared" si="6"/>
        <v>10.285714285714285</v>
      </c>
    </row>
    <row r="28" spans="1:15" x14ac:dyDescent="0.25">
      <c r="A28" s="173">
        <f>$A$37*0.3</f>
        <v>300000</v>
      </c>
      <c r="B28" s="174"/>
      <c r="C28" s="174">
        <f t="shared" si="3"/>
        <v>7777.7777777777774</v>
      </c>
      <c r="D28" s="174"/>
      <c r="E28" s="175">
        <f t="shared" si="4"/>
        <v>9722.2222222222226</v>
      </c>
      <c r="F28" s="173"/>
      <c r="G28" s="174">
        <f t="shared" si="0"/>
        <v>280215.78947368421</v>
      </c>
      <c r="H28" s="174"/>
      <c r="I28" s="174">
        <f t="shared" si="1"/>
        <v>7264.85380116959</v>
      </c>
      <c r="J28" s="174"/>
      <c r="K28" s="175">
        <f t="shared" si="2"/>
        <v>9081.0672514619891</v>
      </c>
      <c r="N28" s="68">
        <f t="shared" si="5"/>
        <v>11.428571428571429</v>
      </c>
      <c r="O28" s="69">
        <f t="shared" si="6"/>
        <v>10.285714285714285</v>
      </c>
    </row>
    <row r="29" spans="1:15" x14ac:dyDescent="0.25">
      <c r="A29" s="173">
        <f>$A$37*0.4</f>
        <v>400000</v>
      </c>
      <c r="B29" s="174"/>
      <c r="C29" s="174">
        <f t="shared" si="3"/>
        <v>8750</v>
      </c>
      <c r="D29" s="174"/>
      <c r="E29" s="175">
        <f t="shared" si="4"/>
        <v>9722.2222222222226</v>
      </c>
      <c r="F29" s="173"/>
      <c r="G29" s="174">
        <f t="shared" si="0"/>
        <v>373621.05263157899</v>
      </c>
      <c r="H29" s="174"/>
      <c r="I29" s="174">
        <f t="shared" si="1"/>
        <v>8172.96052631579</v>
      </c>
      <c r="J29" s="174"/>
      <c r="K29" s="175">
        <f t="shared" si="2"/>
        <v>9081.0672514619891</v>
      </c>
      <c r="N29" s="68">
        <f t="shared" si="5"/>
        <v>10.193050193050192</v>
      </c>
      <c r="O29" s="69">
        <f t="shared" si="6"/>
        <v>10.182857142857143</v>
      </c>
    </row>
    <row r="30" spans="1:15" x14ac:dyDescent="0.25">
      <c r="A30" s="173">
        <f>$A$37*0.499</f>
        <v>499000</v>
      </c>
      <c r="B30" s="174"/>
      <c r="C30" s="174">
        <f t="shared" si="3"/>
        <v>9712.5</v>
      </c>
      <c r="D30" s="174"/>
      <c r="E30" s="175">
        <f t="shared" si="4"/>
        <v>9722.2222222222226</v>
      </c>
      <c r="F30" s="173"/>
      <c r="G30" s="174">
        <f>A30/38*35.494</f>
        <v>466092.26315789478</v>
      </c>
      <c r="H30" s="174"/>
      <c r="I30" s="174">
        <f>C30/38*35.494</f>
        <v>9071.9861842105256</v>
      </c>
      <c r="J30" s="174"/>
      <c r="K30" s="175">
        <f>E30/38*35.494</f>
        <v>9081.0672514619891</v>
      </c>
      <c r="N30" s="68">
        <f t="shared" si="5"/>
        <v>0.10285714285714286</v>
      </c>
      <c r="O30" s="69">
        <f t="shared" si="6"/>
        <v>0.10285714285714286</v>
      </c>
    </row>
    <row r="31" spans="1:15" x14ac:dyDescent="0.25">
      <c r="A31" s="173">
        <f>$A$37*0.5</f>
        <v>500000</v>
      </c>
      <c r="B31" s="174"/>
      <c r="C31" s="174">
        <f t="shared" si="3"/>
        <v>9722.2222222222226</v>
      </c>
      <c r="D31" s="174"/>
      <c r="E31" s="175">
        <f t="shared" si="4"/>
        <v>9722.2222222222226</v>
      </c>
      <c r="F31" s="173"/>
      <c r="G31" s="174">
        <f t="shared" si="0"/>
        <v>467026.31578947365</v>
      </c>
      <c r="H31" s="174"/>
      <c r="I31" s="174">
        <f t="shared" si="1"/>
        <v>9081.0672514619891</v>
      </c>
      <c r="J31" s="174"/>
      <c r="K31" s="175">
        <f t="shared" si="2"/>
        <v>9081.0672514619891</v>
      </c>
      <c r="N31" s="68">
        <f t="shared" si="5"/>
        <v>10.285714285714285</v>
      </c>
      <c r="O31" s="69">
        <f t="shared" si="6"/>
        <v>10.285714285714285</v>
      </c>
    </row>
    <row r="32" spans="1:15" x14ac:dyDescent="0.25">
      <c r="A32" s="173">
        <f>$A$37*0.6</f>
        <v>600000</v>
      </c>
      <c r="B32" s="174"/>
      <c r="C32" s="174">
        <f t="shared" si="3"/>
        <v>9722.2222222222226</v>
      </c>
      <c r="D32" s="174"/>
      <c r="E32" s="175">
        <f t="shared" si="4"/>
        <v>8750</v>
      </c>
      <c r="F32" s="173"/>
      <c r="G32" s="174">
        <f t="shared" si="0"/>
        <v>560431.57894736843</v>
      </c>
      <c r="H32" s="174"/>
      <c r="I32" s="174">
        <f t="shared" si="1"/>
        <v>9081.0672514619891</v>
      </c>
      <c r="J32" s="174"/>
      <c r="K32" s="175">
        <f t="shared" si="2"/>
        <v>8172.96052631579</v>
      </c>
      <c r="N32" s="68">
        <f t="shared" si="5"/>
        <v>10.285714285714285</v>
      </c>
      <c r="O32" s="69">
        <f t="shared" si="6"/>
        <v>11.428571428571429</v>
      </c>
    </row>
    <row r="33" spans="1:19" x14ac:dyDescent="0.25">
      <c r="A33" s="173">
        <f>$A$37*0.7</f>
        <v>700000</v>
      </c>
      <c r="B33" s="174"/>
      <c r="C33" s="174">
        <f t="shared" si="3"/>
        <v>9722.2222222222226</v>
      </c>
      <c r="D33" s="174"/>
      <c r="E33" s="175">
        <f t="shared" si="4"/>
        <v>7777.7777777777774</v>
      </c>
      <c r="F33" s="173"/>
      <c r="G33" s="174">
        <f t="shared" si="0"/>
        <v>653836.84210526315</v>
      </c>
      <c r="H33" s="174"/>
      <c r="I33" s="174">
        <f t="shared" si="1"/>
        <v>9081.0672514619891</v>
      </c>
      <c r="J33" s="174"/>
      <c r="K33" s="175">
        <f t="shared" si="2"/>
        <v>7264.85380116959</v>
      </c>
      <c r="N33" s="68">
        <f t="shared" si="5"/>
        <v>10.182857142857143</v>
      </c>
      <c r="O33" s="69">
        <f t="shared" si="6"/>
        <v>12.72857142857143</v>
      </c>
    </row>
    <row r="34" spans="1:19" x14ac:dyDescent="0.25">
      <c r="A34" s="173">
        <f>$A$37*0.799</f>
        <v>799000</v>
      </c>
      <c r="B34" s="174"/>
      <c r="C34" s="174">
        <f t="shared" si="3"/>
        <v>9722.2222222222226</v>
      </c>
      <c r="D34" s="174"/>
      <c r="E34" s="175">
        <f t="shared" si="4"/>
        <v>6815.2777777777774</v>
      </c>
      <c r="F34" s="173"/>
      <c r="G34" s="174">
        <f>A34/38*35.494</f>
        <v>746308.05263157887</v>
      </c>
      <c r="H34" s="174"/>
      <c r="I34" s="174">
        <f>C34/38*35.494</f>
        <v>9081.0672514619891</v>
      </c>
      <c r="J34" s="174"/>
      <c r="K34" s="175">
        <f>E34/38*35.494</f>
        <v>6365.8281432748536</v>
      </c>
      <c r="N34" s="68">
        <f t="shared" si="5"/>
        <v>0.10285714285714286</v>
      </c>
      <c r="O34" s="69">
        <f t="shared" si="6"/>
        <v>0.14672916242103118</v>
      </c>
    </row>
    <row r="35" spans="1:19" x14ac:dyDescent="0.25">
      <c r="A35" s="173">
        <f>$A$37*0.8</f>
        <v>800000</v>
      </c>
      <c r="B35" s="174"/>
      <c r="C35" s="174">
        <f t="shared" si="3"/>
        <v>9722.2222222222226</v>
      </c>
      <c r="D35" s="174"/>
      <c r="E35" s="175">
        <f t="shared" si="4"/>
        <v>6805.5555555555557</v>
      </c>
      <c r="F35" s="173"/>
      <c r="G35" s="174">
        <f t="shared" si="0"/>
        <v>747242.10526315798</v>
      </c>
      <c r="H35" s="174"/>
      <c r="I35" s="174">
        <f t="shared" si="1"/>
        <v>9081.0672514619891</v>
      </c>
      <c r="J35" s="174"/>
      <c r="K35" s="175">
        <f t="shared" si="2"/>
        <v>6356.7470760233919</v>
      </c>
      <c r="N35" s="68">
        <f t="shared" si="5"/>
        <v>10.285714285714285</v>
      </c>
      <c r="O35" s="69">
        <f t="shared" si="6"/>
        <v>14.693877551020408</v>
      </c>
    </row>
    <row r="36" spans="1:19" x14ac:dyDescent="0.25">
      <c r="A36" s="173">
        <f>$A$37*0.9</f>
        <v>900000</v>
      </c>
      <c r="B36" s="174"/>
      <c r="C36" s="174">
        <f t="shared" si="3"/>
        <v>9722.2222222222226</v>
      </c>
      <c r="D36" s="174"/>
      <c r="E36" s="175">
        <f t="shared" si="4"/>
        <v>5833.3333333333339</v>
      </c>
      <c r="F36" s="173"/>
      <c r="G36" s="174">
        <f t="shared" si="0"/>
        <v>840647.3684210527</v>
      </c>
      <c r="H36" s="174"/>
      <c r="I36" s="174">
        <f t="shared" si="1"/>
        <v>9081.0672514619891</v>
      </c>
      <c r="J36" s="174"/>
      <c r="K36" s="175">
        <f t="shared" si="2"/>
        <v>5448.6403508771937</v>
      </c>
      <c r="N36" s="68">
        <f t="shared" si="5"/>
        <v>10.285714285714285</v>
      </c>
      <c r="O36" s="69">
        <f t="shared" si="6"/>
        <v>17.142857142857142</v>
      </c>
    </row>
    <row r="37" spans="1:19" x14ac:dyDescent="0.25">
      <c r="A37" s="176">
        <f>$A$9</f>
        <v>1000000</v>
      </c>
      <c r="B37" s="171"/>
      <c r="C37" s="171">
        <f t="shared" si="3"/>
        <v>9722.2222222222226</v>
      </c>
      <c r="D37" s="171"/>
      <c r="E37" s="172">
        <f t="shared" si="4"/>
        <v>4861.1111111111113</v>
      </c>
      <c r="F37" s="176"/>
      <c r="G37" s="171">
        <f t="shared" si="0"/>
        <v>934052.6315789473</v>
      </c>
      <c r="H37" s="171"/>
      <c r="I37" s="171">
        <f t="shared" si="1"/>
        <v>9081.0672514619891</v>
      </c>
      <c r="J37" s="171"/>
      <c r="K37" s="172">
        <f t="shared" si="2"/>
        <v>4540.5336257309946</v>
      </c>
      <c r="N37" s="68"/>
      <c r="O37" s="69"/>
    </row>
    <row r="38" spans="1:19" x14ac:dyDescent="0.25">
      <c r="N38" s="70">
        <f>SUM(N24:N36)</f>
        <v>117.86773881528021</v>
      </c>
      <c r="O38" s="71">
        <f>SUM(O24:O37)</f>
        <v>117.85489242772714</v>
      </c>
    </row>
    <row r="39" spans="1:19" ht="17.399999999999999" x14ac:dyDescent="0.3">
      <c r="A39" s="95" t="s">
        <v>21</v>
      </c>
      <c r="B39" s="39"/>
      <c r="C39" s="39"/>
      <c r="N39" s="66"/>
    </row>
    <row r="40" spans="1:19" x14ac:dyDescent="0.25">
      <c r="N40" s="66"/>
    </row>
    <row r="41" spans="1:19" s="42" customFormat="1" x14ac:dyDescent="0.25">
      <c r="A41" s="42" t="s">
        <v>18</v>
      </c>
      <c r="G41" s="42" t="s">
        <v>19</v>
      </c>
      <c r="N41" s="61"/>
      <c r="O41" s="62"/>
    </row>
    <row r="42" spans="1:19" s="42" customFormat="1" x14ac:dyDescent="0.25">
      <c r="A42" s="45"/>
      <c r="B42" s="46"/>
      <c r="C42" s="46" t="s">
        <v>4</v>
      </c>
      <c r="D42" s="46"/>
      <c r="E42" s="47" t="s">
        <v>4</v>
      </c>
      <c r="F42" s="45"/>
      <c r="G42" s="46"/>
      <c r="H42" s="46"/>
      <c r="I42" s="46" t="s">
        <v>4</v>
      </c>
      <c r="J42" s="46"/>
      <c r="K42" s="47" t="s">
        <v>4</v>
      </c>
      <c r="N42" s="67" t="s">
        <v>43</v>
      </c>
      <c r="O42" s="47" t="s">
        <v>45</v>
      </c>
    </row>
    <row r="43" spans="1:19" s="42" customFormat="1" x14ac:dyDescent="0.25">
      <c r="A43" s="48"/>
      <c r="B43" s="49"/>
      <c r="C43" s="49" t="s">
        <v>9</v>
      </c>
      <c r="D43" s="49"/>
      <c r="E43" s="50" t="s">
        <v>3</v>
      </c>
      <c r="F43" s="48"/>
      <c r="G43" s="49"/>
      <c r="H43" s="49"/>
      <c r="I43" s="49" t="s">
        <v>9</v>
      </c>
      <c r="J43" s="49"/>
      <c r="K43" s="50" t="s">
        <v>3</v>
      </c>
      <c r="N43" s="48" t="s">
        <v>44</v>
      </c>
      <c r="O43" s="50" t="s">
        <v>44</v>
      </c>
    </row>
    <row r="44" spans="1:19" s="42" customFormat="1" x14ac:dyDescent="0.25">
      <c r="A44" s="48" t="s">
        <v>15</v>
      </c>
      <c r="B44" s="49"/>
      <c r="C44" s="49" t="s">
        <v>11</v>
      </c>
      <c r="D44" s="49"/>
      <c r="E44" s="50" t="s">
        <v>11</v>
      </c>
      <c r="F44" s="48"/>
      <c r="G44" s="49" t="s">
        <v>15</v>
      </c>
      <c r="H44" s="49"/>
      <c r="I44" s="49" t="s">
        <v>11</v>
      </c>
      <c r="J44" s="49"/>
      <c r="K44" s="50" t="s">
        <v>11</v>
      </c>
      <c r="N44" s="72"/>
      <c r="O44" s="50"/>
    </row>
    <row r="45" spans="1:19" s="42" customFormat="1" x14ac:dyDescent="0.25">
      <c r="A45" s="51" t="s">
        <v>12</v>
      </c>
      <c r="B45" s="52"/>
      <c r="C45" s="52" t="s">
        <v>14</v>
      </c>
      <c r="D45" s="52"/>
      <c r="E45" s="53" t="s">
        <v>14</v>
      </c>
      <c r="F45" s="51"/>
      <c r="G45" s="52" t="s">
        <v>16</v>
      </c>
      <c r="H45" s="52"/>
      <c r="I45" s="52" t="s">
        <v>17</v>
      </c>
      <c r="J45" s="52"/>
      <c r="K45" s="53" t="s">
        <v>17</v>
      </c>
      <c r="N45" s="72"/>
      <c r="O45" s="50"/>
    </row>
    <row r="46" spans="1:19" x14ac:dyDescent="0.25">
      <c r="A46" s="173">
        <f>A24</f>
        <v>0</v>
      </c>
      <c r="B46" s="174"/>
      <c r="C46" s="177">
        <f>AVERAGE(C24,C25,C27)</f>
        <v>5833.333333333333</v>
      </c>
      <c r="D46" s="174"/>
      <c r="E46" s="179">
        <f t="shared" ref="E46:E52" si="7">E24</f>
        <v>9722.2222222222226</v>
      </c>
      <c r="F46" s="173"/>
      <c r="G46" s="174">
        <f t="shared" ref="G46:G59" si="8">A46/38*35.494</f>
        <v>0</v>
      </c>
      <c r="H46" s="174"/>
      <c r="I46" s="174">
        <f t="shared" ref="I46:I59" si="9">C46/38*35.494</f>
        <v>5448.6403508771928</v>
      </c>
      <c r="J46" s="174"/>
      <c r="K46" s="175">
        <f t="shared" ref="K46:K59" si="10">E46/38*35.494</f>
        <v>9081.0672514619891</v>
      </c>
      <c r="N46" s="68">
        <f>(A47-A46)/C47</f>
        <v>17.142857142857142</v>
      </c>
      <c r="O46" s="69">
        <f>(A47-A46)/E46</f>
        <v>10.285714285714285</v>
      </c>
      <c r="Q46" s="3"/>
      <c r="R46" s="1"/>
      <c r="S46" s="3"/>
    </row>
    <row r="47" spans="1:19" x14ac:dyDescent="0.25">
      <c r="A47" s="173">
        <f t="shared" ref="A47:A59" si="11">A25</f>
        <v>100000</v>
      </c>
      <c r="B47" s="174"/>
      <c r="C47" s="177">
        <f>C46</f>
        <v>5833.333333333333</v>
      </c>
      <c r="D47" s="174"/>
      <c r="E47" s="179">
        <f t="shared" si="7"/>
        <v>9722.2222222222226</v>
      </c>
      <c r="F47" s="173"/>
      <c r="G47" s="174">
        <f t="shared" si="8"/>
        <v>93405.263157894748</v>
      </c>
      <c r="H47" s="174"/>
      <c r="I47" s="174">
        <f t="shared" si="9"/>
        <v>5448.6403508771928</v>
      </c>
      <c r="J47" s="174"/>
      <c r="K47" s="175">
        <f t="shared" si="10"/>
        <v>9081.0672514619891</v>
      </c>
      <c r="N47" s="68">
        <f t="shared" ref="N47:N58" si="12">(A48-A47)/C48</f>
        <v>16.971428571428572</v>
      </c>
      <c r="O47" s="69">
        <f t="shared" ref="O47:O58" si="13">(A48-A47)/E47</f>
        <v>10.182857142857143</v>
      </c>
      <c r="Q47" s="3"/>
      <c r="R47" s="1"/>
      <c r="S47" s="3"/>
    </row>
    <row r="48" spans="1:19" x14ac:dyDescent="0.25">
      <c r="A48" s="173">
        <f t="shared" si="11"/>
        <v>199000</v>
      </c>
      <c r="B48" s="174"/>
      <c r="C48" s="177">
        <f>C47</f>
        <v>5833.333333333333</v>
      </c>
      <c r="D48" s="174"/>
      <c r="E48" s="179">
        <f t="shared" si="7"/>
        <v>9722.2222222222226</v>
      </c>
      <c r="F48" s="173"/>
      <c r="G48" s="174">
        <f t="shared" si="8"/>
        <v>185876.4736842105</v>
      </c>
      <c r="H48" s="174"/>
      <c r="I48" s="174">
        <f t="shared" si="9"/>
        <v>5448.6403508771928</v>
      </c>
      <c r="J48" s="174"/>
      <c r="K48" s="175">
        <f t="shared" si="10"/>
        <v>9081.0672514619891</v>
      </c>
      <c r="N48" s="68">
        <f t="shared" si="12"/>
        <v>0.12100840336134454</v>
      </c>
      <c r="O48" s="69">
        <f t="shared" si="13"/>
        <v>0.10285714285714286</v>
      </c>
      <c r="Q48" s="3"/>
      <c r="R48" s="1"/>
      <c r="S48" s="3"/>
    </row>
    <row r="49" spans="1:19" x14ac:dyDescent="0.25">
      <c r="A49" s="173">
        <f t="shared" si="11"/>
        <v>200000</v>
      </c>
      <c r="B49" s="174"/>
      <c r="C49" s="174">
        <f>AVERAGE(C27,C28,C29,C31)</f>
        <v>8263.8888888888887</v>
      </c>
      <c r="D49" s="174"/>
      <c r="E49" s="179">
        <f t="shared" si="7"/>
        <v>9722.2222222222226</v>
      </c>
      <c r="F49" s="173"/>
      <c r="G49" s="174">
        <f t="shared" si="8"/>
        <v>186810.5263157895</v>
      </c>
      <c r="H49" s="174"/>
      <c r="I49" s="174">
        <f t="shared" si="9"/>
        <v>7718.9071637426896</v>
      </c>
      <c r="J49" s="174"/>
      <c r="K49" s="175">
        <f t="shared" si="10"/>
        <v>9081.0672514619891</v>
      </c>
      <c r="N49" s="68">
        <f t="shared" si="12"/>
        <v>12.100840336134453</v>
      </c>
      <c r="O49" s="69">
        <f t="shared" si="13"/>
        <v>10.285714285714285</v>
      </c>
      <c r="Q49" s="3"/>
      <c r="R49" s="1"/>
      <c r="S49" s="3"/>
    </row>
    <row r="50" spans="1:19" x14ac:dyDescent="0.25">
      <c r="A50" s="173">
        <f t="shared" si="11"/>
        <v>300000</v>
      </c>
      <c r="B50" s="174"/>
      <c r="C50" s="174">
        <f>C49</f>
        <v>8263.8888888888887</v>
      </c>
      <c r="D50" s="174"/>
      <c r="E50" s="179">
        <f t="shared" si="7"/>
        <v>9722.2222222222226</v>
      </c>
      <c r="F50" s="173"/>
      <c r="G50" s="174">
        <f t="shared" si="8"/>
        <v>280215.78947368421</v>
      </c>
      <c r="H50" s="174"/>
      <c r="I50" s="174">
        <f t="shared" si="9"/>
        <v>7718.9071637426896</v>
      </c>
      <c r="J50" s="174"/>
      <c r="K50" s="175">
        <f t="shared" si="10"/>
        <v>9081.0672514619891</v>
      </c>
      <c r="N50" s="68">
        <f t="shared" si="12"/>
        <v>12.100840336134453</v>
      </c>
      <c r="O50" s="69">
        <f t="shared" si="13"/>
        <v>10.285714285714285</v>
      </c>
      <c r="Q50" s="3"/>
      <c r="R50" s="1"/>
      <c r="S50" s="3"/>
    </row>
    <row r="51" spans="1:19" x14ac:dyDescent="0.25">
      <c r="A51" s="173">
        <f t="shared" si="11"/>
        <v>400000</v>
      </c>
      <c r="B51" s="174"/>
      <c r="C51" s="174">
        <f>C50</f>
        <v>8263.8888888888887</v>
      </c>
      <c r="D51" s="174"/>
      <c r="E51" s="179">
        <f t="shared" si="7"/>
        <v>9722.2222222222226</v>
      </c>
      <c r="F51" s="173"/>
      <c r="G51" s="174">
        <f t="shared" si="8"/>
        <v>373621.05263157899</v>
      </c>
      <c r="H51" s="174"/>
      <c r="I51" s="174">
        <f t="shared" si="9"/>
        <v>7718.9071637426896</v>
      </c>
      <c r="J51" s="174"/>
      <c r="K51" s="175">
        <f t="shared" si="10"/>
        <v>9081.0672514619891</v>
      </c>
      <c r="N51" s="68">
        <f t="shared" si="12"/>
        <v>11.979831932773109</v>
      </c>
      <c r="O51" s="69">
        <f t="shared" si="13"/>
        <v>10.182857142857143</v>
      </c>
      <c r="Q51" s="3"/>
      <c r="R51" s="1"/>
      <c r="S51" s="3"/>
    </row>
    <row r="52" spans="1:19" x14ac:dyDescent="0.25">
      <c r="A52" s="173">
        <f t="shared" si="11"/>
        <v>499000</v>
      </c>
      <c r="B52" s="174"/>
      <c r="C52" s="174">
        <f>C51</f>
        <v>8263.8888888888887</v>
      </c>
      <c r="D52" s="174"/>
      <c r="E52" s="179">
        <f t="shared" si="7"/>
        <v>9722.2222222222226</v>
      </c>
      <c r="F52" s="173"/>
      <c r="G52" s="174">
        <f t="shared" si="8"/>
        <v>466092.26315789478</v>
      </c>
      <c r="H52" s="174"/>
      <c r="I52" s="174">
        <f t="shared" si="9"/>
        <v>7718.9071637426896</v>
      </c>
      <c r="J52" s="174"/>
      <c r="K52" s="175">
        <f t="shared" si="10"/>
        <v>9081.0672514619891</v>
      </c>
      <c r="N52" s="68">
        <f t="shared" si="12"/>
        <v>0.10285714285714286</v>
      </c>
      <c r="O52" s="69">
        <f t="shared" si="13"/>
        <v>0.10285714285714286</v>
      </c>
      <c r="Q52" s="3"/>
      <c r="R52" s="1"/>
      <c r="S52" s="3"/>
    </row>
    <row r="53" spans="1:19" x14ac:dyDescent="0.25">
      <c r="A53" s="173">
        <f t="shared" si="11"/>
        <v>500000</v>
      </c>
      <c r="B53" s="174"/>
      <c r="C53" s="177">
        <f>C31</f>
        <v>9722.2222222222226</v>
      </c>
      <c r="D53" s="174"/>
      <c r="E53" s="175">
        <f>AVERAGE(E31,E32,E33,E35)</f>
        <v>8263.8888888888887</v>
      </c>
      <c r="F53" s="173"/>
      <c r="G53" s="174">
        <f t="shared" si="8"/>
        <v>467026.31578947365</v>
      </c>
      <c r="H53" s="174"/>
      <c r="I53" s="174">
        <f t="shared" si="9"/>
        <v>9081.0672514619891</v>
      </c>
      <c r="J53" s="174"/>
      <c r="K53" s="175">
        <f t="shared" si="10"/>
        <v>7718.9071637426896</v>
      </c>
      <c r="N53" s="68">
        <f t="shared" si="12"/>
        <v>10.285714285714285</v>
      </c>
      <c r="O53" s="69">
        <f t="shared" si="13"/>
        <v>12.100840336134453</v>
      </c>
      <c r="Q53" s="3"/>
      <c r="R53" s="1"/>
      <c r="S53" s="3"/>
    </row>
    <row r="54" spans="1:19" x14ac:dyDescent="0.25">
      <c r="A54" s="173">
        <f t="shared" si="11"/>
        <v>600000</v>
      </c>
      <c r="B54" s="174"/>
      <c r="C54" s="177">
        <f t="shared" ref="C54:C59" si="14">C53</f>
        <v>9722.2222222222226</v>
      </c>
      <c r="D54" s="174"/>
      <c r="E54" s="174">
        <f>E53</f>
        <v>8263.8888888888887</v>
      </c>
      <c r="F54" s="173"/>
      <c r="G54" s="174">
        <f t="shared" si="8"/>
        <v>560431.57894736843</v>
      </c>
      <c r="H54" s="174"/>
      <c r="I54" s="174">
        <f t="shared" si="9"/>
        <v>9081.0672514619891</v>
      </c>
      <c r="J54" s="174"/>
      <c r="K54" s="175">
        <f t="shared" si="10"/>
        <v>7718.9071637426896</v>
      </c>
      <c r="N54" s="68">
        <f t="shared" si="12"/>
        <v>10.285714285714285</v>
      </c>
      <c r="O54" s="69">
        <f t="shared" si="13"/>
        <v>12.100840336134453</v>
      </c>
      <c r="Q54" s="3"/>
      <c r="R54" s="1"/>
      <c r="S54" s="3"/>
    </row>
    <row r="55" spans="1:19" x14ac:dyDescent="0.25">
      <c r="A55" s="173">
        <f t="shared" si="11"/>
        <v>700000</v>
      </c>
      <c r="B55" s="174"/>
      <c r="C55" s="177">
        <f t="shared" si="14"/>
        <v>9722.2222222222226</v>
      </c>
      <c r="D55" s="174"/>
      <c r="E55" s="174">
        <f>E54</f>
        <v>8263.8888888888887</v>
      </c>
      <c r="F55" s="173"/>
      <c r="G55" s="174">
        <f t="shared" si="8"/>
        <v>653836.84210526315</v>
      </c>
      <c r="H55" s="174"/>
      <c r="I55" s="174">
        <f t="shared" si="9"/>
        <v>9081.0672514619891</v>
      </c>
      <c r="J55" s="174"/>
      <c r="K55" s="175">
        <f t="shared" si="10"/>
        <v>7718.9071637426896</v>
      </c>
      <c r="N55" s="68">
        <f t="shared" si="12"/>
        <v>10.182857142857143</v>
      </c>
      <c r="O55" s="69">
        <f t="shared" si="13"/>
        <v>11.979831932773109</v>
      </c>
      <c r="Q55" s="3"/>
      <c r="R55" s="1"/>
      <c r="S55" s="3"/>
    </row>
    <row r="56" spans="1:19" x14ac:dyDescent="0.25">
      <c r="A56" s="173">
        <f t="shared" si="11"/>
        <v>799000</v>
      </c>
      <c r="B56" s="174"/>
      <c r="C56" s="177">
        <f t="shared" si="14"/>
        <v>9722.2222222222226</v>
      </c>
      <c r="D56" s="174"/>
      <c r="E56" s="174">
        <f>E55</f>
        <v>8263.8888888888887</v>
      </c>
      <c r="F56" s="173"/>
      <c r="G56" s="174">
        <f t="shared" si="8"/>
        <v>746308.05263157887</v>
      </c>
      <c r="H56" s="174"/>
      <c r="I56" s="174">
        <f t="shared" si="9"/>
        <v>9081.0672514619891</v>
      </c>
      <c r="J56" s="174"/>
      <c r="K56" s="175">
        <f t="shared" si="10"/>
        <v>7718.9071637426896</v>
      </c>
      <c r="N56" s="68">
        <f t="shared" si="12"/>
        <v>0.10285714285714286</v>
      </c>
      <c r="O56" s="69">
        <f t="shared" si="13"/>
        <v>0.12100840336134454</v>
      </c>
      <c r="Q56" s="3"/>
      <c r="R56" s="1"/>
      <c r="S56" s="3"/>
    </row>
    <row r="57" spans="1:19" x14ac:dyDescent="0.25">
      <c r="A57" s="173">
        <f t="shared" si="11"/>
        <v>800000</v>
      </c>
      <c r="B57" s="174"/>
      <c r="C57" s="177">
        <f t="shared" si="14"/>
        <v>9722.2222222222226</v>
      </c>
      <c r="D57" s="174"/>
      <c r="E57" s="179">
        <f>AVERAGE(E35:E37)</f>
        <v>5833.333333333333</v>
      </c>
      <c r="F57" s="173"/>
      <c r="G57" s="174">
        <f t="shared" si="8"/>
        <v>747242.10526315798</v>
      </c>
      <c r="H57" s="174"/>
      <c r="I57" s="174">
        <f t="shared" si="9"/>
        <v>9081.0672514619891</v>
      </c>
      <c r="J57" s="174"/>
      <c r="K57" s="175">
        <f t="shared" si="10"/>
        <v>5448.6403508771928</v>
      </c>
      <c r="N57" s="68">
        <f t="shared" si="12"/>
        <v>10.285714285714285</v>
      </c>
      <c r="O57" s="69">
        <f t="shared" si="13"/>
        <v>17.142857142857142</v>
      </c>
      <c r="Q57" s="3"/>
      <c r="R57" s="1"/>
      <c r="S57" s="3"/>
    </row>
    <row r="58" spans="1:19" x14ac:dyDescent="0.25">
      <c r="A58" s="173">
        <f t="shared" si="11"/>
        <v>900000</v>
      </c>
      <c r="B58" s="174"/>
      <c r="C58" s="177">
        <f t="shared" si="14"/>
        <v>9722.2222222222226</v>
      </c>
      <c r="D58" s="174"/>
      <c r="E58" s="179">
        <f>E57</f>
        <v>5833.333333333333</v>
      </c>
      <c r="F58" s="173"/>
      <c r="G58" s="174">
        <f t="shared" si="8"/>
        <v>840647.3684210527</v>
      </c>
      <c r="H58" s="174"/>
      <c r="I58" s="174">
        <f t="shared" si="9"/>
        <v>9081.0672514619891</v>
      </c>
      <c r="J58" s="174"/>
      <c r="K58" s="175">
        <f t="shared" si="10"/>
        <v>5448.6403508771928</v>
      </c>
      <c r="N58" s="68">
        <f t="shared" si="12"/>
        <v>10.285714285714285</v>
      </c>
      <c r="O58" s="69">
        <f t="shared" si="13"/>
        <v>17.142857142857142</v>
      </c>
      <c r="Q58" s="3"/>
      <c r="R58" s="1"/>
      <c r="S58" s="3"/>
    </row>
    <row r="59" spans="1:19" x14ac:dyDescent="0.25">
      <c r="A59" s="176">
        <f t="shared" si="11"/>
        <v>1000000</v>
      </c>
      <c r="B59" s="171"/>
      <c r="C59" s="178">
        <f t="shared" si="14"/>
        <v>9722.2222222222226</v>
      </c>
      <c r="D59" s="171"/>
      <c r="E59" s="180">
        <f>E57</f>
        <v>5833.333333333333</v>
      </c>
      <c r="F59" s="176"/>
      <c r="G59" s="171">
        <f t="shared" si="8"/>
        <v>934052.6315789473</v>
      </c>
      <c r="H59" s="171"/>
      <c r="I59" s="171">
        <f t="shared" si="9"/>
        <v>9081.0672514619891</v>
      </c>
      <c r="J59" s="171"/>
      <c r="K59" s="172">
        <f t="shared" si="10"/>
        <v>5448.6403508771928</v>
      </c>
      <c r="N59" s="68"/>
      <c r="O59" s="69"/>
      <c r="Q59" s="1"/>
      <c r="R59" s="1"/>
      <c r="S59" s="1"/>
    </row>
    <row r="60" spans="1:19" x14ac:dyDescent="0.25">
      <c r="N60" s="70">
        <f>SUM(N46:N58)</f>
        <v>121.94823529411764</v>
      </c>
      <c r="O60" s="71">
        <f>SUM(O46:O59)</f>
        <v>122.01680672268905</v>
      </c>
      <c r="Q60" s="73"/>
      <c r="R60" s="1"/>
      <c r="S60" s="73"/>
    </row>
    <row r="61" spans="1:19" x14ac:dyDescent="0.25">
      <c r="N61" s="66"/>
    </row>
    <row r="66" spans="1:5" x14ac:dyDescent="0.25">
      <c r="A66" s="130"/>
      <c r="C66" s="130"/>
      <c r="E66" s="130"/>
    </row>
  </sheetData>
  <phoneticPr fontId="18" type="noConversion"/>
  <pageMargins left="0.75" right="0.75" top="1" bottom="1" header="0.5" footer="0.5"/>
  <pageSetup scale="69" orientation="portrait" horizontalDpi="300" verticalDpi="300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1"/>
  <sheetViews>
    <sheetView workbookViewId="0">
      <selection activeCell="A9" sqref="A9"/>
    </sheetView>
  </sheetViews>
  <sheetFormatPr defaultRowHeight="13.2" x14ac:dyDescent="0.25"/>
  <cols>
    <col min="1" max="1" width="12.6640625" customWidth="1"/>
    <col min="2" max="2" width="8.5546875" customWidth="1"/>
    <col min="3" max="3" width="10.6640625" customWidth="1"/>
    <col min="4" max="4" width="8" customWidth="1"/>
    <col min="5" max="5" width="11.33203125" customWidth="1"/>
    <col min="6" max="6" width="2.44140625" customWidth="1"/>
    <col min="7" max="7" width="11.44140625" customWidth="1"/>
    <col min="8" max="8" width="2.44140625" customWidth="1"/>
    <col min="9" max="9" width="11.109375" customWidth="1"/>
    <col min="10" max="10" width="3" customWidth="1"/>
    <col min="11" max="11" width="11.5546875" customWidth="1"/>
    <col min="12" max="12" width="4.6640625" customWidth="1"/>
    <col min="13" max="13" width="11.44140625" style="64" bestFit="1" customWidth="1"/>
    <col min="14" max="14" width="9.44140625" style="64" bestFit="1" customWidth="1"/>
    <col min="15" max="15" width="4.33203125" customWidth="1"/>
  </cols>
  <sheetData>
    <row r="1" spans="1:14" s="41" customFormat="1" ht="21" x14ac:dyDescent="0.4">
      <c r="A1" s="74" t="s">
        <v>126</v>
      </c>
      <c r="B1" s="75"/>
      <c r="C1" s="75"/>
      <c r="D1" s="76"/>
      <c r="E1" s="75"/>
      <c r="F1" s="75"/>
      <c r="G1" s="75"/>
      <c r="H1" s="75"/>
      <c r="I1" s="75"/>
      <c r="M1" s="63"/>
      <c r="N1" s="63"/>
    </row>
    <row r="2" spans="1:14" x14ac:dyDescent="0.25">
      <c r="A2" s="39"/>
      <c r="B2" s="39"/>
      <c r="C2" s="39"/>
      <c r="D2" s="39"/>
      <c r="E2" s="77"/>
      <c r="F2" s="78"/>
      <c r="G2" s="77"/>
      <c r="H2" s="78"/>
      <c r="I2" s="39"/>
    </row>
    <row r="3" spans="1:14" ht="17.399999999999999" x14ac:dyDescent="0.3">
      <c r="A3" s="43" t="s">
        <v>123</v>
      </c>
      <c r="B3" s="39"/>
      <c r="C3" s="39"/>
      <c r="D3" s="39"/>
      <c r="E3" s="77"/>
      <c r="F3" s="78"/>
      <c r="G3" s="77"/>
      <c r="H3" s="78"/>
      <c r="I3" s="39"/>
    </row>
    <row r="4" spans="1:14" x14ac:dyDescent="0.25">
      <c r="A4" s="39"/>
      <c r="B4" s="39"/>
      <c r="C4" s="79"/>
      <c r="D4" s="39"/>
      <c r="E4" s="39"/>
      <c r="F4" s="39"/>
      <c r="G4" s="39"/>
      <c r="H4" s="39"/>
      <c r="I4" s="39"/>
    </row>
    <row r="5" spans="1:14" s="54" customFormat="1" x14ac:dyDescent="0.25">
      <c r="A5" s="80" t="s">
        <v>1</v>
      </c>
      <c r="B5" s="81"/>
      <c r="C5" s="82" t="s">
        <v>2</v>
      </c>
      <c r="D5" s="82"/>
      <c r="E5" s="82" t="s">
        <v>3</v>
      </c>
      <c r="F5" s="82"/>
      <c r="G5" s="81" t="s">
        <v>47</v>
      </c>
      <c r="H5" s="81"/>
      <c r="I5" s="83" t="s">
        <v>48</v>
      </c>
      <c r="M5" s="49"/>
      <c r="N5" s="49"/>
    </row>
    <row r="6" spans="1:14" s="54" customFormat="1" x14ac:dyDescent="0.25">
      <c r="A6" s="19" t="s">
        <v>6</v>
      </c>
      <c r="B6" s="31"/>
      <c r="C6" s="20" t="s">
        <v>7</v>
      </c>
      <c r="D6" s="20"/>
      <c r="E6" s="20" t="s">
        <v>8</v>
      </c>
      <c r="F6" s="20"/>
      <c r="G6" s="31" t="s">
        <v>46</v>
      </c>
      <c r="H6" s="31"/>
      <c r="I6" s="21" t="s">
        <v>46</v>
      </c>
      <c r="M6" s="49"/>
      <c r="N6" s="49"/>
    </row>
    <row r="7" spans="1:14" s="54" customFormat="1" x14ac:dyDescent="0.25">
      <c r="A7" s="19" t="s">
        <v>10</v>
      </c>
      <c r="B7" s="31"/>
      <c r="C7" s="20"/>
      <c r="D7" s="20"/>
      <c r="E7" s="20"/>
      <c r="F7" s="20"/>
      <c r="G7" s="20" t="s">
        <v>41</v>
      </c>
      <c r="H7" s="31"/>
      <c r="I7" s="21" t="s">
        <v>41</v>
      </c>
      <c r="M7" s="49"/>
      <c r="N7" s="49"/>
    </row>
    <row r="8" spans="1:14" s="54" customFormat="1" x14ac:dyDescent="0.25">
      <c r="A8" s="84" t="s">
        <v>12</v>
      </c>
      <c r="B8" s="85"/>
      <c r="C8" s="22" t="s">
        <v>13</v>
      </c>
      <c r="D8" s="22"/>
      <c r="E8" s="22"/>
      <c r="F8" s="22"/>
      <c r="G8" s="22" t="s">
        <v>42</v>
      </c>
      <c r="H8" s="85"/>
      <c r="I8" s="23" t="s">
        <v>42</v>
      </c>
      <c r="M8" s="49"/>
      <c r="N8" s="49"/>
    </row>
    <row r="9" spans="1:14" s="1" customFormat="1" x14ac:dyDescent="0.25">
      <c r="A9" s="167">
        <v>1000000</v>
      </c>
      <c r="B9" s="85"/>
      <c r="C9" s="87">
        <v>120</v>
      </c>
      <c r="D9" s="22"/>
      <c r="E9" s="88">
        <v>1</v>
      </c>
      <c r="F9" s="22"/>
      <c r="G9" s="89">
        <f>365/(M38+N38)</f>
        <v>1.4886155410692912</v>
      </c>
      <c r="H9" s="90"/>
      <c r="I9" s="91">
        <f>365/(M60+N60)</f>
        <v>1.5207447575429791</v>
      </c>
      <c r="M9" s="2"/>
      <c r="N9" s="2"/>
    </row>
    <row r="10" spans="1:14" x14ac:dyDescent="0.25">
      <c r="A10" s="92"/>
      <c r="B10" s="40"/>
      <c r="C10" s="93"/>
      <c r="D10" s="93"/>
      <c r="E10" s="94"/>
      <c r="F10" s="93"/>
      <c r="G10" s="92"/>
      <c r="H10" s="93"/>
      <c r="I10" s="92"/>
      <c r="J10" s="2"/>
      <c r="K10" s="3"/>
      <c r="L10" s="3"/>
    </row>
    <row r="11" spans="1:14" ht="17.399999999999999" x14ac:dyDescent="0.3">
      <c r="A11" s="43" t="s">
        <v>124</v>
      </c>
      <c r="B11" s="39"/>
      <c r="C11" s="39"/>
      <c r="D11" s="44"/>
      <c r="E11" s="39"/>
      <c r="F11" s="39"/>
      <c r="G11" s="39"/>
      <c r="H11" s="39"/>
      <c r="I11" s="39"/>
    </row>
    <row r="12" spans="1:14" s="39" customFormat="1" ht="17.399999999999999" x14ac:dyDescent="0.3">
      <c r="A12" s="43"/>
      <c r="D12" s="44"/>
      <c r="M12" s="65"/>
      <c r="N12" s="65"/>
    </row>
    <row r="13" spans="1:14" s="42" customFormat="1" x14ac:dyDescent="0.25">
      <c r="A13" s="82" t="s">
        <v>4</v>
      </c>
      <c r="B13" s="82"/>
      <c r="C13" s="82" t="s">
        <v>5</v>
      </c>
      <c r="D13" s="82"/>
      <c r="E13" s="82" t="s">
        <v>4</v>
      </c>
      <c r="F13" s="82"/>
      <c r="G13" s="83" t="s">
        <v>5</v>
      </c>
      <c r="H13" s="12"/>
      <c r="I13" s="12"/>
      <c r="M13" s="62"/>
      <c r="N13" s="62"/>
    </row>
    <row r="14" spans="1:14" s="42" customFormat="1" x14ac:dyDescent="0.25">
      <c r="A14" s="49" t="s">
        <v>9</v>
      </c>
      <c r="B14" s="49"/>
      <c r="C14" s="49" t="s">
        <v>9</v>
      </c>
      <c r="D14" s="49"/>
      <c r="E14" s="49" t="s">
        <v>3</v>
      </c>
      <c r="F14" s="49"/>
      <c r="G14" s="50" t="s">
        <v>3</v>
      </c>
      <c r="M14" s="62"/>
      <c r="N14" s="62"/>
    </row>
    <row r="15" spans="1:14" s="42" customFormat="1" x14ac:dyDescent="0.25">
      <c r="A15" s="49" t="s">
        <v>11</v>
      </c>
      <c r="B15" s="49"/>
      <c r="C15" s="49" t="s">
        <v>11</v>
      </c>
      <c r="D15" s="49"/>
      <c r="E15" s="49" t="s">
        <v>11</v>
      </c>
      <c r="F15" s="49"/>
      <c r="G15" s="50" t="s">
        <v>11</v>
      </c>
      <c r="M15" s="62"/>
      <c r="N15" s="62"/>
    </row>
    <row r="16" spans="1:14" s="42" customFormat="1" x14ac:dyDescent="0.25">
      <c r="A16" s="52" t="s">
        <v>14</v>
      </c>
      <c r="B16" s="52"/>
      <c r="C16" s="52" t="s">
        <v>14</v>
      </c>
      <c r="D16" s="52"/>
      <c r="E16" s="52" t="s">
        <v>14</v>
      </c>
      <c r="F16" s="52"/>
      <c r="G16" s="53" t="s">
        <v>14</v>
      </c>
      <c r="M16" s="62"/>
      <c r="N16" s="62"/>
    </row>
    <row r="17" spans="1:15" x14ac:dyDescent="0.25">
      <c r="A17" s="55">
        <f>A9/C9*7/6</f>
        <v>9722.2222222222226</v>
      </c>
      <c r="B17" s="55"/>
      <c r="C17" s="55">
        <f>A17/2</f>
        <v>4861.1111111111113</v>
      </c>
      <c r="D17" s="55"/>
      <c r="E17" s="55">
        <f>A17*E9</f>
        <v>9722.2222222222226</v>
      </c>
      <c r="F17" s="55"/>
      <c r="G17" s="56">
        <f>C17*E9</f>
        <v>4861.1111111111113</v>
      </c>
    </row>
    <row r="18" spans="1:15" x14ac:dyDescent="0.25">
      <c r="A18" s="4"/>
      <c r="B18" s="4"/>
      <c r="C18" s="4"/>
      <c r="D18" s="4"/>
      <c r="E18" s="4"/>
      <c r="F18" s="4"/>
      <c r="G18" s="4"/>
    </row>
    <row r="19" spans="1:15" s="42" customFormat="1" x14ac:dyDescent="0.25">
      <c r="A19" s="42" t="s">
        <v>18</v>
      </c>
      <c r="G19" s="42" t="s">
        <v>19</v>
      </c>
      <c r="M19" s="62"/>
      <c r="N19" s="62"/>
    </row>
    <row r="20" spans="1:15" s="42" customFormat="1" x14ac:dyDescent="0.25">
      <c r="A20" s="45"/>
      <c r="B20" s="46"/>
      <c r="C20" s="46" t="s">
        <v>4</v>
      </c>
      <c r="D20" s="46"/>
      <c r="E20" s="47" t="s">
        <v>4</v>
      </c>
      <c r="F20" s="45"/>
      <c r="G20" s="46"/>
      <c r="H20" s="46"/>
      <c r="I20" s="46" t="s">
        <v>4</v>
      </c>
      <c r="J20" s="46"/>
      <c r="K20" s="47" t="s">
        <v>4</v>
      </c>
      <c r="M20" s="67" t="s">
        <v>43</v>
      </c>
      <c r="N20" s="47" t="s">
        <v>45</v>
      </c>
    </row>
    <row r="21" spans="1:15" s="42" customFormat="1" x14ac:dyDescent="0.25">
      <c r="A21" s="48"/>
      <c r="B21" s="49"/>
      <c r="C21" s="49" t="s">
        <v>9</v>
      </c>
      <c r="D21" s="49"/>
      <c r="E21" s="50" t="s">
        <v>3</v>
      </c>
      <c r="F21" s="48"/>
      <c r="G21" s="49"/>
      <c r="H21" s="49"/>
      <c r="I21" s="49" t="s">
        <v>9</v>
      </c>
      <c r="J21" s="49"/>
      <c r="K21" s="50" t="s">
        <v>3</v>
      </c>
      <c r="M21" s="48" t="s">
        <v>44</v>
      </c>
      <c r="N21" s="50" t="s">
        <v>44</v>
      </c>
    </row>
    <row r="22" spans="1:15" s="42" customFormat="1" x14ac:dyDescent="0.25">
      <c r="A22" s="48" t="s">
        <v>15</v>
      </c>
      <c r="B22" s="49"/>
      <c r="C22" s="49" t="s">
        <v>11</v>
      </c>
      <c r="D22" s="49"/>
      <c r="E22" s="50" t="s">
        <v>11</v>
      </c>
      <c r="F22" s="48"/>
      <c r="G22" s="49" t="s">
        <v>15</v>
      </c>
      <c r="H22" s="49"/>
      <c r="I22" s="49" t="s">
        <v>11</v>
      </c>
      <c r="J22" s="49"/>
      <c r="K22" s="50" t="s">
        <v>11</v>
      </c>
      <c r="M22" s="48"/>
      <c r="N22" s="50"/>
    </row>
    <row r="23" spans="1:15" s="42" customFormat="1" x14ac:dyDescent="0.25">
      <c r="A23" s="51" t="s">
        <v>12</v>
      </c>
      <c r="B23" s="52"/>
      <c r="C23" s="52" t="s">
        <v>14</v>
      </c>
      <c r="D23" s="52"/>
      <c r="E23" s="53" t="s">
        <v>14</v>
      </c>
      <c r="F23" s="51"/>
      <c r="G23" s="52" t="s">
        <v>16</v>
      </c>
      <c r="H23" s="52"/>
      <c r="I23" s="52" t="s">
        <v>17</v>
      </c>
      <c r="J23" s="52"/>
      <c r="K23" s="53" t="s">
        <v>17</v>
      </c>
      <c r="M23" s="48"/>
      <c r="N23" s="50"/>
    </row>
    <row r="24" spans="1:15" x14ac:dyDescent="0.25">
      <c r="A24" s="57">
        <v>0</v>
      </c>
      <c r="B24" s="58"/>
      <c r="C24" s="58">
        <f>IF($C$17+(A24/($C$9*6/7))&lt;$A$17,($C$17+(A24/($C$9*6/7))),$A$17)</f>
        <v>4861.1111111111113</v>
      </c>
      <c r="D24" s="58"/>
      <c r="E24" s="59">
        <f>IF($G$17+(($A$9-A24)/($C$9*6/7/$E$9))&lt;$E$17,$G$17+(($A$9-A24)/($C$9*6/7/$E$9)),$E$17)</f>
        <v>9722.2222222222226</v>
      </c>
      <c r="F24" s="57"/>
      <c r="G24" s="58">
        <f t="shared" ref="G24:G37" si="0">A24/38*35.494</f>
        <v>0</v>
      </c>
      <c r="H24" s="58"/>
      <c r="I24" s="58">
        <f t="shared" ref="I24:I37" si="1">C24/38*35.494</f>
        <v>4540.5336257309946</v>
      </c>
      <c r="J24" s="58"/>
      <c r="K24" s="59">
        <f t="shared" ref="K24:K37" si="2">E24/38*35.494</f>
        <v>9081.0672514619891</v>
      </c>
      <c r="M24" s="68">
        <f>(A25-A24)/AVERAGE(C24:C25)</f>
        <v>18.7012987012987</v>
      </c>
      <c r="N24" s="69">
        <f>(A25-A24)/AVERAGE(E24:E25)</f>
        <v>10.285714285714285</v>
      </c>
    </row>
    <row r="25" spans="1:15" x14ac:dyDescent="0.25">
      <c r="A25" s="57">
        <f>$A$37*0.1</f>
        <v>100000</v>
      </c>
      <c r="B25" s="58"/>
      <c r="C25" s="58">
        <f t="shared" ref="C25:C37" si="3">IF($C$17+(A25/($C$9*6/7))&lt;$A$17,($C$17+(A25/($C$9*6/7))),$A$17)</f>
        <v>5833.3333333333339</v>
      </c>
      <c r="D25" s="58"/>
      <c r="E25" s="59">
        <f t="shared" ref="E25:E37" si="4">IF($G$17+(($A$9-A25)/($C$9*6/7/$E$9))&lt;$E$17,$G$17+(($A$9-A25)/($C$9*6/7/$E$9)),$E$17)</f>
        <v>9722.2222222222226</v>
      </c>
      <c r="F25" s="57"/>
      <c r="G25" s="58">
        <f t="shared" si="0"/>
        <v>93405.263157894748</v>
      </c>
      <c r="H25" s="58"/>
      <c r="I25" s="58">
        <f t="shared" si="1"/>
        <v>5448.6403508771937</v>
      </c>
      <c r="J25" s="58"/>
      <c r="K25" s="59">
        <f t="shared" si="2"/>
        <v>9081.0672514619891</v>
      </c>
      <c r="M25" s="68">
        <f t="shared" ref="M25:M36" si="5">(A26-A25)/AVERAGE(C25:C26)</f>
        <v>15.677994061365885</v>
      </c>
      <c r="N25" s="69">
        <f t="shared" ref="N25:N36" si="6">(A26-A25)/AVERAGE(E25:E26)</f>
        <v>10.182857142857143</v>
      </c>
    </row>
    <row r="26" spans="1:15" x14ac:dyDescent="0.25">
      <c r="A26" s="57">
        <f>$A$37*0.199</f>
        <v>199000</v>
      </c>
      <c r="B26" s="58"/>
      <c r="C26" s="58">
        <f t="shared" si="3"/>
        <v>6795.8333333333339</v>
      </c>
      <c r="D26" s="58"/>
      <c r="E26" s="59">
        <f t="shared" si="4"/>
        <v>9722.2222222222226</v>
      </c>
      <c r="F26" s="57"/>
      <c r="G26" s="58">
        <f>A26/38*35.494</f>
        <v>185876.4736842105</v>
      </c>
      <c r="H26" s="58"/>
      <c r="I26" s="58">
        <f>C26/38*35.494</f>
        <v>6347.6660087719301</v>
      </c>
      <c r="J26" s="58"/>
      <c r="K26" s="59">
        <f>E26/38*35.494</f>
        <v>9081.0672514619891</v>
      </c>
      <c r="L26" s="121">
        <f>SUM(M24:M26)</f>
        <v>34.526336569465357</v>
      </c>
      <c r="M26" s="68">
        <f t="shared" si="5"/>
        <v>0.14704380680077606</v>
      </c>
      <c r="N26" s="69">
        <f t="shared" si="6"/>
        <v>0.10285714285714286</v>
      </c>
    </row>
    <row r="27" spans="1:15" x14ac:dyDescent="0.25">
      <c r="A27" s="57">
        <f>$A$37*0.2</f>
        <v>200000</v>
      </c>
      <c r="B27" s="58"/>
      <c r="C27" s="58">
        <f t="shared" si="3"/>
        <v>6805.5555555555557</v>
      </c>
      <c r="D27" s="58"/>
      <c r="E27" s="59">
        <f t="shared" si="4"/>
        <v>9722.2222222222226</v>
      </c>
      <c r="F27" s="57"/>
      <c r="G27" s="58">
        <f t="shared" si="0"/>
        <v>186810.5263157895</v>
      </c>
      <c r="H27" s="58"/>
      <c r="I27" s="58">
        <f t="shared" si="1"/>
        <v>6356.7470760233919</v>
      </c>
      <c r="J27" s="58"/>
      <c r="K27" s="59">
        <f t="shared" si="2"/>
        <v>9081.0672514619891</v>
      </c>
      <c r="M27" s="68">
        <f t="shared" si="5"/>
        <v>13.714285714285715</v>
      </c>
      <c r="N27" s="69">
        <f t="shared" si="6"/>
        <v>10.285714285714285</v>
      </c>
    </row>
    <row r="28" spans="1:15" x14ac:dyDescent="0.25">
      <c r="A28" s="57">
        <f>$A$37*0.3</f>
        <v>300000</v>
      </c>
      <c r="B28" s="58"/>
      <c r="C28" s="58">
        <f t="shared" si="3"/>
        <v>7777.7777777777774</v>
      </c>
      <c r="D28" s="58"/>
      <c r="E28" s="59">
        <f t="shared" si="4"/>
        <v>9722.2222222222226</v>
      </c>
      <c r="F28" s="57"/>
      <c r="G28" s="58">
        <f t="shared" si="0"/>
        <v>280215.78947368421</v>
      </c>
      <c r="H28" s="58"/>
      <c r="I28" s="58">
        <f t="shared" si="1"/>
        <v>7264.85380116959</v>
      </c>
      <c r="J28" s="58"/>
      <c r="K28" s="59">
        <f t="shared" si="2"/>
        <v>9081.0672514619891</v>
      </c>
      <c r="L28" s="121"/>
      <c r="M28" s="68">
        <f t="shared" si="5"/>
        <v>12.100840336134453</v>
      </c>
      <c r="N28" s="69">
        <f t="shared" si="6"/>
        <v>10.285714285714285</v>
      </c>
    </row>
    <row r="29" spans="1:15" x14ac:dyDescent="0.25">
      <c r="A29" s="57">
        <f>$A$37*0.4</f>
        <v>400000</v>
      </c>
      <c r="B29" s="58"/>
      <c r="C29" s="58">
        <f t="shared" si="3"/>
        <v>8750</v>
      </c>
      <c r="D29" s="58"/>
      <c r="E29" s="59">
        <f t="shared" si="4"/>
        <v>9722.2222222222226</v>
      </c>
      <c r="F29" s="57"/>
      <c r="G29" s="58">
        <f t="shared" si="0"/>
        <v>373621.05263157899</v>
      </c>
      <c r="H29" s="58"/>
      <c r="I29" s="58">
        <f t="shared" si="1"/>
        <v>8172.96052631579</v>
      </c>
      <c r="J29" s="58"/>
      <c r="K29" s="59">
        <f t="shared" si="2"/>
        <v>9081.0672514619891</v>
      </c>
      <c r="M29" s="68">
        <f t="shared" si="5"/>
        <v>10.724441435341909</v>
      </c>
      <c r="N29" s="69">
        <f t="shared" si="6"/>
        <v>10.182857142857143</v>
      </c>
    </row>
    <row r="30" spans="1:15" x14ac:dyDescent="0.25">
      <c r="A30" s="57">
        <f>$A$37*0.499</f>
        <v>499000</v>
      </c>
      <c r="B30" s="58"/>
      <c r="C30" s="58">
        <f t="shared" si="3"/>
        <v>9712.5</v>
      </c>
      <c r="D30" s="58"/>
      <c r="E30" s="59">
        <f t="shared" si="4"/>
        <v>9722.2222222222226</v>
      </c>
      <c r="F30" s="57"/>
      <c r="G30" s="58">
        <f>A30/38*35.494</f>
        <v>466092.26315789478</v>
      </c>
      <c r="H30" s="58"/>
      <c r="I30" s="58">
        <f>C30/38*35.494</f>
        <v>9071.9861842105256</v>
      </c>
      <c r="J30" s="58"/>
      <c r="K30" s="59">
        <f>E30/38*35.494</f>
        <v>9081.0672514619891</v>
      </c>
      <c r="L30" s="121">
        <f>SUM(M27:M30)</f>
        <v>36.642476082917796</v>
      </c>
      <c r="M30" s="68">
        <f t="shared" si="5"/>
        <v>0.10290859715572072</v>
      </c>
      <c r="N30" s="69">
        <f t="shared" si="6"/>
        <v>0.10285714285714286</v>
      </c>
      <c r="O30" s="121">
        <f>SUM(N24:N30)</f>
        <v>51.428571428571423</v>
      </c>
    </row>
    <row r="31" spans="1:15" x14ac:dyDescent="0.25">
      <c r="A31" s="57">
        <f>$A$37*0.5</f>
        <v>500000</v>
      </c>
      <c r="B31" s="58"/>
      <c r="C31" s="58">
        <f t="shared" si="3"/>
        <v>9722.2222222222226</v>
      </c>
      <c r="D31" s="58"/>
      <c r="E31" s="59">
        <f t="shared" si="4"/>
        <v>9722.2222222222226</v>
      </c>
      <c r="F31" s="57"/>
      <c r="G31" s="58">
        <f t="shared" si="0"/>
        <v>467026.31578947365</v>
      </c>
      <c r="H31" s="58"/>
      <c r="I31" s="58">
        <f t="shared" si="1"/>
        <v>9081.0672514619891</v>
      </c>
      <c r="J31" s="58"/>
      <c r="K31" s="59">
        <f t="shared" si="2"/>
        <v>9081.0672514619891</v>
      </c>
      <c r="M31" s="68">
        <f t="shared" si="5"/>
        <v>10.285714285714285</v>
      </c>
      <c r="N31" s="69">
        <f t="shared" si="6"/>
        <v>10.827067669172932</v>
      </c>
    </row>
    <row r="32" spans="1:15" x14ac:dyDescent="0.25">
      <c r="A32" s="57">
        <f>$A$37*0.6</f>
        <v>600000</v>
      </c>
      <c r="B32" s="58"/>
      <c r="C32" s="58">
        <f t="shared" si="3"/>
        <v>9722.2222222222226</v>
      </c>
      <c r="D32" s="58"/>
      <c r="E32" s="59">
        <f t="shared" si="4"/>
        <v>8750</v>
      </c>
      <c r="F32" s="57"/>
      <c r="G32" s="58">
        <f t="shared" si="0"/>
        <v>560431.57894736843</v>
      </c>
      <c r="H32" s="58"/>
      <c r="I32" s="58">
        <f t="shared" si="1"/>
        <v>9081.0672514619891</v>
      </c>
      <c r="J32" s="58"/>
      <c r="K32" s="59">
        <f t="shared" si="2"/>
        <v>8172.96052631579</v>
      </c>
      <c r="L32" s="121"/>
      <c r="M32" s="68">
        <f t="shared" si="5"/>
        <v>10.285714285714285</v>
      </c>
      <c r="N32" s="69">
        <f t="shared" si="6"/>
        <v>12.100840336134453</v>
      </c>
    </row>
    <row r="33" spans="1:18" x14ac:dyDescent="0.25">
      <c r="A33" s="57">
        <f>$A$37*0.7</f>
        <v>700000</v>
      </c>
      <c r="B33" s="58"/>
      <c r="C33" s="58">
        <f t="shared" si="3"/>
        <v>9722.2222222222226</v>
      </c>
      <c r="D33" s="58"/>
      <c r="E33" s="59">
        <f t="shared" si="4"/>
        <v>7777.7777777777774</v>
      </c>
      <c r="F33" s="57"/>
      <c r="G33" s="58">
        <f t="shared" si="0"/>
        <v>653836.84210526315</v>
      </c>
      <c r="H33" s="58"/>
      <c r="I33" s="58">
        <f t="shared" si="1"/>
        <v>9081.0672514619891</v>
      </c>
      <c r="J33" s="58"/>
      <c r="K33" s="59">
        <f t="shared" si="2"/>
        <v>7264.85380116959</v>
      </c>
      <c r="M33" s="68">
        <f t="shared" si="5"/>
        <v>10.182857142857143</v>
      </c>
      <c r="N33" s="69">
        <f t="shared" si="6"/>
        <v>13.568097458836966</v>
      </c>
    </row>
    <row r="34" spans="1:18" x14ac:dyDescent="0.25">
      <c r="A34" s="57">
        <f>$A$37*0.799</f>
        <v>799000</v>
      </c>
      <c r="B34" s="58"/>
      <c r="C34" s="58">
        <f t="shared" si="3"/>
        <v>9722.2222222222226</v>
      </c>
      <c r="D34" s="58"/>
      <c r="E34" s="59">
        <f t="shared" si="4"/>
        <v>6815.2777777777774</v>
      </c>
      <c r="F34" s="57"/>
      <c r="G34" s="58">
        <f>A34/38*35.494</f>
        <v>746308.05263157887</v>
      </c>
      <c r="H34" s="58"/>
      <c r="I34" s="58">
        <f>C34/38*35.494</f>
        <v>9081.0672514619891</v>
      </c>
      <c r="J34" s="58"/>
      <c r="K34" s="59">
        <f>E34/38*35.494</f>
        <v>6365.8281432748536</v>
      </c>
      <c r="M34" s="68">
        <f t="shared" si="5"/>
        <v>0.10285714285714286</v>
      </c>
      <c r="N34" s="69">
        <f t="shared" si="6"/>
        <v>0.14683389415723463</v>
      </c>
      <c r="O34" s="121">
        <f>SUM(N31:N34)</f>
        <v>36.642839358301586</v>
      </c>
    </row>
    <row r="35" spans="1:18" x14ac:dyDescent="0.25">
      <c r="A35" s="57">
        <f>$A$37*0.8</f>
        <v>800000</v>
      </c>
      <c r="B35" s="58"/>
      <c r="C35" s="58">
        <f t="shared" si="3"/>
        <v>9722.2222222222226</v>
      </c>
      <c r="D35" s="58"/>
      <c r="E35" s="59">
        <f t="shared" si="4"/>
        <v>6805.5555555555557</v>
      </c>
      <c r="F35" s="57"/>
      <c r="G35" s="58">
        <f t="shared" si="0"/>
        <v>747242.10526315798</v>
      </c>
      <c r="H35" s="58"/>
      <c r="I35" s="58">
        <f t="shared" si="1"/>
        <v>9081.0672514619891</v>
      </c>
      <c r="J35" s="58"/>
      <c r="K35" s="59">
        <f t="shared" si="2"/>
        <v>6356.7470760233919</v>
      </c>
      <c r="M35" s="68">
        <f t="shared" si="5"/>
        <v>10.285714285714285</v>
      </c>
      <c r="N35" s="69">
        <f t="shared" si="6"/>
        <v>15.824175824175823</v>
      </c>
    </row>
    <row r="36" spans="1:18" x14ac:dyDescent="0.25">
      <c r="A36" s="57">
        <f>$A$37*0.9</f>
        <v>900000</v>
      </c>
      <c r="B36" s="58"/>
      <c r="C36" s="58">
        <f t="shared" si="3"/>
        <v>9722.2222222222226</v>
      </c>
      <c r="D36" s="58"/>
      <c r="E36" s="59">
        <f t="shared" si="4"/>
        <v>5833.3333333333339</v>
      </c>
      <c r="F36" s="57"/>
      <c r="G36" s="58">
        <f t="shared" si="0"/>
        <v>840647.3684210527</v>
      </c>
      <c r="H36" s="58"/>
      <c r="I36" s="58">
        <f t="shared" si="1"/>
        <v>9081.0672514619891</v>
      </c>
      <c r="J36" s="58"/>
      <c r="K36" s="59">
        <f t="shared" si="2"/>
        <v>5448.6403508771937</v>
      </c>
      <c r="L36" s="121">
        <f>SUM(M31:M36)</f>
        <v>51.428571428571423</v>
      </c>
      <c r="M36" s="68">
        <f t="shared" si="5"/>
        <v>10.285714285714285</v>
      </c>
      <c r="N36" s="69">
        <f t="shared" si="6"/>
        <v>18.7012987012987</v>
      </c>
      <c r="O36" s="121">
        <f>SUM(N35:N36)</f>
        <v>34.525474525474522</v>
      </c>
    </row>
    <row r="37" spans="1:18" x14ac:dyDescent="0.25">
      <c r="A37" s="60">
        <f>$A$9</f>
        <v>1000000</v>
      </c>
      <c r="B37" s="55"/>
      <c r="C37" s="55">
        <f t="shared" si="3"/>
        <v>9722.2222222222226</v>
      </c>
      <c r="D37" s="55"/>
      <c r="E37" s="56">
        <f t="shared" si="4"/>
        <v>4861.1111111111113</v>
      </c>
      <c r="F37" s="60"/>
      <c r="G37" s="55">
        <f t="shared" si="0"/>
        <v>934052.6315789473</v>
      </c>
      <c r="H37" s="55"/>
      <c r="I37" s="55">
        <f t="shared" si="1"/>
        <v>9081.0672514619891</v>
      </c>
      <c r="J37" s="55"/>
      <c r="K37" s="56">
        <f t="shared" si="2"/>
        <v>4540.5336257309946</v>
      </c>
      <c r="M37" s="68"/>
      <c r="N37" s="69"/>
    </row>
    <row r="38" spans="1:18" x14ac:dyDescent="0.25">
      <c r="M38" s="70">
        <f>SUM(M24:M36)</f>
        <v>122.59738408095458</v>
      </c>
      <c r="N38" s="71">
        <f>SUM(N24:N37)</f>
        <v>122.59688531234754</v>
      </c>
    </row>
    <row r="39" spans="1:18" ht="17.399999999999999" x14ac:dyDescent="0.3">
      <c r="A39" s="95" t="s">
        <v>125</v>
      </c>
      <c r="B39" s="39"/>
      <c r="C39" s="39"/>
      <c r="M39" s="66"/>
    </row>
    <row r="40" spans="1:18" x14ac:dyDescent="0.25">
      <c r="M40" s="66"/>
    </row>
    <row r="41" spans="1:18" s="42" customFormat="1" x14ac:dyDescent="0.25">
      <c r="A41" s="42" t="s">
        <v>18</v>
      </c>
      <c r="G41" s="42" t="s">
        <v>19</v>
      </c>
      <c r="M41" s="61"/>
      <c r="N41" s="62"/>
    </row>
    <row r="42" spans="1:18" s="42" customFormat="1" x14ac:dyDescent="0.25">
      <c r="A42" s="45"/>
      <c r="B42" s="46"/>
      <c r="C42" s="46" t="s">
        <v>4</v>
      </c>
      <c r="D42" s="46"/>
      <c r="E42" s="47" t="s">
        <v>4</v>
      </c>
      <c r="F42" s="45"/>
      <c r="G42" s="46"/>
      <c r="H42" s="46"/>
      <c r="I42" s="46" t="s">
        <v>4</v>
      </c>
      <c r="J42" s="46"/>
      <c r="K42" s="47" t="s">
        <v>4</v>
      </c>
      <c r="M42" s="67" t="s">
        <v>43</v>
      </c>
      <c r="N42" s="47" t="s">
        <v>45</v>
      </c>
    </row>
    <row r="43" spans="1:18" s="42" customFormat="1" x14ac:dyDescent="0.25">
      <c r="A43" s="48"/>
      <c r="B43" s="49"/>
      <c r="C43" s="49" t="s">
        <v>9</v>
      </c>
      <c r="D43" s="49"/>
      <c r="E43" s="50" t="s">
        <v>3</v>
      </c>
      <c r="F43" s="48"/>
      <c r="G43" s="49"/>
      <c r="H43" s="49"/>
      <c r="I43" s="49" t="s">
        <v>9</v>
      </c>
      <c r="J43" s="49"/>
      <c r="K43" s="50" t="s">
        <v>3</v>
      </c>
      <c r="M43" s="48" t="s">
        <v>44</v>
      </c>
      <c r="N43" s="50" t="s">
        <v>44</v>
      </c>
    </row>
    <row r="44" spans="1:18" s="42" customFormat="1" x14ac:dyDescent="0.25">
      <c r="A44" s="48" t="s">
        <v>15</v>
      </c>
      <c r="B44" s="49"/>
      <c r="C44" s="49" t="s">
        <v>11</v>
      </c>
      <c r="D44" s="49"/>
      <c r="E44" s="50" t="s">
        <v>11</v>
      </c>
      <c r="F44" s="48"/>
      <c r="G44" s="49" t="s">
        <v>15</v>
      </c>
      <c r="H44" s="49"/>
      <c r="I44" s="49" t="s">
        <v>11</v>
      </c>
      <c r="J44" s="49"/>
      <c r="K44" s="50" t="s">
        <v>11</v>
      </c>
      <c r="M44" s="72"/>
      <c r="N44" s="50"/>
    </row>
    <row r="45" spans="1:18" s="42" customFormat="1" x14ac:dyDescent="0.25">
      <c r="A45" s="51" t="s">
        <v>12</v>
      </c>
      <c r="B45" s="52"/>
      <c r="C45" s="52" t="s">
        <v>14</v>
      </c>
      <c r="D45" s="52"/>
      <c r="E45" s="53" t="s">
        <v>14</v>
      </c>
      <c r="F45" s="51"/>
      <c r="G45" s="52" t="s">
        <v>16</v>
      </c>
      <c r="H45" s="52"/>
      <c r="I45" s="52" t="s">
        <v>17</v>
      </c>
      <c r="J45" s="52"/>
      <c r="K45" s="53" t="s">
        <v>17</v>
      </c>
      <c r="M45" s="72"/>
      <c r="N45" s="50"/>
    </row>
    <row r="46" spans="1:18" x14ac:dyDescent="0.25">
      <c r="A46" s="57">
        <f>A24</f>
        <v>0</v>
      </c>
      <c r="B46" s="100">
        <f t="shared" ref="B46:D58" si="7">+$A46/$A$9</f>
        <v>0</v>
      </c>
      <c r="C46" s="168">
        <f>AVERAGE(C24,C25,C27)*0.571</f>
        <v>3330.833333333333</v>
      </c>
      <c r="D46" s="100">
        <f t="shared" si="7"/>
        <v>0</v>
      </c>
      <c r="E46" s="169">
        <f>E24*1.716</f>
        <v>16683.333333333332</v>
      </c>
      <c r="F46" s="57"/>
      <c r="G46" s="58">
        <f t="shared" ref="G46:G59" si="8">A46/38*35.494</f>
        <v>0</v>
      </c>
      <c r="H46" s="58"/>
      <c r="I46" s="58">
        <f t="shared" ref="I46:I59" si="9">C46/38*35.494</f>
        <v>3111.1736403508771</v>
      </c>
      <c r="J46" s="58"/>
      <c r="K46" s="59">
        <f t="shared" ref="K46:K59" si="10">E46/38*35.494</f>
        <v>15583.11140350877</v>
      </c>
      <c r="M46" s="68">
        <f>(A47-A46)/C46</f>
        <v>30.022516887665752</v>
      </c>
      <c r="N46" s="69">
        <f>(A47-A46)/E46</f>
        <v>5.9940059940059944</v>
      </c>
      <c r="P46" s="3"/>
      <c r="Q46" s="1"/>
      <c r="R46" s="3"/>
    </row>
    <row r="47" spans="1:18" x14ac:dyDescent="0.25">
      <c r="A47" s="57">
        <f t="shared" ref="A47:A59" si="11">A25</f>
        <v>100000</v>
      </c>
      <c r="B47" s="100">
        <f t="shared" si="7"/>
        <v>0.1</v>
      </c>
      <c r="C47" s="168">
        <f>C46</f>
        <v>3330.833333333333</v>
      </c>
      <c r="D47" s="100">
        <f t="shared" si="7"/>
        <v>0.1</v>
      </c>
      <c r="E47" s="169">
        <f t="shared" ref="E47:E52" si="12">E25*1.716</f>
        <v>16683.333333333332</v>
      </c>
      <c r="F47" s="57"/>
      <c r="G47" s="58">
        <f t="shared" si="8"/>
        <v>93405.263157894748</v>
      </c>
      <c r="H47" s="58"/>
      <c r="I47" s="58">
        <f t="shared" si="9"/>
        <v>3111.1736403508771</v>
      </c>
      <c r="J47" s="58"/>
      <c r="K47" s="59">
        <f t="shared" si="10"/>
        <v>15583.11140350877</v>
      </c>
      <c r="M47" s="68">
        <f>(A48-A47)/C47</f>
        <v>29.722291718789094</v>
      </c>
      <c r="N47" s="69">
        <f t="shared" ref="N47:N58" si="13">(A48-A47)/E47</f>
        <v>5.9340659340659343</v>
      </c>
      <c r="P47" s="3"/>
      <c r="Q47" s="1"/>
      <c r="R47" s="3"/>
    </row>
    <row r="48" spans="1:18" x14ac:dyDescent="0.25">
      <c r="A48" s="57">
        <f t="shared" si="11"/>
        <v>199000</v>
      </c>
      <c r="B48" s="100">
        <f t="shared" si="7"/>
        <v>0.19900000000000001</v>
      </c>
      <c r="C48" s="168">
        <f>C47</f>
        <v>3330.833333333333</v>
      </c>
      <c r="D48" s="100">
        <f t="shared" si="7"/>
        <v>0.19900000000000001</v>
      </c>
      <c r="E48" s="169">
        <f t="shared" si="12"/>
        <v>16683.333333333332</v>
      </c>
      <c r="F48" s="57"/>
      <c r="G48" s="58">
        <f t="shared" si="8"/>
        <v>185876.4736842105</v>
      </c>
      <c r="H48" s="58"/>
      <c r="I48" s="58">
        <f t="shared" si="9"/>
        <v>3111.1736403508771</v>
      </c>
      <c r="J48" s="58"/>
      <c r="K48" s="59">
        <f t="shared" si="10"/>
        <v>15583.11140350877</v>
      </c>
      <c r="L48" s="121">
        <f>SUM(M46:M48)</f>
        <v>60.045033775331504</v>
      </c>
      <c r="M48" s="68">
        <f>(A49-A48)/C48</f>
        <v>0.30022516887665751</v>
      </c>
      <c r="N48" s="69">
        <f t="shared" si="13"/>
        <v>5.9940059940059943E-2</v>
      </c>
      <c r="O48" s="121"/>
      <c r="P48" s="3"/>
      <c r="Q48" s="1"/>
      <c r="R48" s="3"/>
    </row>
    <row r="49" spans="1:18" x14ac:dyDescent="0.25">
      <c r="A49" s="57">
        <f t="shared" si="11"/>
        <v>200000</v>
      </c>
      <c r="B49" s="100">
        <f t="shared" si="7"/>
        <v>0.2</v>
      </c>
      <c r="C49" s="58">
        <f>AVERAGE(C27,C28,C29,C30)*1.21</f>
        <v>9996.3645833333321</v>
      </c>
      <c r="D49" s="100">
        <f t="shared" si="7"/>
        <v>0.2</v>
      </c>
      <c r="E49" s="169">
        <f t="shared" si="12"/>
        <v>16683.333333333332</v>
      </c>
      <c r="F49" s="57"/>
      <c r="G49" s="58">
        <f t="shared" si="8"/>
        <v>186810.5263157895</v>
      </c>
      <c r="H49" s="58"/>
      <c r="I49" s="58">
        <f t="shared" si="9"/>
        <v>9337.1306452850858</v>
      </c>
      <c r="J49" s="58"/>
      <c r="K49" s="59">
        <f t="shared" si="10"/>
        <v>15583.11140350877</v>
      </c>
      <c r="M49" s="68">
        <f t="shared" ref="M49:M58" si="14">(A50-A49)/C49</f>
        <v>10.003636738772743</v>
      </c>
      <c r="N49" s="69">
        <f t="shared" si="13"/>
        <v>5.9940059940059944</v>
      </c>
      <c r="P49" s="3"/>
      <c r="Q49" s="1"/>
      <c r="R49" s="3"/>
    </row>
    <row r="50" spans="1:18" x14ac:dyDescent="0.25">
      <c r="A50" s="57">
        <f t="shared" si="11"/>
        <v>300000</v>
      </c>
      <c r="B50" s="100">
        <f t="shared" si="7"/>
        <v>0.3</v>
      </c>
      <c r="C50" s="58">
        <f>C49</f>
        <v>9996.3645833333321</v>
      </c>
      <c r="D50" s="100">
        <f t="shared" si="7"/>
        <v>0.3</v>
      </c>
      <c r="E50" s="169">
        <f t="shared" si="12"/>
        <v>16683.333333333332</v>
      </c>
      <c r="F50" s="57"/>
      <c r="G50" s="58">
        <f t="shared" si="8"/>
        <v>280215.78947368421</v>
      </c>
      <c r="H50" s="58"/>
      <c r="I50" s="58">
        <f t="shared" si="9"/>
        <v>9337.1306452850858</v>
      </c>
      <c r="J50" s="58"/>
      <c r="K50" s="59">
        <f t="shared" si="10"/>
        <v>15583.11140350877</v>
      </c>
      <c r="L50" s="121"/>
      <c r="M50" s="68">
        <f t="shared" si="14"/>
        <v>10.003636738772743</v>
      </c>
      <c r="N50" s="69">
        <f t="shared" si="13"/>
        <v>5.9940059940059944</v>
      </c>
      <c r="P50" s="3"/>
      <c r="Q50" s="1"/>
      <c r="R50" s="3"/>
    </row>
    <row r="51" spans="1:18" x14ac:dyDescent="0.25">
      <c r="A51" s="57">
        <f t="shared" si="11"/>
        <v>400000</v>
      </c>
      <c r="B51" s="100">
        <f t="shared" si="7"/>
        <v>0.4</v>
      </c>
      <c r="C51" s="58">
        <f>C50</f>
        <v>9996.3645833333321</v>
      </c>
      <c r="D51" s="100">
        <f t="shared" si="7"/>
        <v>0.4</v>
      </c>
      <c r="E51" s="169">
        <f t="shared" si="12"/>
        <v>16683.333333333332</v>
      </c>
      <c r="F51" s="57"/>
      <c r="G51" s="58">
        <f t="shared" si="8"/>
        <v>373621.05263157899</v>
      </c>
      <c r="H51" s="58"/>
      <c r="I51" s="58">
        <f t="shared" si="9"/>
        <v>9337.1306452850858</v>
      </c>
      <c r="J51" s="58"/>
      <c r="K51" s="59">
        <f t="shared" si="10"/>
        <v>15583.11140350877</v>
      </c>
      <c r="M51" s="68">
        <f t="shared" si="14"/>
        <v>9.9036003713850143</v>
      </c>
      <c r="N51" s="69">
        <f t="shared" si="13"/>
        <v>5.9340659340659343</v>
      </c>
      <c r="P51" s="3"/>
      <c r="Q51" s="1"/>
      <c r="R51" s="3"/>
    </row>
    <row r="52" spans="1:18" x14ac:dyDescent="0.25">
      <c r="A52" s="57">
        <f t="shared" si="11"/>
        <v>499000</v>
      </c>
      <c r="B52" s="100">
        <f t="shared" si="7"/>
        <v>0.499</v>
      </c>
      <c r="C52" s="58">
        <f>C51</f>
        <v>9996.3645833333321</v>
      </c>
      <c r="D52" s="100">
        <f t="shared" si="7"/>
        <v>0.499</v>
      </c>
      <c r="E52" s="169">
        <f t="shared" si="12"/>
        <v>16683.333333333332</v>
      </c>
      <c r="F52" s="57"/>
      <c r="G52" s="58">
        <f t="shared" si="8"/>
        <v>466092.26315789478</v>
      </c>
      <c r="H52" s="58"/>
      <c r="I52" s="58">
        <f t="shared" si="9"/>
        <v>9337.1306452850858</v>
      </c>
      <c r="J52" s="58"/>
      <c r="K52" s="59">
        <f t="shared" si="10"/>
        <v>15583.11140350877</v>
      </c>
      <c r="L52" s="121">
        <f>SUM(M49:M52)</f>
        <v>30.010910216318226</v>
      </c>
      <c r="M52" s="68">
        <f t="shared" si="14"/>
        <v>0.10003636738772742</v>
      </c>
      <c r="N52" s="69">
        <f t="shared" si="13"/>
        <v>5.9940059940059943E-2</v>
      </c>
      <c r="O52" s="121">
        <f>SUM(N46:N52)</f>
        <v>29.970029970029973</v>
      </c>
      <c r="P52" s="3"/>
      <c r="Q52" s="1"/>
      <c r="R52" s="3"/>
    </row>
    <row r="53" spans="1:18" x14ac:dyDescent="0.25">
      <c r="A53" s="57">
        <f t="shared" si="11"/>
        <v>500000</v>
      </c>
      <c r="B53" s="100">
        <f t="shared" si="7"/>
        <v>0.5</v>
      </c>
      <c r="C53" s="168">
        <f>C31*1.716</f>
        <v>16683.333333333332</v>
      </c>
      <c r="D53" s="100">
        <f t="shared" si="7"/>
        <v>0.5</v>
      </c>
      <c r="E53" s="59">
        <f>AVERAGE(E$29,E$31,E$32)*1.065</f>
        <v>10009.027777777777</v>
      </c>
      <c r="F53" s="57"/>
      <c r="G53" s="58">
        <f t="shared" si="8"/>
        <v>467026.31578947365</v>
      </c>
      <c r="H53" s="58"/>
      <c r="I53" s="58">
        <f t="shared" si="9"/>
        <v>15583.11140350877</v>
      </c>
      <c r="J53" s="58"/>
      <c r="K53" s="59">
        <f t="shared" si="10"/>
        <v>9348.9587353801162</v>
      </c>
      <c r="M53" s="68">
        <f t="shared" si="14"/>
        <v>5.9940059940059944</v>
      </c>
      <c r="N53" s="69">
        <f t="shared" si="13"/>
        <v>9.9909803649483102</v>
      </c>
      <c r="P53" s="3"/>
      <c r="Q53" s="1"/>
      <c r="R53" s="3"/>
    </row>
    <row r="54" spans="1:18" x14ac:dyDescent="0.25">
      <c r="A54" s="57">
        <f t="shared" si="11"/>
        <v>600000</v>
      </c>
      <c r="B54" s="100">
        <f t="shared" si="7"/>
        <v>0.6</v>
      </c>
      <c r="C54" s="168">
        <f t="shared" ref="C54:C59" si="15">C32*1.716</f>
        <v>16683.333333333332</v>
      </c>
      <c r="D54" s="100">
        <f t="shared" si="7"/>
        <v>0.6</v>
      </c>
      <c r="E54" s="59">
        <f>AVERAGE(E$29,E$31,E$32)*1.065</f>
        <v>10009.027777777777</v>
      </c>
      <c r="F54" s="57"/>
      <c r="G54" s="58">
        <f t="shared" si="8"/>
        <v>560431.57894736843</v>
      </c>
      <c r="H54" s="58"/>
      <c r="I54" s="58">
        <f t="shared" si="9"/>
        <v>15583.11140350877</v>
      </c>
      <c r="J54" s="58"/>
      <c r="K54" s="59">
        <f t="shared" si="10"/>
        <v>9348.9587353801162</v>
      </c>
      <c r="L54" s="121"/>
      <c r="M54" s="68">
        <f t="shared" si="14"/>
        <v>5.9940059940059944</v>
      </c>
      <c r="N54" s="69">
        <f t="shared" si="13"/>
        <v>9.9909803649483102</v>
      </c>
      <c r="P54" s="3"/>
      <c r="Q54" s="1"/>
      <c r="R54" s="3"/>
    </row>
    <row r="55" spans="1:18" x14ac:dyDescent="0.25">
      <c r="A55" s="57">
        <f t="shared" si="11"/>
        <v>700000</v>
      </c>
      <c r="B55" s="100">
        <f t="shared" si="7"/>
        <v>0.7</v>
      </c>
      <c r="C55" s="168">
        <f t="shared" si="15"/>
        <v>16683.333333333332</v>
      </c>
      <c r="D55" s="100">
        <f t="shared" si="7"/>
        <v>0.7</v>
      </c>
      <c r="E55" s="59">
        <f>AVERAGE(E$29,E$31,E$32)*1.065</f>
        <v>10009.027777777777</v>
      </c>
      <c r="F55" s="57"/>
      <c r="G55" s="58">
        <f t="shared" si="8"/>
        <v>653836.84210526315</v>
      </c>
      <c r="H55" s="58"/>
      <c r="I55" s="58">
        <f t="shared" si="9"/>
        <v>15583.11140350877</v>
      </c>
      <c r="J55" s="58"/>
      <c r="K55" s="59">
        <f t="shared" si="10"/>
        <v>9348.9587353801162</v>
      </c>
      <c r="M55" s="68">
        <f t="shared" si="14"/>
        <v>5.9340659340659343</v>
      </c>
      <c r="N55" s="69">
        <f t="shared" si="13"/>
        <v>9.891070561298827</v>
      </c>
      <c r="P55" s="3"/>
      <c r="Q55" s="1"/>
      <c r="R55" s="3"/>
    </row>
    <row r="56" spans="1:18" x14ac:dyDescent="0.25">
      <c r="A56" s="57">
        <f t="shared" si="11"/>
        <v>799000</v>
      </c>
      <c r="B56" s="100">
        <f t="shared" si="7"/>
        <v>0.79900000000000004</v>
      </c>
      <c r="C56" s="168">
        <f t="shared" si="15"/>
        <v>16683.333333333332</v>
      </c>
      <c r="D56" s="100">
        <f t="shared" si="7"/>
        <v>0.79900000000000004</v>
      </c>
      <c r="E56" s="59">
        <f>AVERAGE(E$29,E$31,E$32)*1.065</f>
        <v>10009.027777777777</v>
      </c>
      <c r="F56" s="57"/>
      <c r="G56" s="58">
        <f t="shared" si="8"/>
        <v>746308.05263157887</v>
      </c>
      <c r="H56" s="58"/>
      <c r="I56" s="58">
        <f t="shared" si="9"/>
        <v>15583.11140350877</v>
      </c>
      <c r="J56" s="58"/>
      <c r="K56" s="59">
        <f t="shared" si="10"/>
        <v>9348.9587353801162</v>
      </c>
      <c r="M56" s="68">
        <f t="shared" si="14"/>
        <v>5.9940059940059943E-2</v>
      </c>
      <c r="N56" s="69">
        <f t="shared" si="13"/>
        <v>9.9909803649483112E-2</v>
      </c>
      <c r="O56" s="121">
        <f>SUM(N53:N56)</f>
        <v>29.972941094844927</v>
      </c>
      <c r="P56" s="3"/>
      <c r="Q56" s="1"/>
      <c r="R56" s="3"/>
    </row>
    <row r="57" spans="1:18" x14ac:dyDescent="0.25">
      <c r="A57" s="57">
        <f t="shared" si="11"/>
        <v>800000</v>
      </c>
      <c r="B57" s="100">
        <f t="shared" si="7"/>
        <v>0.8</v>
      </c>
      <c r="C57" s="168">
        <f t="shared" si="15"/>
        <v>16683.333333333332</v>
      </c>
      <c r="D57" s="100">
        <f t="shared" si="7"/>
        <v>0.8</v>
      </c>
      <c r="E57" s="168">
        <f>AVERAGE(E$35,E$36,E$37)*0.571</f>
        <v>3330.833333333333</v>
      </c>
      <c r="F57" s="57"/>
      <c r="G57" s="58">
        <f t="shared" si="8"/>
        <v>747242.10526315798</v>
      </c>
      <c r="H57" s="58"/>
      <c r="I57" s="58">
        <f t="shared" si="9"/>
        <v>15583.11140350877</v>
      </c>
      <c r="J57" s="58"/>
      <c r="K57" s="59">
        <f t="shared" si="10"/>
        <v>3111.1736403508771</v>
      </c>
      <c r="M57" s="68">
        <f t="shared" si="14"/>
        <v>5.9940059940059944</v>
      </c>
      <c r="N57" s="69">
        <f t="shared" si="13"/>
        <v>30.022516887665752</v>
      </c>
      <c r="P57" s="3"/>
      <c r="Q57" s="1"/>
      <c r="R57" s="3"/>
    </row>
    <row r="58" spans="1:18" x14ac:dyDescent="0.25">
      <c r="A58" s="57">
        <f t="shared" si="11"/>
        <v>900000</v>
      </c>
      <c r="B58" s="100">
        <f t="shared" si="7"/>
        <v>0.9</v>
      </c>
      <c r="C58" s="168">
        <f t="shared" si="15"/>
        <v>16683.333333333332</v>
      </c>
      <c r="D58" s="100">
        <f t="shared" si="7"/>
        <v>0.9</v>
      </c>
      <c r="E58" s="168">
        <f>AVERAGE(E$35,E$36,E$37)*0.571</f>
        <v>3330.833333333333</v>
      </c>
      <c r="F58" s="57"/>
      <c r="G58" s="58">
        <f t="shared" si="8"/>
        <v>840647.3684210527</v>
      </c>
      <c r="H58" s="58"/>
      <c r="I58" s="58">
        <f t="shared" si="9"/>
        <v>15583.11140350877</v>
      </c>
      <c r="J58" s="58"/>
      <c r="K58" s="59">
        <f t="shared" si="10"/>
        <v>3111.1736403508771</v>
      </c>
      <c r="L58" s="121">
        <f>SUM(M53:M58)</f>
        <v>29.970029970029977</v>
      </c>
      <c r="M58" s="68">
        <f t="shared" si="14"/>
        <v>5.9940059940059944</v>
      </c>
      <c r="N58" s="69">
        <f t="shared" si="13"/>
        <v>30.022516887665752</v>
      </c>
      <c r="O58" s="121">
        <f>SUM(N57:N58)</f>
        <v>60.045033775331504</v>
      </c>
      <c r="P58" s="3"/>
      <c r="Q58" s="1"/>
      <c r="R58" s="3"/>
    </row>
    <row r="59" spans="1:18" x14ac:dyDescent="0.25">
      <c r="A59" s="60">
        <f t="shared" si="11"/>
        <v>1000000</v>
      </c>
      <c r="B59" s="99">
        <f>+$A59/$A$9</f>
        <v>1</v>
      </c>
      <c r="C59" s="168">
        <f t="shared" si="15"/>
        <v>16683.333333333332</v>
      </c>
      <c r="D59" s="99">
        <f>+$A59/$A$9</f>
        <v>1</v>
      </c>
      <c r="E59" s="168">
        <f>AVERAGE(E$35,E$36,E$37)*0.571</f>
        <v>3330.833333333333</v>
      </c>
      <c r="F59" s="60"/>
      <c r="G59" s="55">
        <f t="shared" si="8"/>
        <v>934052.6315789473</v>
      </c>
      <c r="H59" s="55"/>
      <c r="I59" s="55">
        <f t="shared" si="9"/>
        <v>15583.11140350877</v>
      </c>
      <c r="J59" s="55"/>
      <c r="K59" s="56">
        <f t="shared" si="10"/>
        <v>3111.1736403508771</v>
      </c>
      <c r="M59" s="68"/>
      <c r="N59" s="69"/>
      <c r="P59" s="1"/>
      <c r="Q59" s="1"/>
      <c r="R59" s="1"/>
    </row>
    <row r="60" spans="1:18" x14ac:dyDescent="0.25">
      <c r="M60" s="70">
        <f>SUM(M46:M58)</f>
        <v>120.02597396167968</v>
      </c>
      <c r="N60" s="71">
        <f>SUM(N46:N59)</f>
        <v>119.9880048402064</v>
      </c>
      <c r="P60" s="73"/>
      <c r="Q60" s="1"/>
      <c r="R60" s="73"/>
    </row>
    <row r="61" spans="1:18" s="102" customFormat="1" x14ac:dyDescent="0.25">
      <c r="M61" s="101"/>
    </row>
    <row r="62" spans="1:18" ht="13.8" thickBot="1" x14ac:dyDescent="0.3"/>
    <row r="63" spans="1:18" x14ac:dyDescent="0.25">
      <c r="A63" s="104" t="s">
        <v>53</v>
      </c>
      <c r="B63" s="105"/>
      <c r="C63" s="106"/>
      <c r="D63" s="105"/>
      <c r="E63" s="107"/>
    </row>
    <row r="64" spans="1:18" x14ac:dyDescent="0.25">
      <c r="A64" s="108"/>
      <c r="B64" s="1"/>
      <c r="C64" s="1"/>
      <c r="D64" s="1"/>
      <c r="E64" s="109"/>
    </row>
    <row r="65" spans="1:5" ht="27" thickBot="1" x14ac:dyDescent="0.3">
      <c r="A65" s="110" t="s">
        <v>49</v>
      </c>
      <c r="B65" s="103" t="s">
        <v>52</v>
      </c>
      <c r="C65" s="103" t="s">
        <v>50</v>
      </c>
      <c r="D65" s="103"/>
      <c r="E65" s="111" t="s">
        <v>51</v>
      </c>
    </row>
    <row r="66" spans="1:5" x14ac:dyDescent="0.25">
      <c r="A66" s="112">
        <v>0</v>
      </c>
      <c r="B66" s="100">
        <v>1</v>
      </c>
      <c r="C66" s="113">
        <f>AVERAGE(C57:C59)</f>
        <v>16683.333333333332</v>
      </c>
      <c r="D66" s="2"/>
      <c r="E66" s="114">
        <f>AVERAGE(E57:E59)</f>
        <v>3330.8333333333335</v>
      </c>
    </row>
    <row r="67" spans="1:5" x14ac:dyDescent="0.25">
      <c r="A67" s="112">
        <v>1</v>
      </c>
      <c r="B67" s="100">
        <v>0.8</v>
      </c>
      <c r="C67" s="113">
        <f>AVERAGE(C53:C56)</f>
        <v>16683.333333333332</v>
      </c>
      <c r="D67" s="2"/>
      <c r="E67" s="114">
        <f>AVERAGE(E53:E56)</f>
        <v>10009.027777777777</v>
      </c>
    </row>
    <row r="68" spans="1:5" x14ac:dyDescent="0.25">
      <c r="A68" s="112">
        <v>2</v>
      </c>
      <c r="B68" s="100">
        <v>0.5</v>
      </c>
      <c r="C68" s="113">
        <f>AVERAGE(C50:C52)</f>
        <v>9996.3645833333321</v>
      </c>
      <c r="D68" s="2"/>
      <c r="E68" s="114">
        <f>AVERAGE(E50:E52)</f>
        <v>16683.333333333332</v>
      </c>
    </row>
    <row r="69" spans="1:5" x14ac:dyDescent="0.25">
      <c r="A69" s="112">
        <v>3</v>
      </c>
      <c r="B69" s="100">
        <v>0.3</v>
      </c>
      <c r="C69" s="113">
        <f>AVERAGE(C49:C50)</f>
        <v>9996.3645833333321</v>
      </c>
      <c r="D69" s="2"/>
      <c r="E69" s="114">
        <f>AVERAGE(E49:E50)</f>
        <v>16683.333333333332</v>
      </c>
    </row>
    <row r="70" spans="1:5" x14ac:dyDescent="0.25">
      <c r="A70" s="115">
        <v>4</v>
      </c>
      <c r="B70" s="100">
        <v>0.2</v>
      </c>
      <c r="C70" s="113">
        <f>AVERAGE(C46:C48)</f>
        <v>3330.8333333333335</v>
      </c>
      <c r="D70" s="2"/>
      <c r="E70" s="114">
        <f>AVERAGE(E46:E48)</f>
        <v>16683.333333333332</v>
      </c>
    </row>
    <row r="71" spans="1:5" ht="13.8" thickBot="1" x14ac:dyDescent="0.3">
      <c r="A71" s="116"/>
      <c r="B71" s="117">
        <v>0</v>
      </c>
      <c r="C71" s="118"/>
      <c r="D71" s="119"/>
      <c r="E71" s="120"/>
    </row>
  </sheetData>
  <phoneticPr fontId="18" type="noConversion"/>
  <pageMargins left="0.75" right="0.75" top="1" bottom="1" header="0.5" footer="0.5"/>
  <pageSetup scale="74" orientation="portrait" horizontalDpi="300" verticalDpi="300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workbookViewId="0"/>
  </sheetViews>
  <sheetFormatPr defaultRowHeight="13.2" x14ac:dyDescent="0.25"/>
  <cols>
    <col min="2" max="2" width="12.109375" customWidth="1"/>
    <col min="3" max="3" width="10.5546875" customWidth="1"/>
    <col min="4" max="4" width="10.6640625" bestFit="1" customWidth="1"/>
    <col min="5" max="5" width="11.44140625" customWidth="1"/>
    <col min="6" max="7" width="10.88671875" customWidth="1"/>
    <col min="8" max="8" width="10.6640625" customWidth="1"/>
    <col min="9" max="9" width="9.5546875" customWidth="1"/>
    <col min="10" max="10" width="12.109375" customWidth="1"/>
  </cols>
  <sheetData>
    <row r="1" spans="1:10" ht="21" x14ac:dyDescent="0.4">
      <c r="A1" s="74" t="s">
        <v>126</v>
      </c>
    </row>
    <row r="4" spans="1:10" ht="15.6" x14ac:dyDescent="0.3">
      <c r="B4" s="181">
        <f>'Input Sheet'!B7</f>
        <v>1.5208333333333333</v>
      </c>
      <c r="C4" s="135" t="s">
        <v>111</v>
      </c>
      <c r="D4" s="135"/>
      <c r="E4" s="136">
        <f>'Sp 1.5 Input'!A9</f>
        <v>1000000</v>
      </c>
      <c r="F4" s="135" t="s">
        <v>75</v>
      </c>
      <c r="G4" s="135"/>
    </row>
    <row r="6" spans="1:10" x14ac:dyDescent="0.25">
      <c r="C6" s="123" t="s">
        <v>60</v>
      </c>
      <c r="H6" s="123" t="s">
        <v>63</v>
      </c>
    </row>
    <row r="7" spans="1:10" x14ac:dyDescent="0.25">
      <c r="E7" s="64" t="s">
        <v>44</v>
      </c>
      <c r="J7" s="64" t="s">
        <v>44</v>
      </c>
    </row>
    <row r="8" spans="1:10" x14ac:dyDescent="0.25">
      <c r="B8" t="s">
        <v>58</v>
      </c>
      <c r="D8" s="64" t="s">
        <v>57</v>
      </c>
      <c r="E8" s="64" t="s">
        <v>61</v>
      </c>
      <c r="G8" t="s">
        <v>58</v>
      </c>
      <c r="I8" s="64" t="s">
        <v>57</v>
      </c>
      <c r="J8" s="64" t="s">
        <v>61</v>
      </c>
    </row>
    <row r="9" spans="1:10" x14ac:dyDescent="0.25">
      <c r="B9" s="124" t="s">
        <v>56</v>
      </c>
      <c r="C9" s="124" t="s">
        <v>59</v>
      </c>
      <c r="D9" s="124" t="s">
        <v>55</v>
      </c>
      <c r="E9" s="124" t="s">
        <v>62</v>
      </c>
      <c r="G9" s="124" t="s">
        <v>56</v>
      </c>
      <c r="H9" s="124" t="s">
        <v>59</v>
      </c>
      <c r="I9" s="124" t="s">
        <v>55</v>
      </c>
      <c r="J9" s="124" t="s">
        <v>64</v>
      </c>
    </row>
    <row r="10" spans="1:10" x14ac:dyDescent="0.25">
      <c r="B10" s="64"/>
      <c r="C10" s="64"/>
      <c r="D10" s="64"/>
      <c r="E10" s="64"/>
      <c r="G10" s="64"/>
      <c r="H10" s="64"/>
      <c r="I10" s="64"/>
      <c r="J10" s="64"/>
    </row>
    <row r="11" spans="1:10" x14ac:dyDescent="0.25">
      <c r="B11" s="126">
        <v>0</v>
      </c>
      <c r="C11" s="127">
        <v>0</v>
      </c>
      <c r="D11" s="64"/>
      <c r="E11" s="64"/>
      <c r="G11" s="126">
        <f>'Sp 1.5 Input'!B59</f>
        <v>1</v>
      </c>
      <c r="H11" s="127">
        <f>'Sp 1.5 Input'!A59</f>
        <v>1000000</v>
      </c>
      <c r="I11" s="64"/>
      <c r="J11" s="64"/>
    </row>
    <row r="12" spans="1:10" x14ac:dyDescent="0.25">
      <c r="B12" s="126">
        <f>'Sp 1.5 Input'!B53</f>
        <v>0.5</v>
      </c>
      <c r="C12" s="128">
        <f>'Sp 1.5 Input'!A53</f>
        <v>500000</v>
      </c>
      <c r="D12" s="128">
        <f>'Sp 1.5 Input'!E52</f>
        <v>16683.333333333332</v>
      </c>
      <c r="E12" s="131">
        <v>29.970029970029973</v>
      </c>
      <c r="G12" s="126">
        <f>'Sp 1.5 Input'!B53</f>
        <v>0.5</v>
      </c>
      <c r="H12" s="128">
        <f>'Sp 1.5 Input'!A53</f>
        <v>500000</v>
      </c>
      <c r="I12" s="128">
        <f>'Sp 1.5 Input'!C53</f>
        <v>16683.333333333332</v>
      </c>
      <c r="J12" s="131">
        <v>29.970029970029977</v>
      </c>
    </row>
    <row r="13" spans="1:10" x14ac:dyDescent="0.25">
      <c r="B13" s="64"/>
      <c r="C13" s="64"/>
      <c r="D13" s="64"/>
      <c r="E13" s="64"/>
      <c r="G13" s="64"/>
      <c r="H13" s="64"/>
      <c r="I13" s="64"/>
      <c r="J13" s="64"/>
    </row>
    <row r="14" spans="1:10" x14ac:dyDescent="0.25">
      <c r="B14" s="129">
        <f>'Sp 1.5 Input'!B53</f>
        <v>0.5</v>
      </c>
      <c r="C14" s="127">
        <f>'Sp 1.5 Input'!A53</f>
        <v>500000</v>
      </c>
      <c r="D14" s="128"/>
      <c r="E14" s="64"/>
      <c r="G14" s="129">
        <f>'Sp 1.5 Input'!B52</f>
        <v>0.499</v>
      </c>
      <c r="H14" s="127">
        <f>'Sp 1.5 Input'!A53</f>
        <v>500000</v>
      </c>
      <c r="I14" s="128"/>
      <c r="J14" s="64"/>
    </row>
    <row r="15" spans="1:10" x14ac:dyDescent="0.25">
      <c r="B15" s="129">
        <f>'Sp 1.5 Input'!B56</f>
        <v>0.79900000000000004</v>
      </c>
      <c r="C15" s="128">
        <f>'Sp 1.5 Input'!A57</f>
        <v>800000</v>
      </c>
      <c r="D15" s="128">
        <f>'Sp 1.5 Input'!E56</f>
        <v>10009.027777777777</v>
      </c>
      <c r="E15" s="131">
        <v>29.972941094844927</v>
      </c>
      <c r="G15" s="129">
        <f>'Sp 1.5 Input'!B49</f>
        <v>0.2</v>
      </c>
      <c r="H15" s="128">
        <f>'Sp 1.5 Input'!A49</f>
        <v>200000</v>
      </c>
      <c r="I15" s="128">
        <f>'Sp 1.5 Input'!C49</f>
        <v>9996.3645833333321</v>
      </c>
      <c r="J15" s="131">
        <v>30.010910216318226</v>
      </c>
    </row>
    <row r="16" spans="1:10" x14ac:dyDescent="0.25">
      <c r="B16" s="64"/>
      <c r="C16" s="64"/>
      <c r="D16" s="64"/>
      <c r="E16" s="64"/>
      <c r="G16" s="64"/>
      <c r="H16" s="64"/>
      <c r="I16" s="64"/>
      <c r="J16" s="64"/>
    </row>
    <row r="17" spans="2:10" x14ac:dyDescent="0.25">
      <c r="B17" s="129">
        <f>'Sp 1.5 Input'!B57</f>
        <v>0.8</v>
      </c>
      <c r="C17" s="128">
        <f>'Sp 1.5 Input'!A57</f>
        <v>800000</v>
      </c>
      <c r="D17" s="64"/>
      <c r="E17" s="64"/>
      <c r="G17" s="129">
        <f>'Sp 1.5 Input'!B48</f>
        <v>0.19900000000000001</v>
      </c>
      <c r="H17" s="128">
        <f>'Sp 1.5 Input'!A49</f>
        <v>200000</v>
      </c>
      <c r="I17" s="64"/>
      <c r="J17" s="64"/>
    </row>
    <row r="18" spans="2:10" x14ac:dyDescent="0.25">
      <c r="B18" s="129">
        <f>'Sp 1.5 Input'!B59</f>
        <v>1</v>
      </c>
      <c r="C18" s="128">
        <f>'Sp 1.5 Input'!A59</f>
        <v>1000000</v>
      </c>
      <c r="D18" s="128">
        <f>'Sp 1.5 Input'!E59</f>
        <v>3330.833333333333</v>
      </c>
      <c r="E18" s="132">
        <v>60.045033775331504</v>
      </c>
      <c r="G18" s="129">
        <f>'Sp 1.5 Input'!B46</f>
        <v>0</v>
      </c>
      <c r="H18" s="128">
        <v>0</v>
      </c>
      <c r="I18" s="128">
        <f>'Sp 1.5 Input'!C46</f>
        <v>3330.833333333333</v>
      </c>
      <c r="J18" s="132">
        <v>60.045033775331504</v>
      </c>
    </row>
    <row r="19" spans="2:10" x14ac:dyDescent="0.25">
      <c r="B19" s="64"/>
      <c r="C19" s="64"/>
      <c r="D19" s="64"/>
      <c r="E19" s="131">
        <v>119.9880048402064</v>
      </c>
      <c r="J19" s="131">
        <v>120.02597396167968</v>
      </c>
    </row>
    <row r="20" spans="2:10" x14ac:dyDescent="0.25">
      <c r="B20" s="64"/>
      <c r="C20" s="64"/>
      <c r="D20" s="64"/>
      <c r="E20" s="131"/>
      <c r="J20" s="131"/>
    </row>
    <row r="21" spans="2:10" x14ac:dyDescent="0.25">
      <c r="B21" s="64"/>
      <c r="C21" s="64"/>
      <c r="D21" s="64"/>
      <c r="E21" s="131"/>
      <c r="J21" s="131"/>
    </row>
    <row r="22" spans="2:10" x14ac:dyDescent="0.25">
      <c r="B22" s="64"/>
      <c r="C22" s="64"/>
      <c r="D22" s="64"/>
      <c r="E22" s="131"/>
      <c r="F22" t="s">
        <v>95</v>
      </c>
    </row>
    <row r="23" spans="2:10" x14ac:dyDescent="0.25">
      <c r="B23" s="138" t="s">
        <v>78</v>
      </c>
      <c r="E23" s="64"/>
      <c r="F23" t="s">
        <v>72</v>
      </c>
    </row>
    <row r="24" spans="2:10" x14ac:dyDescent="0.25">
      <c r="B24" s="64" t="s">
        <v>54</v>
      </c>
      <c r="E24" s="64" t="s">
        <v>66</v>
      </c>
      <c r="F24" t="s">
        <v>73</v>
      </c>
      <c r="H24" s="156" t="s">
        <v>95</v>
      </c>
    </row>
    <row r="25" spans="2:10" x14ac:dyDescent="0.25">
      <c r="B25" s="124" t="s">
        <v>59</v>
      </c>
      <c r="E25" s="124" t="s">
        <v>67</v>
      </c>
      <c r="F25" s="125" t="s">
        <v>74</v>
      </c>
      <c r="G25" s="157" t="s">
        <v>119</v>
      </c>
    </row>
    <row r="26" spans="2:10" x14ac:dyDescent="0.25">
      <c r="B26" s="96">
        <f>C18</f>
        <v>1000000</v>
      </c>
      <c r="E26" s="66">
        <v>1.5207447575429791</v>
      </c>
      <c r="F26" s="139">
        <v>1.02</v>
      </c>
      <c r="G26" s="158">
        <f>F26/H26</f>
        <v>1</v>
      </c>
      <c r="H26" s="155">
        <v>1.02</v>
      </c>
    </row>
    <row r="27" spans="2:10" x14ac:dyDescent="0.25">
      <c r="B27" s="64"/>
      <c r="C27" s="64"/>
      <c r="D27" s="64"/>
    </row>
    <row r="28" spans="2:10" x14ac:dyDescent="0.25">
      <c r="B28" s="96"/>
      <c r="C28" s="133"/>
    </row>
    <row r="29" spans="2:10" x14ac:dyDescent="0.25">
      <c r="F29" s="137" t="s">
        <v>77</v>
      </c>
    </row>
    <row r="30" spans="2:10" x14ac:dyDescent="0.25">
      <c r="B30" s="138" t="s">
        <v>76</v>
      </c>
      <c r="F30" t="s">
        <v>72</v>
      </c>
    </row>
    <row r="31" spans="2:10" x14ac:dyDescent="0.25">
      <c r="B31" s="64" t="s">
        <v>54</v>
      </c>
      <c r="C31" s="134" t="s">
        <v>70</v>
      </c>
      <c r="E31" s="64" t="s">
        <v>71</v>
      </c>
      <c r="F31" t="s">
        <v>73</v>
      </c>
    </row>
    <row r="32" spans="2:10" x14ac:dyDescent="0.25">
      <c r="B32" s="124" t="s">
        <v>59</v>
      </c>
      <c r="C32" s="124" t="s">
        <v>65</v>
      </c>
      <c r="D32" s="124" t="s">
        <v>68</v>
      </c>
      <c r="E32" s="124" t="s">
        <v>67</v>
      </c>
      <c r="F32" s="125" t="s">
        <v>74</v>
      </c>
      <c r="G32" s="157" t="s">
        <v>119</v>
      </c>
    </row>
    <row r="33" spans="2:8" x14ac:dyDescent="0.25">
      <c r="B33" s="122">
        <f>C15</f>
        <v>800000</v>
      </c>
      <c r="C33" s="128">
        <f>D12</f>
        <v>16683.333333333332</v>
      </c>
      <c r="D33" s="96">
        <f>D18</f>
        <v>3330.833333333333</v>
      </c>
      <c r="E33" s="130">
        <f>356/(((E12+E15)+((H12-H17)/I12)+(J15+J18)))</f>
        <v>2.1192881451510757</v>
      </c>
      <c r="F33" s="130">
        <f>B26*F26/B33</f>
        <v>1.2749999999999999</v>
      </c>
      <c r="G33" s="158">
        <f>F33/H33</f>
        <v>1.02</v>
      </c>
      <c r="H33">
        <v>1.25</v>
      </c>
    </row>
    <row r="36" spans="2:8" x14ac:dyDescent="0.25">
      <c r="F36" s="137" t="s">
        <v>77</v>
      </c>
    </row>
    <row r="37" spans="2:8" x14ac:dyDescent="0.25">
      <c r="B37" s="138" t="s">
        <v>69</v>
      </c>
      <c r="F37" t="s">
        <v>72</v>
      </c>
    </row>
    <row r="38" spans="2:8" x14ac:dyDescent="0.25">
      <c r="B38" s="64" t="s">
        <v>54</v>
      </c>
      <c r="C38" s="134" t="s">
        <v>70</v>
      </c>
      <c r="E38" s="64" t="s">
        <v>71</v>
      </c>
      <c r="F38" t="s">
        <v>73</v>
      </c>
    </row>
    <row r="39" spans="2:8" x14ac:dyDescent="0.25">
      <c r="B39" s="124" t="s">
        <v>59</v>
      </c>
      <c r="C39" s="124" t="s">
        <v>65</v>
      </c>
      <c r="D39" s="124" t="s">
        <v>68</v>
      </c>
      <c r="E39" s="124" t="s">
        <v>67</v>
      </c>
      <c r="F39" s="125" t="s">
        <v>74</v>
      </c>
      <c r="G39" s="157" t="s">
        <v>119</v>
      </c>
    </row>
    <row r="40" spans="2:8" x14ac:dyDescent="0.25">
      <c r="B40" s="122">
        <f>C15-H17</f>
        <v>600000</v>
      </c>
      <c r="C40" s="128">
        <f>D12</f>
        <v>16683.333333333332</v>
      </c>
      <c r="D40" s="96">
        <f>I15</f>
        <v>9996.3645833333321</v>
      </c>
      <c r="E40" s="130">
        <f>356/((((C12-H17)/D12)+E15)+((H12-H17)/I12)+J15)</f>
        <v>3.710347461626911</v>
      </c>
      <c r="F40" s="130">
        <f>B26*F26/B40</f>
        <v>1.7</v>
      </c>
      <c r="G40" s="158">
        <f>F40/H40</f>
        <v>0.91891891891891886</v>
      </c>
      <c r="H40">
        <v>1.85</v>
      </c>
    </row>
  </sheetData>
  <phoneticPr fontId="18" type="noConversion"/>
  <pageMargins left="0.75" right="0.75" top="1" bottom="1" header="0.5" footer="0.5"/>
  <pageSetup scale="8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abSelected="1" workbookViewId="0">
      <selection activeCell="B2" sqref="B2"/>
    </sheetView>
  </sheetViews>
  <sheetFormatPr defaultRowHeight="13.2" x14ac:dyDescent="0.25"/>
  <cols>
    <col min="2" max="2" width="13.6640625" customWidth="1"/>
    <col min="3" max="3" width="15.5546875" customWidth="1"/>
    <col min="4" max="4" width="11.6640625" customWidth="1"/>
    <col min="5" max="5" width="12.109375" customWidth="1"/>
    <col min="6" max="6" width="12" customWidth="1"/>
    <col min="7" max="8" width="15.88671875" customWidth="1"/>
    <col min="9" max="9" width="11" customWidth="1"/>
    <col min="10" max="10" width="14.5546875" customWidth="1"/>
    <col min="12" max="12" width="12.88671875" customWidth="1"/>
    <col min="16" max="16" width="12.88671875" bestFit="1" customWidth="1"/>
    <col min="17" max="18" width="10.33203125" bestFit="1" customWidth="1"/>
  </cols>
  <sheetData>
    <row r="1" spans="1:17" ht="17.399999999999999" x14ac:dyDescent="0.3">
      <c r="A1" s="142" t="s">
        <v>109</v>
      </c>
      <c r="B1" s="142"/>
      <c r="D1" s="142"/>
      <c r="H1" s="142"/>
    </row>
    <row r="2" spans="1:17" ht="13.8" thickBot="1" x14ac:dyDescent="0.3"/>
    <row r="3" spans="1:17" ht="13.8" thickBot="1" x14ac:dyDescent="0.3">
      <c r="A3" s="138" t="s">
        <v>79</v>
      </c>
      <c r="C3" s="144">
        <v>1000000</v>
      </c>
      <c r="D3" t="s">
        <v>112</v>
      </c>
      <c r="G3" s="143"/>
    </row>
    <row r="6" spans="1:17" x14ac:dyDescent="0.25">
      <c r="B6" s="42" t="s">
        <v>80</v>
      </c>
      <c r="C6" s="42" t="s">
        <v>81</v>
      </c>
      <c r="D6" t="s">
        <v>81</v>
      </c>
      <c r="E6" s="42" t="s">
        <v>54</v>
      </c>
      <c r="F6" t="s">
        <v>54</v>
      </c>
      <c r="G6" s="42" t="s">
        <v>82</v>
      </c>
      <c r="H6" s="42" t="s">
        <v>43</v>
      </c>
      <c r="I6" t="s">
        <v>83</v>
      </c>
      <c r="J6" t="s">
        <v>27</v>
      </c>
    </row>
    <row r="7" spans="1:17" x14ac:dyDescent="0.25">
      <c r="B7" s="42" t="s">
        <v>84</v>
      </c>
      <c r="C7" s="42" t="s">
        <v>72</v>
      </c>
      <c r="D7" t="s">
        <v>72</v>
      </c>
      <c r="E7" s="42" t="s">
        <v>72</v>
      </c>
      <c r="F7" t="s">
        <v>72</v>
      </c>
      <c r="G7" s="42" t="s">
        <v>85</v>
      </c>
      <c r="H7" s="42" t="s">
        <v>72</v>
      </c>
      <c r="I7" t="s">
        <v>72</v>
      </c>
      <c r="J7" t="s">
        <v>86</v>
      </c>
    </row>
    <row r="8" spans="1:17" x14ac:dyDescent="0.25">
      <c r="A8" t="s">
        <v>87</v>
      </c>
      <c r="B8" s="42" t="s">
        <v>88</v>
      </c>
      <c r="C8" s="42" t="s">
        <v>57</v>
      </c>
      <c r="D8" t="s">
        <v>89</v>
      </c>
      <c r="E8" s="42" t="s">
        <v>57</v>
      </c>
      <c r="F8" t="s">
        <v>90</v>
      </c>
      <c r="G8" s="42" t="s">
        <v>88</v>
      </c>
      <c r="H8" s="42" t="s">
        <v>57</v>
      </c>
      <c r="I8" t="s">
        <v>91</v>
      </c>
      <c r="J8" t="s">
        <v>92</v>
      </c>
    </row>
    <row r="9" spans="1:17" x14ac:dyDescent="0.25">
      <c r="J9" t="s">
        <v>93</v>
      </c>
    </row>
    <row r="10" spans="1:17" ht="13.8" thickBot="1" x14ac:dyDescent="0.3">
      <c r="B10" t="s">
        <v>110</v>
      </c>
      <c r="C10" t="s">
        <v>115</v>
      </c>
      <c r="D10" t="s">
        <v>116</v>
      </c>
      <c r="E10" t="s">
        <v>117</v>
      </c>
      <c r="F10" t="s">
        <v>116</v>
      </c>
      <c r="G10" t="s">
        <v>110</v>
      </c>
      <c r="H10" t="s">
        <v>114</v>
      </c>
      <c r="I10" t="s">
        <v>116</v>
      </c>
      <c r="J10" t="s">
        <v>116</v>
      </c>
      <c r="P10" t="s">
        <v>127</v>
      </c>
      <c r="Q10" t="s">
        <v>128</v>
      </c>
    </row>
    <row r="11" spans="1:17" ht="13.8" thickBot="1" x14ac:dyDescent="0.3">
      <c r="A11" s="145" t="s">
        <v>94</v>
      </c>
      <c r="B11" s="144">
        <v>8000</v>
      </c>
      <c r="C11" s="151">
        <v>2.6</v>
      </c>
      <c r="D11" s="146">
        <f>B11*C11</f>
        <v>20800</v>
      </c>
      <c r="E11" s="152">
        <v>0.05</v>
      </c>
      <c r="F11" s="146">
        <f>E11*$C$3</f>
        <v>50000</v>
      </c>
      <c r="G11" s="147">
        <v>8000</v>
      </c>
      <c r="H11" s="151">
        <v>3.8</v>
      </c>
      <c r="I11" s="146">
        <f>G11*H11</f>
        <v>30400</v>
      </c>
      <c r="J11" s="148">
        <f>D11+F11+I11</f>
        <v>101200</v>
      </c>
      <c r="O11">
        <v>30</v>
      </c>
      <c r="P11" s="183">
        <f>B11*O11</f>
        <v>240000</v>
      </c>
      <c r="Q11" s="183">
        <f>G11*O11</f>
        <v>240000</v>
      </c>
    </row>
    <row r="12" spans="1:17" ht="13.8" thickBot="1" x14ac:dyDescent="0.3">
      <c r="A12" s="145" t="s">
        <v>96</v>
      </c>
      <c r="B12" s="144">
        <v>8000</v>
      </c>
      <c r="C12" s="151">
        <v>2.8</v>
      </c>
      <c r="D12" s="146">
        <f t="shared" ref="D12:D22" si="0">B12*C12</f>
        <v>22400</v>
      </c>
      <c r="E12" s="2">
        <f>E11</f>
        <v>0.05</v>
      </c>
      <c r="F12" s="146">
        <f t="shared" ref="F12:F22" si="1">E12*$C$3</f>
        <v>50000</v>
      </c>
      <c r="G12" s="147">
        <v>8000</v>
      </c>
      <c r="H12" s="151">
        <v>2.4</v>
      </c>
      <c r="I12" s="146">
        <f t="shared" ref="I12:I22" si="2">G12*H12</f>
        <v>19200</v>
      </c>
      <c r="J12" s="148">
        <f t="shared" ref="J12:J22" si="3">D12+F12+I12</f>
        <v>91600</v>
      </c>
      <c r="O12">
        <v>31</v>
      </c>
      <c r="P12" s="183">
        <f t="shared" ref="P12:P22" si="4">B12*O12</f>
        <v>248000</v>
      </c>
      <c r="Q12" s="183">
        <f t="shared" ref="Q12:Q22" si="5">G12*O12</f>
        <v>248000</v>
      </c>
    </row>
    <row r="13" spans="1:17" ht="13.8" thickBot="1" x14ac:dyDescent="0.3">
      <c r="A13" s="145" t="s">
        <v>97</v>
      </c>
      <c r="B13" s="144">
        <v>8000</v>
      </c>
      <c r="C13" s="151">
        <v>3</v>
      </c>
      <c r="D13" s="146">
        <f t="shared" si="0"/>
        <v>24000</v>
      </c>
      <c r="E13" s="2">
        <f t="shared" ref="E13:E22" si="6">E12</f>
        <v>0.05</v>
      </c>
      <c r="F13" s="146">
        <f t="shared" si="1"/>
        <v>50000</v>
      </c>
      <c r="G13" s="147">
        <v>8000</v>
      </c>
      <c r="H13" s="151">
        <v>2.4</v>
      </c>
      <c r="I13" s="146">
        <f t="shared" si="2"/>
        <v>19200</v>
      </c>
      <c r="J13" s="148">
        <f t="shared" si="3"/>
        <v>93200</v>
      </c>
      <c r="L13" s="150"/>
      <c r="O13">
        <v>30</v>
      </c>
      <c r="P13" s="183">
        <f t="shared" si="4"/>
        <v>240000</v>
      </c>
      <c r="Q13" s="183">
        <f t="shared" si="5"/>
        <v>240000</v>
      </c>
    </row>
    <row r="14" spans="1:17" ht="13.8" thickBot="1" x14ac:dyDescent="0.3">
      <c r="A14" s="145" t="s">
        <v>98</v>
      </c>
      <c r="B14" s="144">
        <v>8000</v>
      </c>
      <c r="C14" s="151">
        <v>3.2</v>
      </c>
      <c r="D14" s="146">
        <f t="shared" si="0"/>
        <v>25600</v>
      </c>
      <c r="E14" s="2">
        <f t="shared" si="6"/>
        <v>0.05</v>
      </c>
      <c r="F14" s="146">
        <f t="shared" si="1"/>
        <v>50000</v>
      </c>
      <c r="G14" s="147">
        <v>8000</v>
      </c>
      <c r="H14" s="151">
        <v>2.4</v>
      </c>
      <c r="I14" s="146">
        <f t="shared" si="2"/>
        <v>19200</v>
      </c>
      <c r="J14" s="148">
        <f t="shared" si="3"/>
        <v>94800</v>
      </c>
      <c r="O14">
        <v>31</v>
      </c>
      <c r="P14" s="183">
        <f t="shared" si="4"/>
        <v>248000</v>
      </c>
      <c r="Q14" s="183">
        <f t="shared" si="5"/>
        <v>248000</v>
      </c>
    </row>
    <row r="15" spans="1:17" ht="13.8" thickBot="1" x14ac:dyDescent="0.3">
      <c r="A15" s="145" t="s">
        <v>99</v>
      </c>
      <c r="B15" s="144">
        <v>8000</v>
      </c>
      <c r="C15" s="151">
        <v>3.4</v>
      </c>
      <c r="D15" s="146">
        <f t="shared" si="0"/>
        <v>27200</v>
      </c>
      <c r="E15" s="2">
        <f t="shared" si="6"/>
        <v>0.05</v>
      </c>
      <c r="F15" s="146">
        <f t="shared" si="1"/>
        <v>50000</v>
      </c>
      <c r="G15" s="147">
        <v>8000</v>
      </c>
      <c r="H15" s="151">
        <v>2.4</v>
      </c>
      <c r="I15" s="146">
        <f t="shared" si="2"/>
        <v>19200</v>
      </c>
      <c r="J15" s="148">
        <f t="shared" si="3"/>
        <v>96400</v>
      </c>
      <c r="O15">
        <v>31</v>
      </c>
      <c r="P15" s="183">
        <f t="shared" si="4"/>
        <v>248000</v>
      </c>
      <c r="Q15" s="183">
        <f t="shared" si="5"/>
        <v>248000</v>
      </c>
    </row>
    <row r="16" spans="1:17" ht="13.8" thickBot="1" x14ac:dyDescent="0.3">
      <c r="A16" s="145" t="s">
        <v>100</v>
      </c>
      <c r="B16" s="144">
        <v>8000</v>
      </c>
      <c r="C16" s="151">
        <v>3.6</v>
      </c>
      <c r="D16" s="146">
        <f t="shared" si="0"/>
        <v>28800</v>
      </c>
      <c r="E16" s="2">
        <f t="shared" si="6"/>
        <v>0.05</v>
      </c>
      <c r="F16" s="146">
        <f t="shared" si="1"/>
        <v>50000</v>
      </c>
      <c r="G16" s="147">
        <v>8000</v>
      </c>
      <c r="H16" s="151">
        <v>2.6</v>
      </c>
      <c r="I16" s="146">
        <f t="shared" si="2"/>
        <v>20800</v>
      </c>
      <c r="J16" s="148">
        <f t="shared" si="3"/>
        <v>99600</v>
      </c>
      <c r="O16">
        <v>30</v>
      </c>
      <c r="P16" s="183">
        <f t="shared" si="4"/>
        <v>240000</v>
      </c>
      <c r="Q16" s="183">
        <f t="shared" si="5"/>
        <v>240000</v>
      </c>
    </row>
    <row r="17" spans="1:20" ht="13.8" thickBot="1" x14ac:dyDescent="0.3">
      <c r="A17" s="145" t="s">
        <v>101</v>
      </c>
      <c r="B17" s="144">
        <v>8000</v>
      </c>
      <c r="C17" s="151">
        <v>3.8</v>
      </c>
      <c r="D17" s="146">
        <f t="shared" si="0"/>
        <v>30400</v>
      </c>
      <c r="E17" s="2">
        <f t="shared" si="6"/>
        <v>0.05</v>
      </c>
      <c r="F17" s="146">
        <f t="shared" si="1"/>
        <v>50000</v>
      </c>
      <c r="G17" s="147">
        <v>8000</v>
      </c>
      <c r="H17" s="151">
        <v>2.8</v>
      </c>
      <c r="I17" s="146">
        <f t="shared" si="2"/>
        <v>22400</v>
      </c>
      <c r="J17" s="148">
        <f t="shared" si="3"/>
        <v>102800</v>
      </c>
      <c r="O17">
        <v>31</v>
      </c>
      <c r="P17" s="183">
        <f t="shared" si="4"/>
        <v>248000</v>
      </c>
      <c r="Q17" s="183">
        <f t="shared" si="5"/>
        <v>248000</v>
      </c>
    </row>
    <row r="18" spans="1:20" ht="13.8" thickBot="1" x14ac:dyDescent="0.3">
      <c r="A18" s="145" t="s">
        <v>102</v>
      </c>
      <c r="B18" s="144">
        <v>8000</v>
      </c>
      <c r="C18" s="151">
        <v>3.8</v>
      </c>
      <c r="D18" s="146">
        <f t="shared" si="0"/>
        <v>30400</v>
      </c>
      <c r="E18" s="2">
        <f t="shared" si="6"/>
        <v>0.05</v>
      </c>
      <c r="F18" s="146">
        <f t="shared" si="1"/>
        <v>50000</v>
      </c>
      <c r="G18" s="147">
        <v>8000</v>
      </c>
      <c r="H18" s="151">
        <v>3</v>
      </c>
      <c r="I18" s="146">
        <f t="shared" si="2"/>
        <v>24000</v>
      </c>
      <c r="J18" s="148">
        <f t="shared" si="3"/>
        <v>104400</v>
      </c>
      <c r="O18">
        <v>30</v>
      </c>
      <c r="P18" s="183">
        <f t="shared" si="4"/>
        <v>240000</v>
      </c>
      <c r="Q18" s="183">
        <f t="shared" si="5"/>
        <v>240000</v>
      </c>
    </row>
    <row r="19" spans="1:20" ht="13.8" thickBot="1" x14ac:dyDescent="0.3">
      <c r="A19" s="145" t="s">
        <v>103</v>
      </c>
      <c r="B19" s="144">
        <v>8000</v>
      </c>
      <c r="C19" s="151">
        <v>2.4</v>
      </c>
      <c r="D19" s="146">
        <f t="shared" si="0"/>
        <v>19200</v>
      </c>
      <c r="E19" s="2">
        <f t="shared" si="6"/>
        <v>0.05</v>
      </c>
      <c r="F19" s="146">
        <f t="shared" si="1"/>
        <v>50000</v>
      </c>
      <c r="G19" s="147">
        <v>8000</v>
      </c>
      <c r="H19" s="151">
        <v>3.2</v>
      </c>
      <c r="I19" s="146">
        <f t="shared" si="2"/>
        <v>25600</v>
      </c>
      <c r="J19" s="148">
        <f t="shared" si="3"/>
        <v>94800</v>
      </c>
      <c r="O19">
        <v>31</v>
      </c>
      <c r="P19" s="183">
        <f t="shared" si="4"/>
        <v>248000</v>
      </c>
      <c r="Q19" s="183">
        <f t="shared" si="5"/>
        <v>248000</v>
      </c>
    </row>
    <row r="20" spans="1:20" ht="13.8" thickBot="1" x14ac:dyDescent="0.3">
      <c r="A20" s="145" t="s">
        <v>104</v>
      </c>
      <c r="B20" s="144">
        <v>8000</v>
      </c>
      <c r="C20" s="151">
        <v>2.4</v>
      </c>
      <c r="D20" s="146">
        <f t="shared" si="0"/>
        <v>19200</v>
      </c>
      <c r="E20" s="2">
        <f t="shared" si="6"/>
        <v>0.05</v>
      </c>
      <c r="F20" s="146">
        <f t="shared" si="1"/>
        <v>50000</v>
      </c>
      <c r="G20" s="147">
        <v>8000</v>
      </c>
      <c r="H20" s="151">
        <v>3.4</v>
      </c>
      <c r="I20" s="146">
        <f t="shared" si="2"/>
        <v>27200</v>
      </c>
      <c r="J20" s="148">
        <f t="shared" si="3"/>
        <v>96400</v>
      </c>
      <c r="O20">
        <v>31</v>
      </c>
      <c r="P20" s="183">
        <f t="shared" si="4"/>
        <v>248000</v>
      </c>
      <c r="Q20" s="183">
        <f t="shared" si="5"/>
        <v>248000</v>
      </c>
    </row>
    <row r="21" spans="1:20" ht="13.8" thickBot="1" x14ac:dyDescent="0.3">
      <c r="A21" s="145" t="s">
        <v>105</v>
      </c>
      <c r="B21" s="144">
        <v>8000</v>
      </c>
      <c r="C21" s="151">
        <v>2.4</v>
      </c>
      <c r="D21" s="146">
        <f t="shared" si="0"/>
        <v>19200</v>
      </c>
      <c r="E21" s="2">
        <f t="shared" si="6"/>
        <v>0.05</v>
      </c>
      <c r="F21" s="146">
        <f t="shared" si="1"/>
        <v>50000</v>
      </c>
      <c r="G21" s="147">
        <v>8000</v>
      </c>
      <c r="H21" s="151">
        <v>3.6</v>
      </c>
      <c r="I21" s="146">
        <f t="shared" si="2"/>
        <v>28800</v>
      </c>
      <c r="J21" s="148">
        <f t="shared" si="3"/>
        <v>98000</v>
      </c>
      <c r="O21">
        <v>28</v>
      </c>
      <c r="P21" s="183">
        <f t="shared" si="4"/>
        <v>224000</v>
      </c>
      <c r="Q21" s="183">
        <f t="shared" si="5"/>
        <v>224000</v>
      </c>
    </row>
    <row r="22" spans="1:20" ht="13.8" thickBot="1" x14ac:dyDescent="0.3">
      <c r="A22" s="145" t="s">
        <v>106</v>
      </c>
      <c r="B22" s="144">
        <v>8000</v>
      </c>
      <c r="C22" s="151">
        <v>2.4</v>
      </c>
      <c r="D22" s="146">
        <f t="shared" si="0"/>
        <v>19200</v>
      </c>
      <c r="E22" s="2">
        <f t="shared" si="6"/>
        <v>0.05</v>
      </c>
      <c r="F22" s="146">
        <f t="shared" si="1"/>
        <v>50000</v>
      </c>
      <c r="G22" s="147">
        <v>8000</v>
      </c>
      <c r="H22" s="151">
        <v>3.8</v>
      </c>
      <c r="I22" s="146">
        <f t="shared" si="2"/>
        <v>30400</v>
      </c>
      <c r="J22" s="148">
        <f t="shared" si="3"/>
        <v>99600</v>
      </c>
      <c r="O22">
        <v>31</v>
      </c>
      <c r="P22" s="183">
        <f t="shared" si="4"/>
        <v>248000</v>
      </c>
      <c r="Q22" s="183">
        <f t="shared" si="5"/>
        <v>248000</v>
      </c>
    </row>
    <row r="23" spans="1:20" x14ac:dyDescent="0.25">
      <c r="F23" s="42" t="s">
        <v>113</v>
      </c>
      <c r="J23" s="149">
        <f>SUM(J11:J22)</f>
        <v>1172800</v>
      </c>
      <c r="P23" s="183">
        <f>SUM(P11:P17)</f>
        <v>1712000</v>
      </c>
      <c r="Q23" s="183">
        <f>SUM(Q18:Q22)</f>
        <v>1208000</v>
      </c>
      <c r="R23" s="183">
        <f>MIN(P23:Q23)</f>
        <v>1208000</v>
      </c>
      <c r="T23" s="130">
        <f>IF(R23&gt;C3,1,R23/C3)</f>
        <v>1</v>
      </c>
    </row>
    <row r="24" spans="1:20" x14ac:dyDescent="0.25">
      <c r="F24" s="42" t="s">
        <v>118</v>
      </c>
      <c r="J24" s="154">
        <f>J23/C3</f>
        <v>1.1728000000000001</v>
      </c>
      <c r="P24" s="185">
        <f>SUM(P11:P22)</f>
        <v>2920000</v>
      </c>
      <c r="Q24" s="185">
        <f>SUM(Q11:Q22)</f>
        <v>2920000</v>
      </c>
    </row>
    <row r="25" spans="1:20" ht="13.8" thickBot="1" x14ac:dyDescent="0.3">
      <c r="F25" s="12" t="s">
        <v>129</v>
      </c>
      <c r="J25" s="184">
        <f>T29</f>
        <v>1.46</v>
      </c>
      <c r="P25" s="186">
        <f>P24/365</f>
        <v>8000</v>
      </c>
      <c r="Q25" s="186">
        <f>Q24/365</f>
        <v>8000</v>
      </c>
    </row>
    <row r="26" spans="1:20" ht="13.8" thickBot="1" x14ac:dyDescent="0.3">
      <c r="A26" s="42" t="s">
        <v>107</v>
      </c>
      <c r="D26" s="153">
        <v>0.02</v>
      </c>
      <c r="E26" t="s">
        <v>130</v>
      </c>
      <c r="F26" s="31"/>
      <c r="J26" s="42"/>
      <c r="P26" s="186">
        <f>C3/P25</f>
        <v>125</v>
      </c>
      <c r="Q26" s="186">
        <f>C3/Q25</f>
        <v>125</v>
      </c>
      <c r="R26" s="121">
        <f>365/(P26+Q26)</f>
        <v>1.46</v>
      </c>
      <c r="S26" s="121">
        <f>IF(SUM(P18:P22,Q11:Q17)=0,0,R26)</f>
        <v>1.46</v>
      </c>
      <c r="T26" s="121">
        <f>IF(S26-T23&lt;0,0,S26-T23)</f>
        <v>0.45999999999999996</v>
      </c>
    </row>
    <row r="27" spans="1:20" ht="13.8" thickBot="1" x14ac:dyDescent="0.3">
      <c r="A27" s="42" t="s">
        <v>108</v>
      </c>
      <c r="D27" s="153">
        <v>0.02</v>
      </c>
      <c r="E27" t="s">
        <v>130</v>
      </c>
      <c r="F27" s="31"/>
      <c r="P27" s="185"/>
      <c r="Q27" s="185"/>
    </row>
    <row r="28" spans="1:20" x14ac:dyDescent="0.25">
      <c r="A28" s="42"/>
      <c r="D28" s="1"/>
      <c r="P28" s="183"/>
      <c r="Q28" s="183"/>
    </row>
    <row r="29" spans="1:20" x14ac:dyDescent="0.25">
      <c r="A29" s="42"/>
      <c r="D29" s="1"/>
      <c r="P29" s="183"/>
      <c r="T29" s="130">
        <f>SUM(T23:T26)</f>
        <v>1.46</v>
      </c>
    </row>
  </sheetData>
  <phoneticPr fontId="18" type="noConversion"/>
  <pageMargins left="0.75" right="0.75" top="1" bottom="1" header="0.5" footer="0.5"/>
  <pageSetup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Input Sheet</vt:lpstr>
      <vt:lpstr>Profile Calc</vt:lpstr>
      <vt:lpstr>Sp 1.5 Input</vt:lpstr>
      <vt:lpstr>Sp 1.5 Table</vt:lpstr>
      <vt:lpstr>Monthly Profile</vt:lpstr>
      <vt:lpstr>Ratchet Chart</vt:lpstr>
      <vt:lpstr>Sp 1.5 Chart</vt:lpstr>
      <vt:lpstr>'Input Sheet'!Print_Area</vt:lpstr>
      <vt:lpstr>'Monthly Profile'!Print_Area</vt:lpstr>
      <vt:lpstr>'Profile Calc'!Print_Area</vt:lpstr>
      <vt:lpstr>'Sp 1.5 Input'!Print_Area</vt:lpstr>
      <vt:lpstr>'Sp 1.5 Table'!Print_Area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Ledene</dc:creator>
  <cp:lastModifiedBy>Aniket Gupta</cp:lastModifiedBy>
  <cp:lastPrinted>2004-01-12T17:40:48Z</cp:lastPrinted>
  <dcterms:created xsi:type="dcterms:W3CDTF">2000-03-20T20:56:59Z</dcterms:created>
  <dcterms:modified xsi:type="dcterms:W3CDTF">2024-02-03T22:29:08Z</dcterms:modified>
</cp:coreProperties>
</file>