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saveExternalLinkValues="0" codeName="ThisWorkbook"/>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56D43C17-E6E7-4181-A9FB-D9E766CF5BD1}" xr6:coauthVersionLast="47" xr6:coauthVersionMax="47" xr10:uidLastSave="{00000000-0000-0000-0000-000000000000}"/>
  <bookViews>
    <workbookView xWindow="3348" yWindow="3348" windowWidth="17280" windowHeight="8880"/>
  </bookViews>
  <sheets>
    <sheet name="IO.CONTROL" sheetId="6" r:id="rId1"/>
    <sheet name="CASH.FLOW" sheetId="5" r:id="rId2"/>
    <sheet name="STAND.PARAMS" sheetId="3" r:id="rId3"/>
    <sheet name="STD.TBLE.THINNED" sheetId="2" r:id="rId4"/>
    <sheet name="STD.TBLE.UNTHINNED" sheetId="10" r:id="rId5"/>
    <sheet name="Sheet7" sheetId="7" r:id="rId6"/>
    <sheet name="Sheet8" sheetId="8" r:id="rId7"/>
    <sheet name="Sheet9" sheetId="9" r:id="rId8"/>
  </sheets>
  <definedNames>
    <definedName name="_xlnm.Print_Area" localSheetId="1">'CASH.FLOW'!$P$75:$AF$138</definedName>
    <definedName name="_xlnm.Print_Area" localSheetId="0">IO.CONTROL!$B$1:$I$150</definedName>
    <definedName name="_xlnm.Print_Area" localSheetId="2">STAND.PARAMS!$I$145:$T$192</definedName>
    <definedName name="_xlnm.Print_Area" localSheetId="3">'STD.TBLE.THINNED'!$A$3:$O$60</definedName>
    <definedName name="_xlnm.Print_Area" localSheetId="4">'STD.TBLE.UNTHINNED'!$A$3:$O$60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8" i="5" l="1"/>
  <c r="D78" i="5"/>
  <c r="E78" i="5"/>
  <c r="F78" i="5"/>
  <c r="G78" i="5"/>
  <c r="H78" i="5"/>
  <c r="I78" i="5"/>
  <c r="J78" i="5"/>
  <c r="K78" i="5"/>
  <c r="L78" i="5"/>
  <c r="M78" i="5"/>
  <c r="O78" i="5"/>
  <c r="P78" i="5"/>
  <c r="Q78" i="5"/>
  <c r="AB78" i="5" s="1"/>
  <c r="AC78" i="5" s="1"/>
  <c r="R78" i="5"/>
  <c r="C79" i="5"/>
  <c r="D79" i="5"/>
  <c r="E79" i="5"/>
  <c r="F79" i="5"/>
  <c r="G79" i="5"/>
  <c r="H79" i="5"/>
  <c r="I79" i="5"/>
  <c r="J79" i="5"/>
  <c r="K79" i="5"/>
  <c r="L79" i="5"/>
  <c r="M79" i="5"/>
  <c r="O79" i="5"/>
  <c r="P79" i="5"/>
  <c r="Q79" i="5"/>
  <c r="AB79" i="5" s="1"/>
  <c r="AC79" i="5"/>
  <c r="C80" i="5"/>
  <c r="D80" i="5"/>
  <c r="E80" i="5"/>
  <c r="F80" i="5"/>
  <c r="G80" i="5"/>
  <c r="H80" i="5"/>
  <c r="N80" i="5" s="1"/>
  <c r="I80" i="5"/>
  <c r="J80" i="5"/>
  <c r="K80" i="5"/>
  <c r="L80" i="5"/>
  <c r="M80" i="5"/>
  <c r="O80" i="5"/>
  <c r="P80" i="5"/>
  <c r="Q80" i="5"/>
  <c r="X80" i="5"/>
  <c r="AB80" i="5"/>
  <c r="AC80" i="5" s="1"/>
  <c r="C81" i="5"/>
  <c r="D81" i="5"/>
  <c r="E81" i="5"/>
  <c r="F81" i="5"/>
  <c r="G81" i="5"/>
  <c r="H81" i="5"/>
  <c r="I81" i="5"/>
  <c r="J81" i="5"/>
  <c r="K81" i="5"/>
  <c r="L81" i="5"/>
  <c r="M81" i="5"/>
  <c r="O81" i="5"/>
  <c r="P81" i="5"/>
  <c r="Q81" i="5"/>
  <c r="AB81" i="5" s="1"/>
  <c r="AC81" i="5" s="1"/>
  <c r="C82" i="5"/>
  <c r="D82" i="5"/>
  <c r="E82" i="5"/>
  <c r="F82" i="5"/>
  <c r="G82" i="5"/>
  <c r="H82" i="5"/>
  <c r="I82" i="5"/>
  <c r="J82" i="5"/>
  <c r="K82" i="5"/>
  <c r="L82" i="5"/>
  <c r="M82" i="5"/>
  <c r="N82" i="5"/>
  <c r="O82" i="5"/>
  <c r="C83" i="5"/>
  <c r="N83" i="5" s="1"/>
  <c r="D83" i="5"/>
  <c r="E83" i="5"/>
  <c r="F83" i="5"/>
  <c r="G83" i="5"/>
  <c r="H83" i="5"/>
  <c r="I83" i="5"/>
  <c r="J83" i="5"/>
  <c r="K83" i="5"/>
  <c r="L83" i="5"/>
  <c r="M83" i="5"/>
  <c r="O83" i="5"/>
  <c r="C84" i="5"/>
  <c r="D84" i="5"/>
  <c r="E84" i="5"/>
  <c r="F84" i="5"/>
  <c r="G84" i="5"/>
  <c r="H84" i="5"/>
  <c r="I84" i="5"/>
  <c r="J84" i="5"/>
  <c r="K84" i="5"/>
  <c r="L84" i="5"/>
  <c r="M84" i="5"/>
  <c r="O84" i="5"/>
  <c r="C85" i="5"/>
  <c r="D85" i="5"/>
  <c r="E85" i="5"/>
  <c r="F85" i="5"/>
  <c r="G85" i="5"/>
  <c r="H85" i="5"/>
  <c r="I85" i="5"/>
  <c r="J85" i="5"/>
  <c r="K85" i="5"/>
  <c r="L85" i="5"/>
  <c r="M85" i="5"/>
  <c r="O85" i="5"/>
  <c r="C86" i="5"/>
  <c r="D86" i="5"/>
  <c r="E86" i="5"/>
  <c r="F86" i="5"/>
  <c r="G86" i="5"/>
  <c r="H86" i="5"/>
  <c r="I86" i="5"/>
  <c r="J86" i="5"/>
  <c r="N86" i="5" s="1"/>
  <c r="K86" i="5"/>
  <c r="L86" i="5"/>
  <c r="M86" i="5"/>
  <c r="O86" i="5"/>
  <c r="C87" i="5"/>
  <c r="D87" i="5"/>
  <c r="E87" i="5"/>
  <c r="F87" i="5"/>
  <c r="G87" i="5"/>
  <c r="H87" i="5"/>
  <c r="I87" i="5"/>
  <c r="J87" i="5"/>
  <c r="K87" i="5"/>
  <c r="L87" i="5"/>
  <c r="M87" i="5"/>
  <c r="O87" i="5"/>
  <c r="X137" i="5"/>
  <c r="D19" i="6"/>
  <c r="F19" i="6"/>
  <c r="D20" i="6"/>
  <c r="F20" i="6"/>
  <c r="D21" i="6"/>
  <c r="F21" i="6"/>
  <c r="D22" i="6"/>
  <c r="F22" i="6"/>
  <c r="F23" i="6"/>
  <c r="C24" i="6"/>
  <c r="D24" i="6"/>
  <c r="F24" i="6"/>
  <c r="C25" i="6"/>
  <c r="D25" i="6"/>
  <c r="F25" i="6"/>
  <c r="C26" i="6"/>
  <c r="D26" i="6"/>
  <c r="F26" i="6"/>
  <c r="C27" i="6"/>
  <c r="F27" i="6" s="1"/>
  <c r="D27" i="6"/>
  <c r="C28" i="6"/>
  <c r="D28" i="6"/>
  <c r="F28" i="6"/>
  <c r="C29" i="6"/>
  <c r="D29" i="6"/>
  <c r="F29" i="6"/>
  <c r="C30" i="6"/>
  <c r="D30" i="6"/>
  <c r="F30" i="6"/>
  <c r="C31" i="6"/>
  <c r="F31" i="6" s="1"/>
  <c r="D31" i="6"/>
  <c r="C32" i="6"/>
  <c r="D32" i="6"/>
  <c r="F32" i="6"/>
  <c r="C33" i="6"/>
  <c r="F33" i="6" s="1"/>
  <c r="D33" i="6"/>
  <c r="C34" i="6"/>
  <c r="D34" i="6"/>
  <c r="F34" i="6"/>
  <c r="C35" i="6"/>
  <c r="D35" i="6"/>
  <c r="F35" i="6"/>
  <c r="H35" i="6"/>
  <c r="C36" i="6"/>
  <c r="F36" i="6" s="1"/>
  <c r="D36" i="6"/>
  <c r="C37" i="6"/>
  <c r="F37" i="6" s="1"/>
  <c r="D37" i="6"/>
  <c r="C38" i="6"/>
  <c r="F38" i="6" s="1"/>
  <c r="D38" i="6"/>
  <c r="C39" i="6"/>
  <c r="D39" i="6"/>
  <c r="F39" i="6"/>
  <c r="C40" i="6"/>
  <c r="D40" i="6"/>
  <c r="F40" i="6"/>
  <c r="C41" i="6"/>
  <c r="D41" i="6"/>
  <c r="F41" i="6"/>
  <c r="C42" i="6"/>
  <c r="F42" i="6" s="1"/>
  <c r="D42" i="6"/>
  <c r="C43" i="6"/>
  <c r="D43" i="6"/>
  <c r="F43" i="6"/>
  <c r="C44" i="6"/>
  <c r="D44" i="6"/>
  <c r="F44" i="6"/>
  <c r="C45" i="6"/>
  <c r="D45" i="6"/>
  <c r="F45" i="6"/>
  <c r="C46" i="6"/>
  <c r="D46" i="6"/>
  <c r="F46" i="6"/>
  <c r="C47" i="6"/>
  <c r="F47" i="6" s="1"/>
  <c r="D47" i="6"/>
  <c r="C48" i="6"/>
  <c r="F48" i="6" s="1"/>
  <c r="D48" i="6"/>
  <c r="C49" i="6"/>
  <c r="D49" i="6"/>
  <c r="F49" i="6"/>
  <c r="C53" i="6"/>
  <c r="D53" i="6"/>
  <c r="F53" i="6"/>
  <c r="H53" i="6"/>
  <c r="C54" i="6"/>
  <c r="D54" i="6"/>
  <c r="F54" i="6"/>
  <c r="C55" i="6"/>
  <c r="D55" i="6"/>
  <c r="F55" i="6"/>
  <c r="C56" i="6"/>
  <c r="D56" i="6"/>
  <c r="F56" i="6"/>
  <c r="C57" i="6"/>
  <c r="D57" i="6"/>
  <c r="F57" i="6"/>
  <c r="D84" i="6"/>
  <c r="E84" i="6"/>
  <c r="S78" i="5" s="1"/>
  <c r="F84" i="6"/>
  <c r="T78" i="5" s="1"/>
  <c r="G84" i="6"/>
  <c r="U78" i="5" s="1"/>
  <c r="H84" i="6"/>
  <c r="V78" i="5" s="1"/>
  <c r="I84" i="6"/>
  <c r="W78" i="5" s="1"/>
  <c r="D85" i="6"/>
  <c r="R79" i="5" s="1"/>
  <c r="E85" i="6"/>
  <c r="S79" i="5" s="1"/>
  <c r="F85" i="6"/>
  <c r="T79" i="5" s="1"/>
  <c r="G85" i="6"/>
  <c r="U79" i="5" s="1"/>
  <c r="H85" i="6"/>
  <c r="V79" i="5" s="1"/>
  <c r="I85" i="6"/>
  <c r="W79" i="5" s="1"/>
  <c r="D86" i="6"/>
  <c r="R80" i="5" s="1"/>
  <c r="E86" i="6"/>
  <c r="S80" i="5" s="1"/>
  <c r="F86" i="6"/>
  <c r="T80" i="5" s="1"/>
  <c r="G86" i="6"/>
  <c r="U80" i="5" s="1"/>
  <c r="H86" i="6"/>
  <c r="V80" i="5" s="1"/>
  <c r="I86" i="6"/>
  <c r="W80" i="5" s="1"/>
  <c r="D87" i="6"/>
  <c r="R81" i="5" s="1"/>
  <c r="E87" i="6"/>
  <c r="S81" i="5" s="1"/>
  <c r="F87" i="6"/>
  <c r="T81" i="5" s="1"/>
  <c r="G87" i="6"/>
  <c r="U81" i="5" s="1"/>
  <c r="H87" i="6"/>
  <c r="V81" i="5" s="1"/>
  <c r="I87" i="6"/>
  <c r="W81" i="5" s="1"/>
  <c r="D88" i="6"/>
  <c r="R82" i="5" s="1"/>
  <c r="E88" i="6"/>
  <c r="S82" i="5" s="1"/>
  <c r="F88" i="6"/>
  <c r="T82" i="5" s="1"/>
  <c r="G88" i="6"/>
  <c r="U82" i="5" s="1"/>
  <c r="H88" i="6"/>
  <c r="V82" i="5" s="1"/>
  <c r="I88" i="6"/>
  <c r="W82" i="5" s="1"/>
  <c r="D104" i="6"/>
  <c r="X78" i="5" s="1"/>
  <c r="D105" i="6"/>
  <c r="X79" i="5" s="1"/>
  <c r="D106" i="6"/>
  <c r="D107" i="6"/>
  <c r="X81" i="5" s="1"/>
  <c r="D108" i="6"/>
  <c r="X82" i="5" s="1"/>
  <c r="D109" i="6"/>
  <c r="F7" i="3"/>
  <c r="K7" i="3"/>
  <c r="K25" i="3" s="1"/>
  <c r="F8" i="3"/>
  <c r="K8" i="3"/>
  <c r="F9" i="3"/>
  <c r="K9" i="3"/>
  <c r="F10" i="3"/>
  <c r="K10" i="3"/>
  <c r="F11" i="3"/>
  <c r="K11" i="3"/>
  <c r="F12" i="3"/>
  <c r="F13" i="3"/>
  <c r="F14" i="3"/>
  <c r="F15" i="3"/>
  <c r="F16" i="3"/>
  <c r="F17" i="3"/>
  <c r="F18" i="3"/>
  <c r="C19" i="3"/>
  <c r="D30" i="3"/>
  <c r="K30" i="3"/>
  <c r="K31" i="3"/>
  <c r="D32" i="3"/>
  <c r="K32" i="3"/>
  <c r="K33" i="3"/>
  <c r="D34" i="3"/>
  <c r="D36" i="3"/>
  <c r="D38" i="3"/>
  <c r="D40" i="3"/>
  <c r="D45" i="3"/>
  <c r="K54" i="3"/>
  <c r="K55" i="3"/>
  <c r="K56" i="3"/>
  <c r="K57" i="3"/>
  <c r="K71" i="3"/>
  <c r="K79" i="3"/>
  <c r="K80" i="3"/>
  <c r="K81" i="3"/>
  <c r="K153" i="3" s="1"/>
  <c r="K82" i="3"/>
  <c r="K83" i="3"/>
  <c r="K84" i="3"/>
  <c r="K85" i="3"/>
  <c r="K86" i="3"/>
  <c r="K87" i="3"/>
  <c r="K88" i="3"/>
  <c r="K89" i="3"/>
  <c r="K90" i="3"/>
  <c r="K91" i="3"/>
  <c r="K92" i="3"/>
  <c r="K106" i="3"/>
  <c r="K107" i="3"/>
  <c r="K108" i="3"/>
  <c r="K109" i="3"/>
  <c r="K110" i="3"/>
  <c r="K111" i="3"/>
  <c r="K112" i="3"/>
  <c r="K113" i="3"/>
  <c r="K114" i="3"/>
  <c r="K115" i="3"/>
  <c r="K117" i="3"/>
  <c r="K127" i="3"/>
  <c r="K128" i="3"/>
  <c r="L128" i="3"/>
  <c r="K129" i="3"/>
  <c r="M129" i="3"/>
  <c r="N130" i="3" s="1"/>
  <c r="K130" i="3"/>
  <c r="L130" i="3"/>
  <c r="K131" i="3"/>
  <c r="L131" i="3"/>
  <c r="M131" i="3"/>
  <c r="N132" i="3" s="1"/>
  <c r="K132" i="3"/>
  <c r="K133" i="3"/>
  <c r="L133" i="3"/>
  <c r="M134" i="3" s="1"/>
  <c r="K134" i="3"/>
  <c r="L135" i="3" s="1"/>
  <c r="L134" i="3"/>
  <c r="K135" i="3"/>
  <c r="K161" i="3" s="1"/>
  <c r="M135" i="3"/>
  <c r="N136" i="3" s="1"/>
  <c r="O137" i="3" s="1"/>
  <c r="K136" i="3"/>
  <c r="L137" i="3" s="1"/>
  <c r="M138" i="3" s="1"/>
  <c r="L136" i="3"/>
  <c r="K137" i="3"/>
  <c r="K138" i="3"/>
  <c r="L138" i="3"/>
  <c r="L139" i="3"/>
  <c r="M139" i="3"/>
  <c r="K148" i="3"/>
  <c r="K149" i="3"/>
  <c r="K150" i="3"/>
  <c r="K151" i="3"/>
  <c r="K152" i="3"/>
  <c r="K155" i="3"/>
  <c r="K156" i="3"/>
  <c r="T156" i="3"/>
  <c r="K158" i="3"/>
  <c r="K159" i="3"/>
  <c r="K160" i="3"/>
  <c r="K162" i="3"/>
  <c r="K163" i="3"/>
  <c r="K164" i="3"/>
  <c r="K165" i="3"/>
  <c r="L187" i="3"/>
  <c r="L210" i="3" s="1"/>
  <c r="L209" i="3"/>
  <c r="L212" i="3"/>
  <c r="L213" i="3"/>
  <c r="B3" i="2"/>
  <c r="B3" i="10"/>
  <c r="B7" i="2" l="1"/>
  <c r="B5" i="2"/>
  <c r="B6" i="2"/>
  <c r="N135" i="3"/>
  <c r="B5" i="10"/>
  <c r="B6" i="10"/>
  <c r="B7" i="10"/>
  <c r="M137" i="3"/>
  <c r="L132" i="3"/>
  <c r="K157" i="3"/>
  <c r="P138" i="3"/>
  <c r="N139" i="3"/>
  <c r="O133" i="3"/>
  <c r="L129" i="3"/>
  <c r="K140" i="3"/>
  <c r="K154" i="3"/>
  <c r="K166" i="3" s="1"/>
  <c r="K48" i="3"/>
  <c r="S137" i="5"/>
  <c r="E89" i="6" s="1"/>
  <c r="M132" i="3"/>
  <c r="L174" i="3"/>
  <c r="G90" i="5"/>
  <c r="H93" i="5"/>
  <c r="G98" i="5"/>
  <c r="H101" i="5"/>
  <c r="G106" i="5"/>
  <c r="H109" i="5"/>
  <c r="G114" i="5"/>
  <c r="H90" i="5"/>
  <c r="G95" i="5"/>
  <c r="H98" i="5"/>
  <c r="G103" i="5"/>
  <c r="H106" i="5"/>
  <c r="G92" i="5"/>
  <c r="H95" i="5"/>
  <c r="G100" i="5"/>
  <c r="H103" i="5"/>
  <c r="G108" i="5"/>
  <c r="H111" i="5"/>
  <c r="G89" i="5"/>
  <c r="H92" i="5"/>
  <c r="G97" i="5"/>
  <c r="H100" i="5"/>
  <c r="G105" i="5"/>
  <c r="H108" i="5"/>
  <c r="H89" i="5"/>
  <c r="G94" i="5"/>
  <c r="H97" i="5"/>
  <c r="G102" i="5"/>
  <c r="H105" i="5"/>
  <c r="G110" i="5"/>
  <c r="G91" i="5"/>
  <c r="H94" i="5"/>
  <c r="G99" i="5"/>
  <c r="H102" i="5"/>
  <c r="G107" i="5"/>
  <c r="G88" i="5"/>
  <c r="H91" i="5"/>
  <c r="G96" i="5"/>
  <c r="H99" i="5"/>
  <c r="G104" i="5"/>
  <c r="H107" i="5"/>
  <c r="H88" i="5"/>
  <c r="H115" i="5"/>
  <c r="G120" i="5"/>
  <c r="H123" i="5"/>
  <c r="G117" i="5"/>
  <c r="H120" i="5"/>
  <c r="G101" i="5"/>
  <c r="H104" i="5"/>
  <c r="H117" i="5"/>
  <c r="G122" i="5"/>
  <c r="G109" i="5"/>
  <c r="H110" i="5"/>
  <c r="G111" i="5"/>
  <c r="G113" i="5"/>
  <c r="G119" i="5"/>
  <c r="H122" i="5"/>
  <c r="G112" i="5"/>
  <c r="H113" i="5"/>
  <c r="H114" i="5"/>
  <c r="G116" i="5"/>
  <c r="H119" i="5"/>
  <c r="G124" i="5"/>
  <c r="J3" i="3"/>
  <c r="G93" i="5"/>
  <c r="H96" i="5"/>
  <c r="H112" i="5"/>
  <c r="H116" i="5"/>
  <c r="G121" i="5"/>
  <c r="H124" i="5"/>
  <c r="G118" i="5"/>
  <c r="H121" i="5"/>
  <c r="G115" i="5"/>
  <c r="H118" i="5"/>
  <c r="G123" i="5"/>
  <c r="L211" i="3"/>
  <c r="M136" i="3"/>
  <c r="W137" i="5"/>
  <c r="I89" i="6" s="1"/>
  <c r="U137" i="5"/>
  <c r="G89" i="6" s="1"/>
  <c r="O131" i="3"/>
  <c r="K94" i="3"/>
  <c r="Y81" i="5"/>
  <c r="T137" i="5"/>
  <c r="F89" i="6" s="1"/>
  <c r="Y78" i="5"/>
  <c r="Z78" i="5" s="1"/>
  <c r="R137" i="5"/>
  <c r="V137" i="5"/>
  <c r="H89" i="6" s="1"/>
  <c r="N84" i="5"/>
  <c r="N78" i="5"/>
  <c r="Y82" i="5"/>
  <c r="Z81" i="5"/>
  <c r="N87" i="5"/>
  <c r="Y79" i="5"/>
  <c r="Z79" i="5" s="1"/>
  <c r="N85" i="5"/>
  <c r="Y80" i="5"/>
  <c r="Z80" i="5" s="1"/>
  <c r="N81" i="5"/>
  <c r="N79" i="5"/>
  <c r="D89" i="5" l="1"/>
  <c r="C94" i="5"/>
  <c r="D97" i="5"/>
  <c r="C102" i="5"/>
  <c r="D105" i="5"/>
  <c r="C110" i="5"/>
  <c r="D113" i="5"/>
  <c r="C91" i="5"/>
  <c r="D94" i="5"/>
  <c r="C99" i="5"/>
  <c r="D102" i="5"/>
  <c r="C107" i="5"/>
  <c r="C88" i="5"/>
  <c r="D91" i="5"/>
  <c r="C96" i="5"/>
  <c r="D99" i="5"/>
  <c r="C104" i="5"/>
  <c r="D107" i="5"/>
  <c r="C112" i="5"/>
  <c r="D88" i="5"/>
  <c r="C93" i="5"/>
  <c r="D96" i="5"/>
  <c r="C101" i="5"/>
  <c r="D104" i="5"/>
  <c r="C109" i="5"/>
  <c r="D112" i="5"/>
  <c r="C90" i="5"/>
  <c r="D93" i="5"/>
  <c r="C98" i="5"/>
  <c r="D101" i="5"/>
  <c r="C106" i="5"/>
  <c r="D109" i="5"/>
  <c r="D90" i="5"/>
  <c r="C95" i="5"/>
  <c r="D98" i="5"/>
  <c r="C103" i="5"/>
  <c r="D106" i="5"/>
  <c r="C92" i="5"/>
  <c r="D95" i="5"/>
  <c r="C100" i="5"/>
  <c r="D103" i="5"/>
  <c r="C108" i="5"/>
  <c r="D111" i="5"/>
  <c r="C114" i="5"/>
  <c r="C116" i="5"/>
  <c r="D119" i="5"/>
  <c r="C124" i="5"/>
  <c r="C111" i="5"/>
  <c r="C113" i="5"/>
  <c r="D114" i="5"/>
  <c r="D116" i="5"/>
  <c r="C121" i="5"/>
  <c r="D124" i="5"/>
  <c r="C89" i="5"/>
  <c r="D92" i="5"/>
  <c r="D110" i="5"/>
  <c r="C118" i="5"/>
  <c r="D121" i="5"/>
  <c r="C115" i="5"/>
  <c r="D118" i="5"/>
  <c r="C123" i="5"/>
  <c r="C105" i="5"/>
  <c r="D115" i="5"/>
  <c r="C120" i="5"/>
  <c r="D123" i="5"/>
  <c r="D108" i="5"/>
  <c r="C117" i="5"/>
  <c r="D120" i="5"/>
  <c r="C97" i="5"/>
  <c r="C119" i="5"/>
  <c r="D122" i="5"/>
  <c r="D100" i="5"/>
  <c r="C122" i="5"/>
  <c r="D117" i="5"/>
  <c r="AA80" i="5"/>
  <c r="AD80" i="5"/>
  <c r="AE80" i="5" s="1"/>
  <c r="M130" i="3"/>
  <c r="L140" i="3"/>
  <c r="C12" i="10"/>
  <c r="F13" i="10"/>
  <c r="C20" i="10"/>
  <c r="F21" i="10"/>
  <c r="C28" i="10"/>
  <c r="F29" i="10"/>
  <c r="D29" i="10" s="1"/>
  <c r="G32" i="10"/>
  <c r="C36" i="10"/>
  <c r="F37" i="10"/>
  <c r="C44" i="10"/>
  <c r="F45" i="10"/>
  <c r="D45" i="10" s="1"/>
  <c r="G48" i="10"/>
  <c r="C52" i="10"/>
  <c r="F53" i="10"/>
  <c r="D53" i="10" s="1"/>
  <c r="C60" i="10"/>
  <c r="F58" i="10"/>
  <c r="G13" i="10"/>
  <c r="C17" i="10"/>
  <c r="F18" i="10"/>
  <c r="D18" i="10" s="1"/>
  <c r="G21" i="10"/>
  <c r="C25" i="10"/>
  <c r="F26" i="10"/>
  <c r="C33" i="10"/>
  <c r="F34" i="10"/>
  <c r="G37" i="10"/>
  <c r="C41" i="10"/>
  <c r="F42" i="10"/>
  <c r="G45" i="10"/>
  <c r="C49" i="10"/>
  <c r="F50" i="10"/>
  <c r="G50" i="10" s="1"/>
  <c r="C57" i="10"/>
  <c r="C14" i="10"/>
  <c r="F15" i="10"/>
  <c r="D15" i="10" s="1"/>
  <c r="G18" i="10"/>
  <c r="C22" i="10"/>
  <c r="F23" i="10"/>
  <c r="G26" i="10"/>
  <c r="C30" i="10"/>
  <c r="F31" i="10"/>
  <c r="G34" i="10"/>
  <c r="C38" i="10"/>
  <c r="F39" i="10"/>
  <c r="D39" i="10" s="1"/>
  <c r="G42" i="10"/>
  <c r="C46" i="10"/>
  <c r="F47" i="10"/>
  <c r="C54" i="10"/>
  <c r="F55" i="10"/>
  <c r="G58" i="10"/>
  <c r="C13" i="10"/>
  <c r="F14" i="10"/>
  <c r="D14" i="10" s="1"/>
  <c r="C21" i="10"/>
  <c r="F22" i="10"/>
  <c r="C29" i="10"/>
  <c r="F30" i="10"/>
  <c r="D30" i="10" s="1"/>
  <c r="G33" i="10"/>
  <c r="C37" i="10"/>
  <c r="F38" i="10"/>
  <c r="G41" i="10"/>
  <c r="C45" i="10"/>
  <c r="F46" i="10"/>
  <c r="D46" i="10" s="1"/>
  <c r="G49" i="10"/>
  <c r="C53" i="10"/>
  <c r="F54" i="10"/>
  <c r="D54" i="10" s="1"/>
  <c r="G57" i="10"/>
  <c r="F19" i="10"/>
  <c r="F27" i="10"/>
  <c r="F35" i="10"/>
  <c r="F43" i="10"/>
  <c r="G46" i="10"/>
  <c r="C50" i="10"/>
  <c r="F59" i="10"/>
  <c r="D59" i="10" s="1"/>
  <c r="F11" i="10"/>
  <c r="D11" i="10" s="1"/>
  <c r="C18" i="10"/>
  <c r="G22" i="10"/>
  <c r="C26" i="10"/>
  <c r="C34" i="10"/>
  <c r="G38" i="10"/>
  <c r="C42" i="10"/>
  <c r="F51" i="10"/>
  <c r="C58" i="10"/>
  <c r="C16" i="10"/>
  <c r="F20" i="10"/>
  <c r="D20" i="10" s="1"/>
  <c r="F24" i="10"/>
  <c r="D24" i="10" s="1"/>
  <c r="G28" i="10"/>
  <c r="F41" i="10"/>
  <c r="C59" i="10"/>
  <c r="F16" i="10"/>
  <c r="F33" i="10"/>
  <c r="D33" i="10" s="1"/>
  <c r="C51" i="10"/>
  <c r="C56" i="10"/>
  <c r="C48" i="10"/>
  <c r="G60" i="10"/>
  <c r="C23" i="10"/>
  <c r="C40" i="10"/>
  <c r="F12" i="10"/>
  <c r="C55" i="10"/>
  <c r="C31" i="10"/>
  <c r="G43" i="10"/>
  <c r="F56" i="10"/>
  <c r="G12" i="10"/>
  <c r="F25" i="10"/>
  <c r="G25" i="10" s="1"/>
  <c r="C43" i="10"/>
  <c r="C47" i="10"/>
  <c r="G55" i="10"/>
  <c r="G59" i="10"/>
  <c r="F17" i="10"/>
  <c r="D17" i="10" s="1"/>
  <c r="F52" i="10"/>
  <c r="G52" i="10" s="1"/>
  <c r="C35" i="10"/>
  <c r="C39" i="10"/>
  <c r="G47" i="10"/>
  <c r="G51" i="10"/>
  <c r="F60" i="10"/>
  <c r="D60" i="10" s="1"/>
  <c r="C27" i="10"/>
  <c r="C19" i="10"/>
  <c r="C11" i="10"/>
  <c r="C15" i="10"/>
  <c r="G23" i="10"/>
  <c r="G27" i="10"/>
  <c r="C32" i="10"/>
  <c r="F36" i="10"/>
  <c r="D36" i="10" s="1"/>
  <c r="F40" i="10"/>
  <c r="D40" i="10" s="1"/>
  <c r="F57" i="10"/>
  <c r="D57" i="10" s="1"/>
  <c r="G19" i="10"/>
  <c r="C24" i="10"/>
  <c r="F28" i="10"/>
  <c r="D28" i="10" s="1"/>
  <c r="F32" i="10"/>
  <c r="D32" i="10" s="1"/>
  <c r="G36" i="10"/>
  <c r="F49" i="10"/>
  <c r="D49" i="10" s="1"/>
  <c r="G31" i="10"/>
  <c r="G35" i="10"/>
  <c r="F44" i="10"/>
  <c r="D44" i="10" s="1"/>
  <c r="F48" i="10"/>
  <c r="AA78" i="5"/>
  <c r="AD78" i="5"/>
  <c r="AE78" i="5" s="1"/>
  <c r="O136" i="3"/>
  <c r="Q212" i="3"/>
  <c r="Q209" i="3"/>
  <c r="Q213" i="3"/>
  <c r="Q211" i="3"/>
  <c r="Q210" i="3"/>
  <c r="M133" i="3"/>
  <c r="E18" i="10"/>
  <c r="E26" i="10"/>
  <c r="E34" i="10"/>
  <c r="E42" i="10"/>
  <c r="E50" i="10"/>
  <c r="E58" i="10"/>
  <c r="E55" i="10"/>
  <c r="E60" i="10"/>
  <c r="E15" i="10"/>
  <c r="E23" i="10"/>
  <c r="E31" i="10"/>
  <c r="E39" i="10"/>
  <c r="E47" i="10"/>
  <c r="E12" i="10"/>
  <c r="E20" i="10"/>
  <c r="E28" i="10"/>
  <c r="E36" i="10"/>
  <c r="E44" i="10"/>
  <c r="E52" i="10"/>
  <c r="E11" i="10"/>
  <c r="E19" i="10"/>
  <c r="E27" i="10"/>
  <c r="E35" i="10"/>
  <c r="E43" i="10"/>
  <c r="E51" i="10"/>
  <c r="E59" i="10"/>
  <c r="E32" i="10"/>
  <c r="E40" i="10"/>
  <c r="E56" i="10"/>
  <c r="E16" i="10"/>
  <c r="E24" i="10"/>
  <c r="E48" i="10"/>
  <c r="E33" i="10"/>
  <c r="E37" i="10"/>
  <c r="E54" i="10"/>
  <c r="E25" i="10"/>
  <c r="E46" i="10"/>
  <c r="E29" i="10"/>
  <c r="E22" i="10"/>
  <c r="E14" i="10"/>
  <c r="E17" i="10"/>
  <c r="E21" i="10"/>
  <c r="E38" i="10"/>
  <c r="E13" i="10"/>
  <c r="E30" i="10"/>
  <c r="E49" i="10"/>
  <c r="E53" i="10"/>
  <c r="E41" i="10"/>
  <c r="E45" i="10"/>
  <c r="E57" i="10"/>
  <c r="AD79" i="5"/>
  <c r="AE79" i="5" s="1"/>
  <c r="AA79" i="5"/>
  <c r="P134" i="3"/>
  <c r="AD81" i="5"/>
  <c r="AE81" i="5" s="1"/>
  <c r="AA81" i="5"/>
  <c r="E16" i="2"/>
  <c r="E24" i="2"/>
  <c r="E13" i="2"/>
  <c r="E17" i="2"/>
  <c r="E21" i="2"/>
  <c r="E25" i="2"/>
  <c r="E29" i="2"/>
  <c r="E33" i="2"/>
  <c r="E37" i="2"/>
  <c r="E41" i="2"/>
  <c r="E45" i="2"/>
  <c r="E49" i="2"/>
  <c r="E53" i="2"/>
  <c r="E57" i="2"/>
  <c r="E11" i="2"/>
  <c r="E15" i="2"/>
  <c r="E19" i="2"/>
  <c r="E23" i="2"/>
  <c r="E27" i="2"/>
  <c r="E31" i="2"/>
  <c r="E35" i="2"/>
  <c r="E39" i="2"/>
  <c r="E43" i="2"/>
  <c r="E47" i="2"/>
  <c r="E51" i="2"/>
  <c r="E55" i="2"/>
  <c r="E59" i="2"/>
  <c r="E20" i="2"/>
  <c r="E28" i="2"/>
  <c r="E32" i="2"/>
  <c r="E36" i="2"/>
  <c r="E12" i="2"/>
  <c r="E18" i="2"/>
  <c r="E34" i="2"/>
  <c r="E40" i="2"/>
  <c r="E54" i="2"/>
  <c r="E50" i="2"/>
  <c r="E46" i="2"/>
  <c r="E26" i="2"/>
  <c r="E22" i="2"/>
  <c r="E38" i="2"/>
  <c r="E58" i="2"/>
  <c r="E60" i="2"/>
  <c r="E48" i="2"/>
  <c r="E56" i="2"/>
  <c r="E52" i="2"/>
  <c r="E14" i="2"/>
  <c r="E30" i="2"/>
  <c r="E42" i="2"/>
  <c r="E44" i="2"/>
  <c r="N138" i="3"/>
  <c r="C11" i="2"/>
  <c r="F12" i="2"/>
  <c r="F16" i="2"/>
  <c r="F20" i="2"/>
  <c r="D20" i="2" s="1"/>
  <c r="F24" i="2"/>
  <c r="D24" i="2" s="1"/>
  <c r="F28" i="2"/>
  <c r="D28" i="2" s="1"/>
  <c r="F32" i="2"/>
  <c r="D32" i="2" s="1"/>
  <c r="F36" i="2"/>
  <c r="F40" i="2"/>
  <c r="F44" i="2"/>
  <c r="F48" i="2"/>
  <c r="F52" i="2"/>
  <c r="D52" i="2" s="1"/>
  <c r="F56" i="2"/>
  <c r="D56" i="2" s="1"/>
  <c r="F60" i="2"/>
  <c r="D60" i="2" s="1"/>
  <c r="G12" i="2"/>
  <c r="I13" i="2" s="1"/>
  <c r="C14" i="2"/>
  <c r="G16" i="2"/>
  <c r="C18" i="2"/>
  <c r="C22" i="2"/>
  <c r="G24" i="2"/>
  <c r="I25" i="2" s="1"/>
  <c r="C26" i="2"/>
  <c r="H27" i="2" s="1"/>
  <c r="G28" i="2"/>
  <c r="I29" i="2" s="1"/>
  <c r="C30" i="2"/>
  <c r="C34" i="2"/>
  <c r="G36" i="2"/>
  <c r="I37" i="2" s="1"/>
  <c r="C38" i="2"/>
  <c r="G40" i="2"/>
  <c r="I41" i="2" s="1"/>
  <c r="C42" i="2"/>
  <c r="H43" i="2" s="1"/>
  <c r="G44" i="2"/>
  <c r="I45" i="2" s="1"/>
  <c r="C46" i="2"/>
  <c r="G48" i="2"/>
  <c r="C50" i="2"/>
  <c r="C54" i="2"/>
  <c r="H55" i="2" s="1"/>
  <c r="G56" i="2"/>
  <c r="I57" i="2" s="1"/>
  <c r="C58" i="2"/>
  <c r="H59" i="2" s="1"/>
  <c r="G60" i="2"/>
  <c r="F13" i="2"/>
  <c r="F17" i="2"/>
  <c r="D17" i="2" s="1"/>
  <c r="F21" i="2"/>
  <c r="D21" i="2" s="1"/>
  <c r="F25" i="2"/>
  <c r="F29" i="2"/>
  <c r="D29" i="2" s="1"/>
  <c r="F33" i="2"/>
  <c r="D33" i="2" s="1"/>
  <c r="F37" i="2"/>
  <c r="D37" i="2" s="1"/>
  <c r="F41" i="2"/>
  <c r="D41" i="2" s="1"/>
  <c r="F45" i="2"/>
  <c r="F49" i="2"/>
  <c r="F53" i="2"/>
  <c r="F57" i="2"/>
  <c r="C12" i="2"/>
  <c r="C16" i="2"/>
  <c r="H17" i="2" s="1"/>
  <c r="G18" i="2"/>
  <c r="I19" i="2" s="1"/>
  <c r="C20" i="2"/>
  <c r="C24" i="2"/>
  <c r="C28" i="2"/>
  <c r="H29" i="2" s="1"/>
  <c r="C32" i="2"/>
  <c r="H33" i="2" s="1"/>
  <c r="G34" i="2"/>
  <c r="I35" i="2" s="1"/>
  <c r="C36" i="2"/>
  <c r="C40" i="2"/>
  <c r="C44" i="2"/>
  <c r="G46" i="2"/>
  <c r="I47" i="2" s="1"/>
  <c r="C48" i="2"/>
  <c r="H49" i="2" s="1"/>
  <c r="G50" i="2"/>
  <c r="C52" i="2"/>
  <c r="C56" i="2"/>
  <c r="C60" i="2"/>
  <c r="F59" i="2"/>
  <c r="D59" i="2" s="1"/>
  <c r="C13" i="2"/>
  <c r="H14" i="2" s="1"/>
  <c r="G15" i="2"/>
  <c r="I16" i="2" s="1"/>
  <c r="C17" i="2"/>
  <c r="C21" i="2"/>
  <c r="F15" i="2"/>
  <c r="F19" i="2"/>
  <c r="F23" i="2"/>
  <c r="G23" i="2" s="1"/>
  <c r="I24" i="2" s="1"/>
  <c r="F27" i="2"/>
  <c r="D27" i="2" s="1"/>
  <c r="F31" i="2"/>
  <c r="D31" i="2" s="1"/>
  <c r="F35" i="2"/>
  <c r="F39" i="2"/>
  <c r="G39" i="2" s="1"/>
  <c r="I40" i="2" s="1"/>
  <c r="F43" i="2"/>
  <c r="D43" i="2" s="1"/>
  <c r="F47" i="2"/>
  <c r="F51" i="2"/>
  <c r="D51" i="2" s="1"/>
  <c r="F55" i="2"/>
  <c r="D55" i="2" s="1"/>
  <c r="G19" i="2"/>
  <c r="I20" i="2" s="1"/>
  <c r="C25" i="2"/>
  <c r="H26" i="2" s="1"/>
  <c r="C29" i="2"/>
  <c r="H30" i="2" s="1"/>
  <c r="C33" i="2"/>
  <c r="H34" i="2" s="1"/>
  <c r="C37" i="2"/>
  <c r="C41" i="2"/>
  <c r="F11" i="2"/>
  <c r="D11" i="2" s="1"/>
  <c r="C15" i="2"/>
  <c r="H16" i="2" s="1"/>
  <c r="G21" i="2"/>
  <c r="I22" i="2" s="1"/>
  <c r="C31" i="2"/>
  <c r="C47" i="2"/>
  <c r="C49" i="2"/>
  <c r="H50" i="2" s="1"/>
  <c r="G53" i="2"/>
  <c r="I54" i="2" s="1"/>
  <c r="G55" i="2"/>
  <c r="I56" i="2" s="1"/>
  <c r="C23" i="2"/>
  <c r="H24" i="2" s="1"/>
  <c r="C39" i="2"/>
  <c r="H40" i="2" s="1"/>
  <c r="F18" i="2"/>
  <c r="D18" i="2" s="1"/>
  <c r="F34" i="2"/>
  <c r="D34" i="2" s="1"/>
  <c r="C43" i="2"/>
  <c r="C45" i="2"/>
  <c r="H46" i="2" s="1"/>
  <c r="G49" i="2"/>
  <c r="I50" i="2" s="1"/>
  <c r="G51" i="2"/>
  <c r="I52" i="2" s="1"/>
  <c r="G13" i="2"/>
  <c r="I14" i="2" s="1"/>
  <c r="F54" i="2"/>
  <c r="F26" i="2"/>
  <c r="G26" i="2" s="1"/>
  <c r="I27" i="2" s="1"/>
  <c r="F50" i="2"/>
  <c r="D50" i="2" s="1"/>
  <c r="C59" i="2"/>
  <c r="H60" i="2" s="1"/>
  <c r="C19" i="2"/>
  <c r="H20" i="2" s="1"/>
  <c r="G25" i="2"/>
  <c r="C35" i="2"/>
  <c r="H36" i="2" s="1"/>
  <c r="G45" i="2"/>
  <c r="G47" i="2"/>
  <c r="F58" i="2"/>
  <c r="G58" i="2" s="1"/>
  <c r="I59" i="2" s="1"/>
  <c r="F22" i="2"/>
  <c r="F38" i="2"/>
  <c r="D38" i="2" s="1"/>
  <c r="G43" i="2"/>
  <c r="I44" i="2" s="1"/>
  <c r="G17" i="2"/>
  <c r="I18" i="2" s="1"/>
  <c r="C27" i="2"/>
  <c r="F46" i="2"/>
  <c r="D46" i="2" s="1"/>
  <c r="C55" i="2"/>
  <c r="H56" i="2" s="1"/>
  <c r="C57" i="2"/>
  <c r="F14" i="2"/>
  <c r="D14" i="2" s="1"/>
  <c r="F30" i="2"/>
  <c r="D30" i="2" s="1"/>
  <c r="F42" i="2"/>
  <c r="D42" i="2" s="1"/>
  <c r="C51" i="2"/>
  <c r="H52" i="2" s="1"/>
  <c r="C53" i="2"/>
  <c r="G57" i="2"/>
  <c r="D89" i="6"/>
  <c r="Y137" i="5"/>
  <c r="D143" i="6" s="1"/>
  <c r="P132" i="3"/>
  <c r="N137" i="3"/>
  <c r="N133" i="3"/>
  <c r="Q139" i="3"/>
  <c r="J40" i="2" l="1"/>
  <c r="K40" i="2" s="1"/>
  <c r="H39" i="6"/>
  <c r="H57" i="6"/>
  <c r="C46" i="3"/>
  <c r="D46" i="3" s="1"/>
  <c r="I51" i="2"/>
  <c r="G31" i="2"/>
  <c r="I32" i="2" s="1"/>
  <c r="I26" i="2"/>
  <c r="J24" i="2"/>
  <c r="K24" i="2" s="1"/>
  <c r="J14" i="2"/>
  <c r="K14" i="2" s="1"/>
  <c r="J33" i="2"/>
  <c r="K33" i="2" s="1"/>
  <c r="G27" i="2"/>
  <c r="I28" i="2" s="1"/>
  <c r="N134" i="3"/>
  <c r="G41" i="2"/>
  <c r="I42" i="2" s="1"/>
  <c r="O134" i="3"/>
  <c r="H58" i="2"/>
  <c r="D19" i="2"/>
  <c r="J29" i="2"/>
  <c r="K29" i="2" s="1"/>
  <c r="H13" i="2"/>
  <c r="J13" i="2" s="1"/>
  <c r="K13" i="2" s="1"/>
  <c r="L13" i="2" s="1"/>
  <c r="H23" i="2"/>
  <c r="O139" i="3"/>
  <c r="D55" i="10"/>
  <c r="N131" i="3"/>
  <c r="M140" i="3"/>
  <c r="G59" i="2"/>
  <c r="I60" i="2" s="1"/>
  <c r="J60" i="2" s="1"/>
  <c r="K60" i="2" s="1"/>
  <c r="J56" i="2"/>
  <c r="K56" i="2" s="1"/>
  <c r="D22" i="2"/>
  <c r="H44" i="2"/>
  <c r="J44" i="2" s="1"/>
  <c r="K44" i="2" s="1"/>
  <c r="J50" i="2"/>
  <c r="K50" i="2" s="1"/>
  <c r="D47" i="2"/>
  <c r="D15" i="2"/>
  <c r="G42" i="2"/>
  <c r="I43" i="2" s="1"/>
  <c r="J43" i="2" s="1"/>
  <c r="K43" i="2" s="1"/>
  <c r="D57" i="2"/>
  <c r="D25" i="2"/>
  <c r="G52" i="2"/>
  <c r="I53" i="2" s="1"/>
  <c r="G20" i="2"/>
  <c r="I21" i="2" s="1"/>
  <c r="D48" i="2"/>
  <c r="D16" i="2"/>
  <c r="D12" i="10"/>
  <c r="G11" i="10"/>
  <c r="D43" i="10"/>
  <c r="D31" i="10"/>
  <c r="D34" i="10"/>
  <c r="D21" i="10"/>
  <c r="O138" i="3"/>
  <c r="H48" i="2"/>
  <c r="H38" i="2"/>
  <c r="J38" i="2" s="1"/>
  <c r="K38" i="2" s="1"/>
  <c r="H57" i="2"/>
  <c r="J57" i="2" s="1"/>
  <c r="K57" i="2" s="1"/>
  <c r="H41" i="2"/>
  <c r="J41" i="2" s="1"/>
  <c r="K41" i="2" s="1"/>
  <c r="H25" i="2"/>
  <c r="J25" i="2" s="1"/>
  <c r="K25" i="2" s="1"/>
  <c r="D53" i="2"/>
  <c r="H51" i="2"/>
  <c r="J51" i="2" s="1"/>
  <c r="K51" i="2" s="1"/>
  <c r="H35" i="2"/>
  <c r="J35" i="2" s="1"/>
  <c r="K35" i="2" s="1"/>
  <c r="H19" i="2"/>
  <c r="J19" i="2" s="1"/>
  <c r="K19" i="2" s="1"/>
  <c r="D44" i="2"/>
  <c r="D12" i="2"/>
  <c r="G15" i="10"/>
  <c r="D25" i="10"/>
  <c r="D16" i="10"/>
  <c r="D35" i="10"/>
  <c r="D22" i="10"/>
  <c r="G53" i="10"/>
  <c r="D58" i="10"/>
  <c r="G40" i="10"/>
  <c r="L122" i="3"/>
  <c r="H45" i="2"/>
  <c r="J45" i="2" s="1"/>
  <c r="K45" i="2" s="1"/>
  <c r="J55" i="2"/>
  <c r="K55" i="2" s="1"/>
  <c r="G24" i="10"/>
  <c r="I58" i="2"/>
  <c r="D26" i="2"/>
  <c r="H54" i="2"/>
  <c r="J54" i="2" s="1"/>
  <c r="K54" i="2" s="1"/>
  <c r="I48" i="2"/>
  <c r="D54" i="2"/>
  <c r="G37" i="2"/>
  <c r="I38" i="2" s="1"/>
  <c r="D39" i="2"/>
  <c r="H22" i="2"/>
  <c r="J22" i="2" s="1"/>
  <c r="K22" i="2" s="1"/>
  <c r="G54" i="2"/>
  <c r="I55" i="2" s="1"/>
  <c r="G38" i="2"/>
  <c r="I39" i="2" s="1"/>
  <c r="G22" i="2"/>
  <c r="I23" i="2" s="1"/>
  <c r="D49" i="2"/>
  <c r="I49" i="2"/>
  <c r="G32" i="2"/>
  <c r="I33" i="2" s="1"/>
  <c r="I17" i="2"/>
  <c r="J17" i="2" s="1"/>
  <c r="K17" i="2" s="1"/>
  <c r="D40" i="2"/>
  <c r="H12" i="2"/>
  <c r="J12" i="2" s="1"/>
  <c r="K12" i="2" s="1"/>
  <c r="L12" i="2" s="1"/>
  <c r="D52" i="10"/>
  <c r="G54" i="10"/>
  <c r="D27" i="10"/>
  <c r="D47" i="10"/>
  <c r="D50" i="10"/>
  <c r="G29" i="10"/>
  <c r="D37" i="10"/>
  <c r="G16" i="10"/>
  <c r="J26" i="2"/>
  <c r="K26" i="2" s="1"/>
  <c r="J16" i="2"/>
  <c r="K16" i="2" s="1"/>
  <c r="J49" i="2"/>
  <c r="K49" i="2" s="1"/>
  <c r="J59" i="2"/>
  <c r="K59" i="2" s="1"/>
  <c r="J27" i="2"/>
  <c r="K27" i="2" s="1"/>
  <c r="Q135" i="3"/>
  <c r="D42" i="10"/>
  <c r="J20" i="2"/>
  <c r="K20" i="2" s="1"/>
  <c r="D23" i="2"/>
  <c r="G30" i="2"/>
  <c r="I31" i="2" s="1"/>
  <c r="G14" i="2"/>
  <c r="I15" i="2" s="1"/>
  <c r="H42" i="2"/>
  <c r="J42" i="2" s="1"/>
  <c r="K42" i="2" s="1"/>
  <c r="H39" i="2"/>
  <c r="D48" i="10"/>
  <c r="G20" i="10"/>
  <c r="G30" i="10"/>
  <c r="D58" i="2"/>
  <c r="Q133" i="3"/>
  <c r="G33" i="2"/>
  <c r="I34" i="2" s="1"/>
  <c r="J34" i="2" s="1"/>
  <c r="K34" i="2" s="1"/>
  <c r="J52" i="2"/>
  <c r="K52" i="2" s="1"/>
  <c r="H28" i="2"/>
  <c r="J28" i="2" s="1"/>
  <c r="K28" i="2" s="1"/>
  <c r="I46" i="2"/>
  <c r="J46" i="2" s="1"/>
  <c r="K46" i="2" s="1"/>
  <c r="G29" i="2"/>
  <c r="I30" i="2" s="1"/>
  <c r="G11" i="2"/>
  <c r="I12" i="2" s="1"/>
  <c r="H32" i="2"/>
  <c r="J30" i="2"/>
  <c r="K30" i="2" s="1"/>
  <c r="D35" i="2"/>
  <c r="H18" i="2"/>
  <c r="J18" i="2" s="1"/>
  <c r="K18" i="2" s="1"/>
  <c r="H53" i="2"/>
  <c r="J53" i="2" s="1"/>
  <c r="K53" i="2" s="1"/>
  <c r="H37" i="2"/>
  <c r="J37" i="2" s="1"/>
  <c r="K37" i="2" s="1"/>
  <c r="H21" i="2"/>
  <c r="J21" i="2" s="1"/>
  <c r="K21" i="2" s="1"/>
  <c r="D45" i="2"/>
  <c r="D13" i="2"/>
  <c r="H47" i="2"/>
  <c r="J47" i="2" s="1"/>
  <c r="K47" i="2" s="1"/>
  <c r="H31" i="2"/>
  <c r="J31" i="2" s="1"/>
  <c r="K31" i="2" s="1"/>
  <c r="H15" i="2"/>
  <c r="J15" i="2" s="1"/>
  <c r="K15" i="2" s="1"/>
  <c r="D36" i="2"/>
  <c r="G35" i="2"/>
  <c r="I36" i="2" s="1"/>
  <c r="J36" i="2" s="1"/>
  <c r="K36" i="2" s="1"/>
  <c r="P137" i="3"/>
  <c r="G44" i="10"/>
  <c r="G39" i="10"/>
  <c r="D56" i="10"/>
  <c r="D41" i="10"/>
  <c r="D51" i="10"/>
  <c r="G14" i="10"/>
  <c r="D19" i="10"/>
  <c r="D38" i="10"/>
  <c r="G17" i="10"/>
  <c r="D23" i="10"/>
  <c r="D26" i="10"/>
  <c r="G56" i="10"/>
  <c r="D13" i="10"/>
  <c r="L15" i="2" l="1"/>
  <c r="L16" i="2" s="1"/>
  <c r="L17" i="2" s="1"/>
  <c r="L18" i="2" s="1"/>
  <c r="L19" i="2" s="1"/>
  <c r="L20" i="2" s="1"/>
  <c r="L21" i="2" s="1"/>
  <c r="L22" i="2" s="1"/>
  <c r="L14" i="2"/>
  <c r="P139" i="3"/>
  <c r="Q138" i="3"/>
  <c r="R136" i="3"/>
  <c r="O132" i="3"/>
  <c r="N140" i="3"/>
  <c r="M122" i="3"/>
  <c r="J32" i="2"/>
  <c r="K32" i="2" s="1"/>
  <c r="R134" i="3"/>
  <c r="J39" i="2"/>
  <c r="K39" i="2" s="1"/>
  <c r="M123" i="3"/>
  <c r="L116" i="3"/>
  <c r="L107" i="3"/>
  <c r="L111" i="3"/>
  <c r="L112" i="3"/>
  <c r="L114" i="3"/>
  <c r="L115" i="3"/>
  <c r="L113" i="3"/>
  <c r="L110" i="3"/>
  <c r="L108" i="3"/>
  <c r="L109" i="3"/>
  <c r="J58" i="2"/>
  <c r="K58" i="2" s="1"/>
  <c r="J48" i="2"/>
  <c r="K48" i="2" s="1"/>
  <c r="P135" i="3"/>
  <c r="J23" i="2"/>
  <c r="K23" i="2" s="1"/>
  <c r="O135" i="3"/>
  <c r="R139" i="3" l="1"/>
  <c r="L117" i="3"/>
  <c r="N122" i="3"/>
  <c r="Q136" i="3"/>
  <c r="P133" i="3"/>
  <c r="O140" i="3"/>
  <c r="O122" i="3" s="1"/>
  <c r="S137" i="3"/>
  <c r="S135" i="3"/>
  <c r="P136" i="3"/>
  <c r="L23" i="2"/>
  <c r="L24" i="2" s="1"/>
  <c r="L25" i="2" s="1"/>
  <c r="N124" i="3"/>
  <c r="N123" i="3"/>
  <c r="M113" i="3"/>
  <c r="M112" i="3"/>
  <c r="M111" i="3"/>
  <c r="M116" i="3"/>
  <c r="M108" i="3"/>
  <c r="M114" i="3"/>
  <c r="M110" i="3"/>
  <c r="M109" i="3"/>
  <c r="M115" i="3"/>
  <c r="P123" i="3" l="1"/>
  <c r="O115" i="3"/>
  <c r="O114" i="3"/>
  <c r="O116" i="3"/>
  <c r="O125" i="3"/>
  <c r="Q134" i="3"/>
  <c r="P140" i="3"/>
  <c r="P122" i="3" s="1"/>
  <c r="Q137" i="3"/>
  <c r="R137" i="3"/>
  <c r="T136" i="3"/>
  <c r="L99" i="3"/>
  <c r="H36" i="6"/>
  <c r="H54" i="6"/>
  <c r="L26" i="2"/>
  <c r="L27" i="2" s="1"/>
  <c r="L28" i="2" s="1"/>
  <c r="L29" i="2" s="1"/>
  <c r="L30" i="2" s="1"/>
  <c r="T138" i="3"/>
  <c r="O123" i="3"/>
  <c r="N109" i="3"/>
  <c r="O110" i="3" s="1"/>
  <c r="N111" i="3"/>
  <c r="O111" i="3" s="1"/>
  <c r="N113" i="3"/>
  <c r="N110" i="3"/>
  <c r="N114" i="3"/>
  <c r="N116" i="3"/>
  <c r="N115" i="3"/>
  <c r="N112" i="3"/>
  <c r="O124" i="3"/>
  <c r="M117" i="3"/>
  <c r="Q123" i="3" l="1"/>
  <c r="P115" i="3"/>
  <c r="P116" i="3"/>
  <c r="P125" i="3"/>
  <c r="M100" i="3"/>
  <c r="L83" i="3"/>
  <c r="L155" i="3" s="1"/>
  <c r="L88" i="3"/>
  <c r="L160" i="3" s="1"/>
  <c r="L82" i="3"/>
  <c r="L81" i="3"/>
  <c r="L84" i="3"/>
  <c r="L156" i="3" s="1"/>
  <c r="L86" i="3"/>
  <c r="L158" i="3" s="1"/>
  <c r="L90" i="3"/>
  <c r="L162" i="3" s="1"/>
  <c r="L87" i="3"/>
  <c r="L159" i="3" s="1"/>
  <c r="L80" i="3"/>
  <c r="L85" i="3"/>
  <c r="L157" i="3" s="1"/>
  <c r="L89" i="3"/>
  <c r="L161" i="3" s="1"/>
  <c r="L93" i="3"/>
  <c r="L165" i="3" s="1"/>
  <c r="L91" i="3"/>
  <c r="L163" i="3" s="1"/>
  <c r="L92" i="3"/>
  <c r="L164" i="3" s="1"/>
  <c r="P126" i="3"/>
  <c r="O112" i="3"/>
  <c r="R135" i="3"/>
  <c r="Q140" i="3"/>
  <c r="P124" i="3"/>
  <c r="N117" i="3"/>
  <c r="R138" i="3"/>
  <c r="M99" i="3"/>
  <c r="H37" i="6"/>
  <c r="H55" i="6"/>
  <c r="L31" i="2"/>
  <c r="L32" i="2" s="1"/>
  <c r="L33" i="2" s="1"/>
  <c r="L34" i="2" s="1"/>
  <c r="L35" i="2" s="1"/>
  <c r="L36" i="2" s="1"/>
  <c r="L37" i="2" s="1"/>
  <c r="L38" i="2" s="1"/>
  <c r="L39" i="2" s="1"/>
  <c r="L40" i="2" s="1"/>
  <c r="Q122" i="3"/>
  <c r="O113" i="3"/>
  <c r="P114" i="3" s="1"/>
  <c r="S138" i="3"/>
  <c r="Q124" i="3"/>
  <c r="T139" i="3" l="1"/>
  <c r="Q127" i="3"/>
  <c r="N100" i="3"/>
  <c r="M90" i="3"/>
  <c r="M162" i="3" s="1"/>
  <c r="M84" i="3"/>
  <c r="M156" i="3" s="1"/>
  <c r="M87" i="3"/>
  <c r="M159" i="3" s="1"/>
  <c r="M88" i="3"/>
  <c r="M160" i="3" s="1"/>
  <c r="M85" i="3"/>
  <c r="M157" i="3" s="1"/>
  <c r="M86" i="3"/>
  <c r="M158" i="3" s="1"/>
  <c r="M83" i="3"/>
  <c r="M155" i="3" s="1"/>
  <c r="M82" i="3"/>
  <c r="M89" i="3"/>
  <c r="M161" i="3" s="1"/>
  <c r="M81" i="3"/>
  <c r="M92" i="3"/>
  <c r="M164" i="3" s="1"/>
  <c r="M91" i="3"/>
  <c r="M163" i="3" s="1"/>
  <c r="M93" i="3"/>
  <c r="M165" i="3" s="1"/>
  <c r="R123" i="3"/>
  <c r="Q115" i="3"/>
  <c r="Q116" i="3"/>
  <c r="Q114" i="3"/>
  <c r="Q113" i="3"/>
  <c r="O99" i="3"/>
  <c r="P111" i="3"/>
  <c r="N101" i="3"/>
  <c r="Q126" i="3"/>
  <c r="P112" i="3"/>
  <c r="Q112" i="3" s="1"/>
  <c r="N99" i="3"/>
  <c r="S139" i="3"/>
  <c r="S136" i="3"/>
  <c r="R140" i="3"/>
  <c r="L177" i="3"/>
  <c r="L154" i="3"/>
  <c r="L190" i="3"/>
  <c r="H38" i="6"/>
  <c r="H56" i="6"/>
  <c r="H21" i="6" s="1"/>
  <c r="L41" i="2"/>
  <c r="L42" i="2" s="1"/>
  <c r="L43" i="2" s="1"/>
  <c r="L44" i="2" s="1"/>
  <c r="L45" i="2" s="1"/>
  <c r="L46" i="2" s="1"/>
  <c r="L47" i="2" s="1"/>
  <c r="L48" i="2" s="1"/>
  <c r="L49" i="2" s="1"/>
  <c r="L50" i="2" s="1"/>
  <c r="L51" i="2" s="1"/>
  <c r="L52" i="2" s="1"/>
  <c r="L53" i="2" s="1"/>
  <c r="L54" i="2" s="1"/>
  <c r="L55" i="2" s="1"/>
  <c r="L56" i="2" s="1"/>
  <c r="L57" i="2" s="1"/>
  <c r="L58" i="2" s="1"/>
  <c r="L59" i="2" s="1"/>
  <c r="L60" i="2" s="1"/>
  <c r="Q125" i="3"/>
  <c r="P113" i="3"/>
  <c r="L94" i="3"/>
  <c r="R125" i="3"/>
  <c r="O117" i="3"/>
  <c r="R124" i="3"/>
  <c r="Q117" i="3" l="1"/>
  <c r="S125" i="3"/>
  <c r="T137" i="3"/>
  <c r="S140" i="3"/>
  <c r="P100" i="3"/>
  <c r="O209" i="3"/>
  <c r="O213" i="3"/>
  <c r="O210" i="3"/>
  <c r="O212" i="3"/>
  <c r="O211" i="3"/>
  <c r="R127" i="3"/>
  <c r="O101" i="3"/>
  <c r="L76" i="3"/>
  <c r="R128" i="3"/>
  <c r="O102" i="3"/>
  <c r="S124" i="3"/>
  <c r="P117" i="3"/>
  <c r="P99" i="3" s="1"/>
  <c r="R126" i="3"/>
  <c r="S122" i="3"/>
  <c r="R122" i="3"/>
  <c r="O100" i="3"/>
  <c r="N82" i="3"/>
  <c r="N86" i="3"/>
  <c r="N158" i="3" s="1"/>
  <c r="N87" i="3"/>
  <c r="N159" i="3" s="1"/>
  <c r="N85" i="3"/>
  <c r="N157" i="3" s="1"/>
  <c r="N93" i="3"/>
  <c r="N165" i="3" s="1"/>
  <c r="N90" i="3"/>
  <c r="N162" i="3" s="1"/>
  <c r="N84" i="3"/>
  <c r="N156" i="3" s="1"/>
  <c r="N83" i="3"/>
  <c r="N91" i="3"/>
  <c r="N163" i="3" s="1"/>
  <c r="N89" i="3"/>
  <c r="N161" i="3" s="1"/>
  <c r="N92" i="3"/>
  <c r="N164" i="3" s="1"/>
  <c r="N88" i="3"/>
  <c r="N160" i="3" s="1"/>
  <c r="M94" i="3"/>
  <c r="M76" i="3" s="1"/>
  <c r="T210" i="3"/>
  <c r="T211" i="3"/>
  <c r="T209" i="3"/>
  <c r="T213" i="3"/>
  <c r="T212" i="3"/>
  <c r="S126" i="3"/>
  <c r="N77" i="3" l="1"/>
  <c r="M59" i="3"/>
  <c r="Q100" i="3"/>
  <c r="P92" i="3"/>
  <c r="P164" i="3" s="1"/>
  <c r="P89" i="3"/>
  <c r="P161" i="3" s="1"/>
  <c r="P91" i="3"/>
  <c r="P163" i="3" s="1"/>
  <c r="O84" i="3"/>
  <c r="M77" i="3"/>
  <c r="L58" i="3"/>
  <c r="L57" i="3"/>
  <c r="L56" i="3"/>
  <c r="L55" i="3"/>
  <c r="O86" i="3"/>
  <c r="O158" i="3" s="1"/>
  <c r="Q101" i="3"/>
  <c r="T126" i="3"/>
  <c r="S123" i="3"/>
  <c r="R115" i="3"/>
  <c r="R114" i="3"/>
  <c r="R116" i="3"/>
  <c r="R113" i="3"/>
  <c r="O85" i="3"/>
  <c r="O157" i="3" s="1"/>
  <c r="O89" i="3"/>
  <c r="O161" i="3" s="1"/>
  <c r="P101" i="3"/>
  <c r="O90" i="3"/>
  <c r="O162" i="3" s="1"/>
  <c r="T125" i="3"/>
  <c r="S127" i="3"/>
  <c r="O87" i="3"/>
  <c r="O159" i="3" s="1"/>
  <c r="Q99" i="3"/>
  <c r="P102" i="3"/>
  <c r="O88" i="3"/>
  <c r="O160" i="3" s="1"/>
  <c r="O91" i="3"/>
  <c r="O163" i="3" s="1"/>
  <c r="S129" i="3"/>
  <c r="S128" i="3"/>
  <c r="O92" i="3"/>
  <c r="O164" i="3" s="1"/>
  <c r="T123" i="3"/>
  <c r="S114" i="3"/>
  <c r="N76" i="3"/>
  <c r="T127" i="3"/>
  <c r="N94" i="3"/>
  <c r="P103" i="3"/>
  <c r="O83" i="3"/>
  <c r="O93" i="3"/>
  <c r="O165" i="3" s="1"/>
  <c r="T140" i="3"/>
  <c r="P88" i="3" l="1"/>
  <c r="P160" i="3" s="1"/>
  <c r="T122" i="3"/>
  <c r="R101" i="3"/>
  <c r="R102" i="3"/>
  <c r="P87" i="3"/>
  <c r="P159" i="3" s="1"/>
  <c r="N78" i="3"/>
  <c r="P85" i="3"/>
  <c r="P90" i="3"/>
  <c r="P162" i="3" s="1"/>
  <c r="Q102" i="3"/>
  <c r="L71" i="3"/>
  <c r="O77" i="3"/>
  <c r="N60" i="3"/>
  <c r="T128" i="3"/>
  <c r="S115" i="3"/>
  <c r="O94" i="3"/>
  <c r="O76" i="3" s="1"/>
  <c r="M56" i="3"/>
  <c r="M58" i="3"/>
  <c r="R100" i="3"/>
  <c r="Q93" i="3"/>
  <c r="Q165" i="3" s="1"/>
  <c r="Q89" i="3"/>
  <c r="Q161" i="3" s="1"/>
  <c r="Q90" i="3"/>
  <c r="Q162" i="3" s="1"/>
  <c r="Q92" i="3"/>
  <c r="Q164" i="3" s="1"/>
  <c r="Q91" i="3"/>
  <c r="Q163" i="3" s="1"/>
  <c r="Q104" i="3"/>
  <c r="Q103" i="3"/>
  <c r="S116" i="3"/>
  <c r="T129" i="3"/>
  <c r="R117" i="3"/>
  <c r="T124" i="3"/>
  <c r="P86" i="3"/>
  <c r="P158" i="3" s="1"/>
  <c r="P93" i="3"/>
  <c r="P165" i="3" s="1"/>
  <c r="P84" i="3"/>
  <c r="M57" i="3"/>
  <c r="O78" i="3"/>
  <c r="P77" i="3" l="1"/>
  <c r="O61" i="3"/>
  <c r="O60" i="3"/>
  <c r="S99" i="3"/>
  <c r="R99" i="3"/>
  <c r="R104" i="3"/>
  <c r="P78" i="3"/>
  <c r="O79" i="3"/>
  <c r="Q88" i="3"/>
  <c r="Q160" i="3" s="1"/>
  <c r="S103" i="3"/>
  <c r="T116" i="3"/>
  <c r="T115" i="3"/>
  <c r="P94" i="3"/>
  <c r="N58" i="3"/>
  <c r="S102" i="3"/>
  <c r="M53" i="3"/>
  <c r="L53" i="3"/>
  <c r="Q87" i="3"/>
  <c r="Q159" i="3" s="1"/>
  <c r="N59" i="3"/>
  <c r="M71" i="3"/>
  <c r="N57" i="3"/>
  <c r="R105" i="3"/>
  <c r="Q86" i="3"/>
  <c r="R103" i="3"/>
  <c r="Q85" i="3"/>
  <c r="P79" i="3"/>
  <c r="S101" i="3"/>
  <c r="P76" i="3"/>
  <c r="S117" i="3"/>
  <c r="Q94" i="3" l="1"/>
  <c r="S106" i="3"/>
  <c r="T100" i="3"/>
  <c r="S91" i="3"/>
  <c r="S163" i="3" s="1"/>
  <c r="T117" i="3"/>
  <c r="Q79" i="3"/>
  <c r="N71" i="3"/>
  <c r="M54" i="3"/>
  <c r="L34" i="3"/>
  <c r="L33" i="3"/>
  <c r="L32" i="3"/>
  <c r="M32" i="3" s="1"/>
  <c r="L31" i="3"/>
  <c r="Q76" i="3"/>
  <c r="Q77" i="3"/>
  <c r="P61" i="3"/>
  <c r="P62" i="3"/>
  <c r="S100" i="3"/>
  <c r="R87" i="3"/>
  <c r="R88" i="3"/>
  <c r="R160" i="3" s="1"/>
  <c r="R91" i="3"/>
  <c r="R163" i="3" s="1"/>
  <c r="R86" i="3"/>
  <c r="R89" i="3"/>
  <c r="R161" i="3" s="1"/>
  <c r="R92" i="3"/>
  <c r="R164" i="3" s="1"/>
  <c r="R90" i="3"/>
  <c r="R162" i="3" s="1"/>
  <c r="R93" i="3"/>
  <c r="R165" i="3" s="1"/>
  <c r="T102" i="3"/>
  <c r="S104" i="3"/>
  <c r="N53" i="3"/>
  <c r="T104" i="3"/>
  <c r="P80" i="3"/>
  <c r="O58" i="3"/>
  <c r="O59" i="3"/>
  <c r="P60" i="3" s="1"/>
  <c r="N54" i="3"/>
  <c r="M35" i="3"/>
  <c r="M34" i="3"/>
  <c r="S105" i="3"/>
  <c r="Q80" i="3"/>
  <c r="T103" i="3"/>
  <c r="Q78" i="3"/>
  <c r="M33" i="3" l="1"/>
  <c r="R94" i="3"/>
  <c r="T101" i="3"/>
  <c r="P59" i="3"/>
  <c r="T105" i="3"/>
  <c r="T106" i="3"/>
  <c r="S90" i="3"/>
  <c r="S162" i="3" s="1"/>
  <c r="S92" i="3"/>
  <c r="S164" i="3" s="1"/>
  <c r="R78" i="3"/>
  <c r="O54" i="3"/>
  <c r="N33" i="3"/>
  <c r="N35" i="3"/>
  <c r="N36" i="3"/>
  <c r="N34" i="3"/>
  <c r="R77" i="3"/>
  <c r="Q61" i="3"/>
  <c r="Q60" i="3"/>
  <c r="Q63" i="3"/>
  <c r="Q62" i="3"/>
  <c r="S88" i="3"/>
  <c r="O71" i="3"/>
  <c r="O53" i="3"/>
  <c r="S89" i="3"/>
  <c r="S161" i="3" s="1"/>
  <c r="T99" i="3"/>
  <c r="L48" i="3"/>
  <c r="R79" i="3"/>
  <c r="Q81" i="3"/>
  <c r="R81" i="3"/>
  <c r="O55" i="3"/>
  <c r="S93" i="3"/>
  <c r="S165" i="3" s="1"/>
  <c r="N55" i="3"/>
  <c r="R80" i="3"/>
  <c r="S87" i="3"/>
  <c r="R76" i="3"/>
  <c r="S78" i="3" l="1"/>
  <c r="S94" i="3"/>
  <c r="S80" i="3"/>
  <c r="P56" i="3"/>
  <c r="N48" i="3"/>
  <c r="P71" i="3"/>
  <c r="T88" i="3"/>
  <c r="T89" i="3"/>
  <c r="T93" i="3"/>
  <c r="T165" i="3" s="1"/>
  <c r="T90" i="3"/>
  <c r="T162" i="3" s="1"/>
  <c r="T91" i="3"/>
  <c r="T163" i="3" s="1"/>
  <c r="T92" i="3"/>
  <c r="T164" i="3" s="1"/>
  <c r="S77" i="3"/>
  <c r="R63" i="3"/>
  <c r="R62" i="3"/>
  <c r="R61" i="3"/>
  <c r="R64" i="3"/>
  <c r="L30" i="3"/>
  <c r="P55" i="3"/>
  <c r="Q71" i="3"/>
  <c r="S79" i="3"/>
  <c r="S82" i="3"/>
  <c r="M48" i="3"/>
  <c r="M30" i="3" s="1"/>
  <c r="R82" i="3"/>
  <c r="P54" i="3"/>
  <c r="O35" i="3"/>
  <c r="O34" i="3"/>
  <c r="O37" i="3"/>
  <c r="O36" i="3"/>
  <c r="S81" i="3"/>
  <c r="O56" i="3"/>
  <c r="S76" i="3"/>
  <c r="N31" i="3" l="1"/>
  <c r="T80" i="3"/>
  <c r="T82" i="3"/>
  <c r="M31" i="3"/>
  <c r="L10" i="3"/>
  <c r="L12" i="3"/>
  <c r="L153" i="3" s="1"/>
  <c r="L8" i="3"/>
  <c r="L9" i="3"/>
  <c r="L150" i="3" s="1"/>
  <c r="L11" i="3"/>
  <c r="T78" i="3"/>
  <c r="T79" i="3"/>
  <c r="Q55" i="3"/>
  <c r="T83" i="3"/>
  <c r="R71" i="3"/>
  <c r="T81" i="3"/>
  <c r="T77" i="3"/>
  <c r="S65" i="3"/>
  <c r="S62" i="3"/>
  <c r="S64" i="3"/>
  <c r="S63" i="3"/>
  <c r="O48" i="3"/>
  <c r="Q53" i="3"/>
  <c r="N30" i="3"/>
  <c r="Q56" i="3"/>
  <c r="P57" i="3"/>
  <c r="S83" i="3"/>
  <c r="T94" i="3"/>
  <c r="O30" i="3"/>
  <c r="Q57" i="3"/>
  <c r="P53" i="3"/>
  <c r="L188" i="3" l="1"/>
  <c r="L175" i="3"/>
  <c r="L151" i="3"/>
  <c r="M9" i="3"/>
  <c r="S53" i="3"/>
  <c r="R57" i="3"/>
  <c r="S71" i="3"/>
  <c r="M10" i="3"/>
  <c r="Q58" i="3"/>
  <c r="R58" i="3"/>
  <c r="T76" i="3"/>
  <c r="N32" i="3"/>
  <c r="L176" i="3"/>
  <c r="L152" i="3"/>
  <c r="L189" i="3"/>
  <c r="M12" i="3"/>
  <c r="M153" i="3" s="1"/>
  <c r="M13" i="3"/>
  <c r="R54" i="3"/>
  <c r="P31" i="3"/>
  <c r="R56" i="3"/>
  <c r="M11" i="3"/>
  <c r="N11" i="3" s="1"/>
  <c r="R53" i="3"/>
  <c r="Q54" i="3"/>
  <c r="P35" i="3"/>
  <c r="P36" i="3"/>
  <c r="P38" i="3"/>
  <c r="Q38" i="3" s="1"/>
  <c r="P37" i="3"/>
  <c r="Q37" i="3" s="1"/>
  <c r="O31" i="3"/>
  <c r="N13" i="3"/>
  <c r="N14" i="3"/>
  <c r="N155" i="3" s="1"/>
  <c r="N10" i="3"/>
  <c r="L25" i="3"/>
  <c r="L149" i="3"/>
  <c r="O32" i="3"/>
  <c r="N152" i="3" l="1"/>
  <c r="N176" i="3"/>
  <c r="N189" i="3"/>
  <c r="N175" i="3"/>
  <c r="N188" i="3"/>
  <c r="N151" i="3"/>
  <c r="R55" i="3"/>
  <c r="O14" i="3"/>
  <c r="O155" i="3" s="1"/>
  <c r="S55" i="3"/>
  <c r="S211" i="3"/>
  <c r="S212" i="3"/>
  <c r="S210" i="3"/>
  <c r="S213" i="3"/>
  <c r="S209" i="3"/>
  <c r="T54" i="3"/>
  <c r="M177" i="3"/>
  <c r="M190" i="3"/>
  <c r="M154" i="3"/>
  <c r="M25" i="3"/>
  <c r="M150" i="3"/>
  <c r="R59" i="3"/>
  <c r="S58" i="3"/>
  <c r="P33" i="3"/>
  <c r="S54" i="3"/>
  <c r="R38" i="3"/>
  <c r="M7" i="3"/>
  <c r="L7" i="3"/>
  <c r="M178" i="3"/>
  <c r="M191" i="3"/>
  <c r="S59" i="3"/>
  <c r="M175" i="3"/>
  <c r="M151" i="3"/>
  <c r="M188" i="3"/>
  <c r="R211" i="3"/>
  <c r="R212" i="3"/>
  <c r="R210" i="3"/>
  <c r="R213" i="3"/>
  <c r="R209" i="3"/>
  <c r="N209" i="3"/>
  <c r="N213" i="3"/>
  <c r="N210" i="3"/>
  <c r="N212" i="3"/>
  <c r="N211" i="3"/>
  <c r="N190" i="3"/>
  <c r="N154" i="3"/>
  <c r="N177" i="3"/>
  <c r="M189" i="3"/>
  <c r="M152" i="3"/>
  <c r="M176" i="3"/>
  <c r="P48" i="3"/>
  <c r="S57" i="3"/>
  <c r="O15" i="3"/>
  <c r="O156" i="3" s="1"/>
  <c r="O33" i="3"/>
  <c r="M210" i="3"/>
  <c r="M211" i="3"/>
  <c r="M209" i="3"/>
  <c r="M213" i="3"/>
  <c r="M212" i="3"/>
  <c r="T64" i="3"/>
  <c r="T63" i="3"/>
  <c r="T66" i="3"/>
  <c r="T65" i="3"/>
  <c r="Q39" i="3"/>
  <c r="R39" i="3" s="1"/>
  <c r="Q36" i="3"/>
  <c r="N12" i="3"/>
  <c r="O11" i="3" s="1"/>
  <c r="P32" i="3"/>
  <c r="Q32" i="3"/>
  <c r="O176" i="3" l="1"/>
  <c r="O189" i="3"/>
  <c r="O152" i="3"/>
  <c r="S38" i="3"/>
  <c r="U214" i="3"/>
  <c r="U218" i="3"/>
  <c r="U215" i="3"/>
  <c r="U217" i="3"/>
  <c r="U216" i="3"/>
  <c r="R40" i="3"/>
  <c r="T55" i="3"/>
  <c r="S60" i="3"/>
  <c r="T56" i="3"/>
  <c r="T59" i="3"/>
  <c r="T71" i="3"/>
  <c r="P34" i="3"/>
  <c r="Q48" i="3"/>
  <c r="N217" i="3"/>
  <c r="N214" i="3"/>
  <c r="N218" i="3"/>
  <c r="N216" i="3"/>
  <c r="N215" i="3"/>
  <c r="M8" i="3"/>
  <c r="L178" i="3"/>
  <c r="L191" i="3"/>
  <c r="L148" i="3"/>
  <c r="T214" i="3"/>
  <c r="T218" i="3"/>
  <c r="T215" i="3"/>
  <c r="T217" i="3"/>
  <c r="T216" i="3"/>
  <c r="P216" i="3"/>
  <c r="F95" i="5" s="1"/>
  <c r="P217" i="3"/>
  <c r="F96" i="5" s="1"/>
  <c r="P215" i="3"/>
  <c r="F94" i="5" s="1"/>
  <c r="P214" i="3"/>
  <c r="F93" i="5" s="1"/>
  <c r="P218" i="3"/>
  <c r="F97" i="5" s="1"/>
  <c r="N25" i="3"/>
  <c r="M214" i="3"/>
  <c r="M218" i="3"/>
  <c r="M215" i="3"/>
  <c r="M217" i="3"/>
  <c r="M216" i="3"/>
  <c r="N8" i="3"/>
  <c r="M148" i="3"/>
  <c r="R37" i="3"/>
  <c r="Q34" i="3"/>
  <c r="R219" i="3"/>
  <c r="R223" i="3"/>
  <c r="R220" i="3"/>
  <c r="R222" i="3"/>
  <c r="R221" i="3"/>
  <c r="Q33" i="3"/>
  <c r="T222" i="3"/>
  <c r="T219" i="3"/>
  <c r="T223" i="3"/>
  <c r="T221" i="3"/>
  <c r="T220" i="3"/>
  <c r="S56" i="3"/>
  <c r="N221" i="3"/>
  <c r="N222" i="3"/>
  <c r="N220" i="3"/>
  <c r="N223" i="3"/>
  <c r="N219" i="3"/>
  <c r="S215" i="3"/>
  <c r="S216" i="3"/>
  <c r="S214" i="3"/>
  <c r="S218" i="3"/>
  <c r="S217" i="3"/>
  <c r="N153" i="3"/>
  <c r="O12" i="3"/>
  <c r="O153" i="3" s="1"/>
  <c r="O13" i="3"/>
  <c r="T58" i="3"/>
  <c r="R215" i="3"/>
  <c r="K94" i="5" s="1"/>
  <c r="R216" i="3"/>
  <c r="R214" i="3"/>
  <c r="R218" i="3"/>
  <c r="K97" i="5" s="1"/>
  <c r="R217" i="3"/>
  <c r="K96" i="5" s="1"/>
  <c r="S219" i="3"/>
  <c r="S223" i="3"/>
  <c r="S220" i="3"/>
  <c r="S222" i="3"/>
  <c r="S221" i="3"/>
  <c r="T60" i="3"/>
  <c r="R33" i="3"/>
  <c r="Q30" i="3"/>
  <c r="P30" i="3"/>
  <c r="O221" i="3"/>
  <c r="O222" i="3"/>
  <c r="O220" i="3"/>
  <c r="O219" i="3"/>
  <c r="O223" i="3"/>
  <c r="O217" i="3"/>
  <c r="O214" i="3"/>
  <c r="O218" i="3"/>
  <c r="O216" i="3"/>
  <c r="O215" i="3"/>
  <c r="M222" i="3"/>
  <c r="M219" i="3"/>
  <c r="M223" i="3"/>
  <c r="M221" i="3"/>
  <c r="M220" i="3"/>
  <c r="I97" i="5" l="1"/>
  <c r="J97" i="5"/>
  <c r="T53" i="3"/>
  <c r="K93" i="5"/>
  <c r="R48" i="3"/>
  <c r="N9" i="3"/>
  <c r="M149" i="3"/>
  <c r="K95" i="5"/>
  <c r="N187" i="3"/>
  <c r="N174" i="3"/>
  <c r="O7" i="3"/>
  <c r="S41" i="3"/>
  <c r="S40" i="3"/>
  <c r="N225" i="3"/>
  <c r="N226" i="3"/>
  <c r="N224" i="3"/>
  <c r="N228" i="3"/>
  <c r="N227" i="3"/>
  <c r="O177" i="3"/>
  <c r="O154" i="3"/>
  <c r="O190" i="3"/>
  <c r="T57" i="3"/>
  <c r="R34" i="3"/>
  <c r="O9" i="3"/>
  <c r="N149" i="3"/>
  <c r="S227" i="3"/>
  <c r="S224" i="3"/>
  <c r="S228" i="3"/>
  <c r="S226" i="3"/>
  <c r="S225" i="3"/>
  <c r="R35" i="3"/>
  <c r="U210" i="3"/>
  <c r="U211" i="3"/>
  <c r="U209" i="3"/>
  <c r="U213" i="3"/>
  <c r="U212" i="3"/>
  <c r="L179" i="3"/>
  <c r="I95" i="5"/>
  <c r="J95" i="5"/>
  <c r="O25" i="3"/>
  <c r="Q31" i="3"/>
  <c r="P16" i="3"/>
  <c r="P157" i="3" s="1"/>
  <c r="P15" i="3"/>
  <c r="P156" i="3" s="1"/>
  <c r="P13" i="3"/>
  <c r="P12" i="3"/>
  <c r="P14" i="3"/>
  <c r="P155" i="3" s="1"/>
  <c r="I96" i="5"/>
  <c r="J96" i="5"/>
  <c r="Q35" i="3"/>
  <c r="S39" i="3"/>
  <c r="S48" i="3" s="1"/>
  <c r="P212" i="3"/>
  <c r="P209" i="3"/>
  <c r="P213" i="3"/>
  <c r="P211" i="3"/>
  <c r="P210" i="3"/>
  <c r="I93" i="5"/>
  <c r="J93" i="5"/>
  <c r="S34" i="3"/>
  <c r="R31" i="3"/>
  <c r="Q17" i="3"/>
  <c r="Q158" i="3" s="1"/>
  <c r="Q16" i="3"/>
  <c r="Q157" i="3" s="1"/>
  <c r="Q13" i="3"/>
  <c r="N7" i="3"/>
  <c r="I94" i="5"/>
  <c r="J94" i="5"/>
  <c r="M187" i="3"/>
  <c r="M174" i="3"/>
  <c r="F89" i="5" l="1"/>
  <c r="L89" i="5"/>
  <c r="J89" i="5"/>
  <c r="I89" i="5"/>
  <c r="E89" i="5"/>
  <c r="O89" i="5"/>
  <c r="Q89" i="5" s="1"/>
  <c r="AB89" i="5" s="1"/>
  <c r="AC89" i="5" s="1"/>
  <c r="M89" i="5"/>
  <c r="K89" i="5"/>
  <c r="P10" i="3"/>
  <c r="O150" i="3"/>
  <c r="P8" i="3"/>
  <c r="O148" i="3"/>
  <c r="S30" i="3"/>
  <c r="L214" i="3"/>
  <c r="L93" i="5" s="1"/>
  <c r="L218" i="3"/>
  <c r="L97" i="5" s="1"/>
  <c r="L215" i="3"/>
  <c r="L94" i="5" s="1"/>
  <c r="L217" i="3"/>
  <c r="L96" i="5" s="1"/>
  <c r="L216" i="3"/>
  <c r="L95" i="5" s="1"/>
  <c r="F90" i="5"/>
  <c r="L90" i="5"/>
  <c r="I90" i="5"/>
  <c r="J90" i="5"/>
  <c r="P25" i="3"/>
  <c r="P153" i="3"/>
  <c r="O225" i="3"/>
  <c r="O226" i="3"/>
  <c r="O224" i="3"/>
  <c r="O228" i="3"/>
  <c r="O227" i="3"/>
  <c r="Q220" i="3"/>
  <c r="N179" i="3"/>
  <c r="Q221" i="3"/>
  <c r="Q219" i="3"/>
  <c r="Q223" i="3"/>
  <c r="Q222" i="3"/>
  <c r="Q177" i="3"/>
  <c r="Q154" i="3"/>
  <c r="Q190" i="3"/>
  <c r="F88" i="5"/>
  <c r="I88" i="5"/>
  <c r="J88" i="5"/>
  <c r="L88" i="5"/>
  <c r="T226" i="3"/>
  <c r="T227" i="3"/>
  <c r="T225" i="3"/>
  <c r="T228" i="3"/>
  <c r="T224" i="3"/>
  <c r="Q15" i="3"/>
  <c r="Q156" i="3" s="1"/>
  <c r="S32" i="3"/>
  <c r="F91" i="5"/>
  <c r="J91" i="5"/>
  <c r="I91" i="5"/>
  <c r="L91" i="5"/>
  <c r="K91" i="5"/>
  <c r="O91" i="5"/>
  <c r="Q91" i="5" s="1"/>
  <c r="AB91" i="5" s="1"/>
  <c r="AC91" i="5" s="1"/>
  <c r="M91" i="5"/>
  <c r="E91" i="5"/>
  <c r="S36" i="3"/>
  <c r="S35" i="3"/>
  <c r="R30" i="3"/>
  <c r="R36" i="3"/>
  <c r="K92" i="5"/>
  <c r="M92" i="5"/>
  <c r="E92" i="5"/>
  <c r="O92" i="5"/>
  <c r="Q92" i="5" s="1"/>
  <c r="AB92" i="5" s="1"/>
  <c r="AC92" i="5" s="1"/>
  <c r="T42" i="3"/>
  <c r="T40" i="3"/>
  <c r="T39" i="3"/>
  <c r="T41" i="3"/>
  <c r="F92" i="5"/>
  <c r="I92" i="5"/>
  <c r="J92" i="5"/>
  <c r="L92" i="5"/>
  <c r="O8" i="3"/>
  <c r="N148" i="3"/>
  <c r="N191" i="3"/>
  <c r="N178" i="3"/>
  <c r="Q14" i="3"/>
  <c r="Q155" i="3" s="1"/>
  <c r="R32" i="3"/>
  <c r="K88" i="5"/>
  <c r="O88" i="5"/>
  <c r="M88" i="5"/>
  <c r="E88" i="5"/>
  <c r="O178" i="3"/>
  <c r="O10" i="3"/>
  <c r="N150" i="3"/>
  <c r="M179" i="3"/>
  <c r="Q216" i="3"/>
  <c r="Q217" i="3"/>
  <c r="Q215" i="3"/>
  <c r="Q214" i="3"/>
  <c r="Q218" i="3"/>
  <c r="T35" i="3"/>
  <c r="P190" i="3"/>
  <c r="P177" i="3"/>
  <c r="P154" i="3"/>
  <c r="L222" i="3"/>
  <c r="L219" i="3"/>
  <c r="L223" i="3"/>
  <c r="L221" i="3"/>
  <c r="L220" i="3"/>
  <c r="K90" i="5"/>
  <c r="M90" i="5"/>
  <c r="E90" i="5"/>
  <c r="N90" i="5" s="1"/>
  <c r="P90" i="5" s="1"/>
  <c r="Z90" i="5" s="1"/>
  <c r="O90" i="5"/>
  <c r="Q90" i="5" s="1"/>
  <c r="AB90" i="5" s="1"/>
  <c r="AC90" i="5" s="1"/>
  <c r="O191" i="3"/>
  <c r="S33" i="3" l="1"/>
  <c r="P224" i="3"/>
  <c r="F103" i="5" s="1"/>
  <c r="P228" i="3"/>
  <c r="F107" i="5" s="1"/>
  <c r="P225" i="3"/>
  <c r="F104" i="5" s="1"/>
  <c r="P226" i="3"/>
  <c r="F105" i="5" s="1"/>
  <c r="P227" i="3"/>
  <c r="F106" i="5" s="1"/>
  <c r="O95" i="5"/>
  <c r="Q95" i="5" s="1"/>
  <c r="AB95" i="5" s="1"/>
  <c r="AC95" i="5" s="1"/>
  <c r="E95" i="5"/>
  <c r="M95" i="5"/>
  <c r="P9" i="3"/>
  <c r="O149" i="3"/>
  <c r="T48" i="3"/>
  <c r="N92" i="5"/>
  <c r="P92" i="5" s="1"/>
  <c r="Z92" i="5" s="1"/>
  <c r="Q9" i="3"/>
  <c r="P149" i="3"/>
  <c r="N89" i="5"/>
  <c r="P89" i="5" s="1"/>
  <c r="Z89" i="5" s="1"/>
  <c r="T36" i="3"/>
  <c r="O236" i="3"/>
  <c r="O237" i="3"/>
  <c r="O238" i="3"/>
  <c r="O234" i="3"/>
  <c r="O235" i="3"/>
  <c r="L101" i="5"/>
  <c r="U226" i="3"/>
  <c r="U227" i="3"/>
  <c r="U225" i="3"/>
  <c r="U228" i="3"/>
  <c r="U224" i="3"/>
  <c r="S37" i="3"/>
  <c r="T37" i="3"/>
  <c r="T234" i="3"/>
  <c r="T238" i="3"/>
  <c r="T236" i="3"/>
  <c r="T235" i="3"/>
  <c r="T237" i="3"/>
  <c r="P11" i="3"/>
  <c r="O175" i="3"/>
  <c r="O188" i="3"/>
  <c r="O151" i="3"/>
  <c r="E97" i="5"/>
  <c r="M97" i="5"/>
  <c r="O97" i="5"/>
  <c r="Q97" i="5" s="1"/>
  <c r="AB97" i="5" s="1"/>
  <c r="AC97" i="5" s="1"/>
  <c r="E93" i="5"/>
  <c r="N93" i="5" s="1"/>
  <c r="P93" i="5" s="1"/>
  <c r="Z93" i="5" s="1"/>
  <c r="M93" i="5"/>
  <c r="O93" i="5"/>
  <c r="Q93" i="5" s="1"/>
  <c r="AB93" i="5" s="1"/>
  <c r="AC93" i="5" s="1"/>
  <c r="N88" i="5"/>
  <c r="U222" i="3"/>
  <c r="K101" i="5" s="1"/>
  <c r="U219" i="3"/>
  <c r="K98" i="5" s="1"/>
  <c r="U223" i="3"/>
  <c r="K102" i="5" s="1"/>
  <c r="U221" i="3"/>
  <c r="K100" i="5" s="1"/>
  <c r="U220" i="3"/>
  <c r="K99" i="5" s="1"/>
  <c r="S31" i="3"/>
  <c r="R17" i="3"/>
  <c r="R158" i="3" s="1"/>
  <c r="R14" i="3"/>
  <c r="R18" i="3"/>
  <c r="R159" i="3" s="1"/>
  <c r="R15" i="3"/>
  <c r="R156" i="3" s="1"/>
  <c r="R16" i="3"/>
  <c r="R157" i="3" s="1"/>
  <c r="N91" i="5"/>
  <c r="P91" i="5" s="1"/>
  <c r="Z91" i="5" s="1"/>
  <c r="Q25" i="3"/>
  <c r="Q11" i="3"/>
  <c r="P151" i="3"/>
  <c r="P188" i="3"/>
  <c r="P175" i="3"/>
  <c r="AA90" i="5"/>
  <c r="AD90" i="5"/>
  <c r="AE90" i="5" s="1"/>
  <c r="E99" i="5"/>
  <c r="M99" i="5"/>
  <c r="O99" i="5"/>
  <c r="Q99" i="5" s="1"/>
  <c r="AB99" i="5" s="1"/>
  <c r="AC99" i="5" s="1"/>
  <c r="T230" i="3"/>
  <c r="T231" i="3"/>
  <c r="T232" i="3"/>
  <c r="T233" i="3"/>
  <c r="T229" i="3"/>
  <c r="E94" i="5"/>
  <c r="N94" i="5" s="1"/>
  <c r="P94" i="5" s="1"/>
  <c r="Z94" i="5" s="1"/>
  <c r="M94" i="5"/>
  <c r="O94" i="5"/>
  <c r="Q94" i="5" s="1"/>
  <c r="AB94" i="5" s="1"/>
  <c r="AC94" i="5" s="1"/>
  <c r="P220" i="3"/>
  <c r="L99" i="5" s="1"/>
  <c r="P221" i="3"/>
  <c r="P219" i="3"/>
  <c r="P223" i="3"/>
  <c r="P222" i="3"/>
  <c r="T33" i="3"/>
  <c r="E101" i="5"/>
  <c r="T31" i="3"/>
  <c r="S16" i="3"/>
  <c r="S157" i="3" s="1"/>
  <c r="S17" i="3"/>
  <c r="S158" i="3" s="1"/>
  <c r="S18" i="3"/>
  <c r="S159" i="3" s="1"/>
  <c r="S19" i="3"/>
  <c r="S160" i="3" s="1"/>
  <c r="L102" i="5"/>
  <c r="P7" i="3"/>
  <c r="O229" i="3"/>
  <c r="O230" i="3"/>
  <c r="O232" i="3"/>
  <c r="O231" i="3"/>
  <c r="O233" i="3"/>
  <c r="E96" i="5"/>
  <c r="N96" i="5" s="1"/>
  <c r="P96" i="5" s="1"/>
  <c r="Z96" i="5" s="1"/>
  <c r="M96" i="5"/>
  <c r="O96" i="5"/>
  <c r="Q96" i="5" s="1"/>
  <c r="AB96" i="5" s="1"/>
  <c r="AC96" i="5" s="1"/>
  <c r="Q88" i="5"/>
  <c r="AB88" i="5" s="1"/>
  <c r="AC88" i="5" s="1"/>
  <c r="Q82" i="5"/>
  <c r="AB82" i="5" s="1"/>
  <c r="AC82" i="5" s="1"/>
  <c r="Q84" i="5"/>
  <c r="AB84" i="5" s="1"/>
  <c r="AC84" i="5" s="1"/>
  <c r="Q83" i="5"/>
  <c r="AB83" i="5" s="1"/>
  <c r="AC83" i="5" s="1"/>
  <c r="O174" i="3"/>
  <c r="O187" i="3"/>
  <c r="E102" i="5"/>
  <c r="M102" i="5"/>
  <c r="O102" i="5"/>
  <c r="Q102" i="5" s="1"/>
  <c r="AB102" i="5" s="1"/>
  <c r="AC102" i="5" s="1"/>
  <c r="P174" i="3"/>
  <c r="P187" i="3"/>
  <c r="F100" i="5" l="1"/>
  <c r="I100" i="5"/>
  <c r="J100" i="5"/>
  <c r="R25" i="3"/>
  <c r="R155" i="3"/>
  <c r="S15" i="3"/>
  <c r="Q224" i="3"/>
  <c r="Q228" i="3"/>
  <c r="O179" i="3"/>
  <c r="Q225" i="3"/>
  <c r="Q227" i="3"/>
  <c r="Q226" i="3"/>
  <c r="O101" i="5"/>
  <c r="Q101" i="5" s="1"/>
  <c r="AB101" i="5" s="1"/>
  <c r="AC101" i="5" s="1"/>
  <c r="F102" i="5"/>
  <c r="N102" i="5" s="1"/>
  <c r="P102" i="5" s="1"/>
  <c r="Z102" i="5" s="1"/>
  <c r="I102" i="5"/>
  <c r="J102" i="5"/>
  <c r="M100" i="5"/>
  <c r="AD92" i="5"/>
  <c r="AE92" i="5" s="1"/>
  <c r="AA92" i="5"/>
  <c r="L230" i="3"/>
  <c r="L231" i="3"/>
  <c r="L229" i="3"/>
  <c r="L233" i="3"/>
  <c r="L232" i="3"/>
  <c r="AA96" i="5"/>
  <c r="AD96" i="5"/>
  <c r="AE96" i="5" s="1"/>
  <c r="M101" i="5"/>
  <c r="F98" i="5"/>
  <c r="I98" i="5"/>
  <c r="J98" i="5"/>
  <c r="R231" i="3"/>
  <c r="R232" i="3"/>
  <c r="R233" i="3"/>
  <c r="R230" i="3"/>
  <c r="R229" i="3"/>
  <c r="N97" i="5"/>
  <c r="P97" i="5" s="1"/>
  <c r="Z97" i="5" s="1"/>
  <c r="E100" i="5"/>
  <c r="N100" i="5" s="1"/>
  <c r="P100" i="5" s="1"/>
  <c r="Z100" i="5" s="1"/>
  <c r="Q232" i="3"/>
  <c r="Q229" i="3"/>
  <c r="Q231" i="3"/>
  <c r="Q230" i="3"/>
  <c r="Q233" i="3"/>
  <c r="F99" i="5"/>
  <c r="J99" i="5"/>
  <c r="I99" i="5"/>
  <c r="N99" i="5" s="1"/>
  <c r="P99" i="5" s="1"/>
  <c r="Z99" i="5" s="1"/>
  <c r="R12" i="3"/>
  <c r="Q152" i="3"/>
  <c r="Q176" i="3"/>
  <c r="Q189" i="3"/>
  <c r="R227" i="3"/>
  <c r="K106" i="5" s="1"/>
  <c r="R224" i="3"/>
  <c r="K103" i="5" s="1"/>
  <c r="R228" i="3"/>
  <c r="K107" i="5" s="1"/>
  <c r="R226" i="3"/>
  <c r="K105" i="5" s="1"/>
  <c r="R225" i="3"/>
  <c r="K104" i="5" s="1"/>
  <c r="R10" i="3"/>
  <c r="Q150" i="3"/>
  <c r="Q10" i="3"/>
  <c r="P150" i="3"/>
  <c r="L100" i="5"/>
  <c r="P82" i="5"/>
  <c r="Z82" i="5" s="1"/>
  <c r="P84" i="5"/>
  <c r="Z84" i="5" s="1"/>
  <c r="P83" i="5"/>
  <c r="Z83" i="5" s="1"/>
  <c r="P88" i="5"/>
  <c r="Z88" i="5" s="1"/>
  <c r="T30" i="3"/>
  <c r="Q85" i="5"/>
  <c r="R7" i="3"/>
  <c r="R178" i="3" s="1"/>
  <c r="R191" i="3"/>
  <c r="T32" i="3"/>
  <c r="Q12" i="3"/>
  <c r="P152" i="3"/>
  <c r="P176" i="3"/>
  <c r="P179" i="3" s="1"/>
  <c r="P189" i="3"/>
  <c r="M98" i="5"/>
  <c r="M230" i="3"/>
  <c r="M231" i="3"/>
  <c r="M229" i="3"/>
  <c r="M232" i="3"/>
  <c r="M233" i="3"/>
  <c r="L226" i="3"/>
  <c r="L227" i="3"/>
  <c r="L106" i="5" s="1"/>
  <c r="L225" i="3"/>
  <c r="L104" i="5" s="1"/>
  <c r="L224" i="3"/>
  <c r="L228" i="3"/>
  <c r="AA94" i="5"/>
  <c r="AD94" i="5"/>
  <c r="AE94" i="5" s="1"/>
  <c r="AA91" i="5"/>
  <c r="AD91" i="5"/>
  <c r="AE91" i="5" s="1"/>
  <c r="AA93" i="5"/>
  <c r="AD93" i="5"/>
  <c r="AE93" i="5" s="1"/>
  <c r="L98" i="5"/>
  <c r="Q7" i="3"/>
  <c r="AD89" i="5"/>
  <c r="AE89" i="5" s="1"/>
  <c r="AA89" i="5"/>
  <c r="E98" i="5"/>
  <c r="N95" i="5"/>
  <c r="P95" i="5" s="1"/>
  <c r="Z95" i="5" s="1"/>
  <c r="M226" i="3"/>
  <c r="M227" i="3"/>
  <c r="M225" i="3"/>
  <c r="M228" i="3"/>
  <c r="M224" i="3"/>
  <c r="Q8" i="3"/>
  <c r="P148" i="3"/>
  <c r="P191" i="3"/>
  <c r="P178" i="3"/>
  <c r="F101" i="5"/>
  <c r="N101" i="5" s="1"/>
  <c r="P101" i="5" s="1"/>
  <c r="Z101" i="5" s="1"/>
  <c r="I101" i="5"/>
  <c r="J101" i="5"/>
  <c r="O100" i="5"/>
  <c r="Q100" i="5" s="1"/>
  <c r="AB100" i="5" s="1"/>
  <c r="AC100" i="5" s="1"/>
  <c r="O98" i="5"/>
  <c r="Q98" i="5" s="1"/>
  <c r="AB98" i="5" s="1"/>
  <c r="AC98" i="5" s="1"/>
  <c r="T34" i="3"/>
  <c r="AA99" i="5" l="1"/>
  <c r="AD99" i="5"/>
  <c r="AE99" i="5" s="1"/>
  <c r="AA102" i="5"/>
  <c r="AD102" i="5"/>
  <c r="AE102" i="5" s="1"/>
  <c r="U240" i="3"/>
  <c r="U241" i="3"/>
  <c r="U242" i="3"/>
  <c r="U243" i="3"/>
  <c r="U239" i="3"/>
  <c r="AA101" i="5"/>
  <c r="AD101" i="5"/>
  <c r="AE101" i="5" s="1"/>
  <c r="AD84" i="5"/>
  <c r="AE84" i="5" s="1"/>
  <c r="AA84" i="5"/>
  <c r="P232" i="3"/>
  <c r="F111" i="5" s="1"/>
  <c r="P229" i="3"/>
  <c r="F108" i="5" s="1"/>
  <c r="P233" i="3"/>
  <c r="F112" i="5" s="1"/>
  <c r="P230" i="3"/>
  <c r="F109" i="5" s="1"/>
  <c r="P231" i="3"/>
  <c r="F110" i="5" s="1"/>
  <c r="AD95" i="5"/>
  <c r="AE95" i="5" s="1"/>
  <c r="AA95" i="5"/>
  <c r="AA88" i="5"/>
  <c r="AD88" i="5"/>
  <c r="AE88" i="5" s="1"/>
  <c r="E110" i="5"/>
  <c r="E107" i="5"/>
  <c r="M107" i="5"/>
  <c r="O107" i="5"/>
  <c r="Q107" i="5" s="1"/>
  <c r="AB107" i="5" s="1"/>
  <c r="AC107" i="5" s="1"/>
  <c r="R9" i="3"/>
  <c r="Q149" i="3"/>
  <c r="P240" i="3"/>
  <c r="F119" i="5" s="1"/>
  <c r="P241" i="3"/>
  <c r="F120" i="5" s="1"/>
  <c r="P239" i="3"/>
  <c r="F118" i="5" s="1"/>
  <c r="P243" i="3"/>
  <c r="F122" i="5" s="1"/>
  <c r="P242" i="3"/>
  <c r="F121" i="5" s="1"/>
  <c r="R11" i="3"/>
  <c r="Q175" i="3"/>
  <c r="Q188" i="3"/>
  <c r="Q151" i="3"/>
  <c r="I103" i="5"/>
  <c r="J103" i="5"/>
  <c r="AD100" i="5"/>
  <c r="AE100" i="5" s="1"/>
  <c r="AA100" i="5"/>
  <c r="Q174" i="3"/>
  <c r="Q187" i="3"/>
  <c r="N98" i="5"/>
  <c r="P98" i="5" s="1"/>
  <c r="Z98" i="5" s="1"/>
  <c r="L105" i="5"/>
  <c r="AA83" i="5"/>
  <c r="AD83" i="5"/>
  <c r="AE83" i="5" s="1"/>
  <c r="O103" i="5"/>
  <c r="Q103" i="5" s="1"/>
  <c r="AB103" i="5" s="1"/>
  <c r="AC103" i="5" s="1"/>
  <c r="M103" i="5"/>
  <c r="E103" i="5"/>
  <c r="L109" i="5"/>
  <c r="E105" i="5"/>
  <c r="M105" i="5"/>
  <c r="O105" i="5"/>
  <c r="Q105" i="5" s="1"/>
  <c r="AB105" i="5" s="1"/>
  <c r="AC105" i="5" s="1"/>
  <c r="S237" i="3"/>
  <c r="S234" i="3"/>
  <c r="S235" i="3"/>
  <c r="S236" i="3"/>
  <c r="S238" i="3"/>
  <c r="R8" i="3"/>
  <c r="Q148" i="3"/>
  <c r="Q178" i="3"/>
  <c r="Q191" i="3"/>
  <c r="AB85" i="5"/>
  <c r="AC85" i="5" s="1"/>
  <c r="Q86" i="5"/>
  <c r="I104" i="5"/>
  <c r="J104" i="5"/>
  <c r="L107" i="5"/>
  <c r="I110" i="5"/>
  <c r="AA82" i="5"/>
  <c r="AD82" i="5"/>
  <c r="AE82" i="5" s="1"/>
  <c r="S13" i="3"/>
  <c r="R153" i="3"/>
  <c r="O106" i="5"/>
  <c r="Q106" i="5" s="1"/>
  <c r="AB106" i="5" s="1"/>
  <c r="AC106" i="5" s="1"/>
  <c r="E106" i="5"/>
  <c r="M106" i="5"/>
  <c r="N237" i="3"/>
  <c r="N238" i="3"/>
  <c r="N235" i="3"/>
  <c r="N236" i="3"/>
  <c r="N234" i="3"/>
  <c r="S8" i="3"/>
  <c r="R148" i="3"/>
  <c r="L110" i="5"/>
  <c r="J107" i="5"/>
  <c r="I107" i="5"/>
  <c r="S11" i="3"/>
  <c r="R188" i="3"/>
  <c r="R175" i="3"/>
  <c r="R151" i="3"/>
  <c r="AD97" i="5"/>
  <c r="AE97" i="5" s="1"/>
  <c r="AA97" i="5"/>
  <c r="I106" i="5"/>
  <c r="J106" i="5"/>
  <c r="L103" i="5"/>
  <c r="J109" i="5"/>
  <c r="I109" i="5"/>
  <c r="R13" i="3"/>
  <c r="Q153" i="3"/>
  <c r="P85" i="5"/>
  <c r="E104" i="5"/>
  <c r="M104" i="5"/>
  <c r="O104" i="5"/>
  <c r="Q104" i="5" s="1"/>
  <c r="AB104" i="5" s="1"/>
  <c r="AC104" i="5" s="1"/>
  <c r="S25" i="3"/>
  <c r="S156" i="3"/>
  <c r="N229" i="3"/>
  <c r="L108" i="5" s="1"/>
  <c r="N233" i="3"/>
  <c r="L112" i="5" s="1"/>
  <c r="N230" i="3"/>
  <c r="N232" i="3"/>
  <c r="I111" i="5" s="1"/>
  <c r="N231" i="3"/>
  <c r="J110" i="5" s="1"/>
  <c r="S231" i="3"/>
  <c r="M110" i="5" s="1"/>
  <c r="S232" i="3"/>
  <c r="K111" i="5" s="1"/>
  <c r="S230" i="3"/>
  <c r="K109" i="5" s="1"/>
  <c r="S233" i="3"/>
  <c r="K112" i="5" s="1"/>
  <c r="S229" i="3"/>
  <c r="M108" i="5" s="1"/>
  <c r="U230" i="3"/>
  <c r="U231" i="3"/>
  <c r="U229" i="3"/>
  <c r="U232" i="3"/>
  <c r="U233" i="3"/>
  <c r="O112" i="5" s="1"/>
  <c r="Q112" i="5" s="1"/>
  <c r="AB112" i="5" s="1"/>
  <c r="AC112" i="5" s="1"/>
  <c r="I105" i="5"/>
  <c r="J105" i="5"/>
  <c r="T20" i="3"/>
  <c r="T161" i="3" s="1"/>
  <c r="T19" i="3"/>
  <c r="T160" i="3" s="1"/>
  <c r="T18" i="3"/>
  <c r="T159" i="3" s="1"/>
  <c r="T16" i="3"/>
  <c r="T17" i="3"/>
  <c r="T158" i="3" s="1"/>
  <c r="M112" i="5" l="1"/>
  <c r="S9" i="3"/>
  <c r="R149" i="3"/>
  <c r="I112" i="5"/>
  <c r="N103" i="5"/>
  <c r="P103" i="5" s="1"/>
  <c r="Z103" i="5" s="1"/>
  <c r="S12" i="3"/>
  <c r="R176" i="3"/>
  <c r="R152" i="3"/>
  <c r="R189" i="3"/>
  <c r="E108" i="5"/>
  <c r="R239" i="3"/>
  <c r="R243" i="3"/>
  <c r="R241" i="3"/>
  <c r="R242" i="3"/>
  <c r="R240" i="3"/>
  <c r="S187" i="3"/>
  <c r="S174" i="3"/>
  <c r="O111" i="5"/>
  <c r="Q111" i="5" s="1"/>
  <c r="AB111" i="5" s="1"/>
  <c r="AC111" i="5" s="1"/>
  <c r="N107" i="5"/>
  <c r="P107" i="5" s="1"/>
  <c r="Z107" i="5" s="1"/>
  <c r="Z85" i="5"/>
  <c r="P86" i="5"/>
  <c r="J112" i="5"/>
  <c r="T25" i="3"/>
  <c r="T157" i="3"/>
  <c r="E112" i="5"/>
  <c r="N112" i="5" s="1"/>
  <c r="P112" i="5" s="1"/>
  <c r="Z112" i="5" s="1"/>
  <c r="M239" i="3"/>
  <c r="M240" i="3"/>
  <c r="M241" i="3"/>
  <c r="M242" i="3"/>
  <c r="M243" i="3"/>
  <c r="T9" i="3"/>
  <c r="T150" i="3" s="1"/>
  <c r="S149" i="3"/>
  <c r="T14" i="3"/>
  <c r="T155" i="3" s="1"/>
  <c r="S177" i="3"/>
  <c r="S154" i="3"/>
  <c r="S190" i="3"/>
  <c r="AB86" i="5"/>
  <c r="AC86" i="5" s="1"/>
  <c r="Q87" i="5"/>
  <c r="AB87" i="5" s="1"/>
  <c r="AC87" i="5" s="1"/>
  <c r="S7" i="3"/>
  <c r="AA98" i="5"/>
  <c r="AD98" i="5"/>
  <c r="AE98" i="5" s="1"/>
  <c r="M111" i="5"/>
  <c r="L111" i="5"/>
  <c r="T12" i="3"/>
  <c r="T153" i="3" s="1"/>
  <c r="S176" i="3"/>
  <c r="S189" i="3"/>
  <c r="S152" i="3"/>
  <c r="J111" i="5"/>
  <c r="N106" i="5"/>
  <c r="P106" i="5" s="1"/>
  <c r="Z106" i="5" s="1"/>
  <c r="K110" i="5"/>
  <c r="N110" i="5" s="1"/>
  <c r="P110" i="5" s="1"/>
  <c r="Z110" i="5" s="1"/>
  <c r="L234" i="3"/>
  <c r="L113" i="5" s="1"/>
  <c r="L238" i="3"/>
  <c r="L235" i="3"/>
  <c r="L237" i="3"/>
  <c r="L236" i="3"/>
  <c r="E111" i="5"/>
  <c r="N111" i="5" s="1"/>
  <c r="P111" i="5" s="1"/>
  <c r="Z111" i="5" s="1"/>
  <c r="R174" i="3"/>
  <c r="R187" i="3"/>
  <c r="R235" i="3"/>
  <c r="K114" i="5" s="1"/>
  <c r="R234" i="3"/>
  <c r="R236" i="3"/>
  <c r="R238" i="3"/>
  <c r="R237" i="3"/>
  <c r="S14" i="3"/>
  <c r="R154" i="3"/>
  <c r="R177" i="3"/>
  <c r="R190" i="3"/>
  <c r="M109" i="5"/>
  <c r="N104" i="5"/>
  <c r="P104" i="5" s="1"/>
  <c r="Z104" i="5" s="1"/>
  <c r="J108" i="5"/>
  <c r="P236" i="3"/>
  <c r="F115" i="5" s="1"/>
  <c r="P235" i="3"/>
  <c r="F114" i="5" s="1"/>
  <c r="P237" i="3"/>
  <c r="F116" i="5" s="1"/>
  <c r="P238" i="3"/>
  <c r="F117" i="5" s="1"/>
  <c r="P234" i="3"/>
  <c r="F113" i="5" s="1"/>
  <c r="O108" i="5"/>
  <c r="Q108" i="5" s="1"/>
  <c r="AB108" i="5" s="1"/>
  <c r="AC108" i="5" s="1"/>
  <c r="Q234" i="3"/>
  <c r="Q235" i="3"/>
  <c r="Q236" i="3"/>
  <c r="Q237" i="3"/>
  <c r="Q238" i="3"/>
  <c r="Q179" i="3"/>
  <c r="O110" i="5"/>
  <c r="Q110" i="5" s="1"/>
  <c r="AB110" i="5" s="1"/>
  <c r="AC110" i="5" s="1"/>
  <c r="S10" i="3"/>
  <c r="R150" i="3"/>
  <c r="O109" i="5"/>
  <c r="Q109" i="5" s="1"/>
  <c r="AB109" i="5" s="1"/>
  <c r="AC109" i="5" s="1"/>
  <c r="E109" i="5"/>
  <c r="N109" i="5" s="1"/>
  <c r="P109" i="5" s="1"/>
  <c r="Z109" i="5" s="1"/>
  <c r="I108" i="5"/>
  <c r="K108" i="5"/>
  <c r="U235" i="3"/>
  <c r="U234" i="3"/>
  <c r="U237" i="3"/>
  <c r="U238" i="3"/>
  <c r="U236" i="3"/>
  <c r="N105" i="5"/>
  <c r="P105" i="5" s="1"/>
  <c r="Z105" i="5" s="1"/>
  <c r="M234" i="3"/>
  <c r="M236" i="3"/>
  <c r="M237" i="3"/>
  <c r="M238" i="3"/>
  <c r="M235" i="3"/>
  <c r="AA110" i="5" l="1"/>
  <c r="AD110" i="5"/>
  <c r="AE110" i="5" s="1"/>
  <c r="S244" i="3"/>
  <c r="S248" i="3"/>
  <c r="S245" i="3"/>
  <c r="S246" i="3"/>
  <c r="S247" i="3"/>
  <c r="T13" i="3"/>
  <c r="S153" i="3"/>
  <c r="I113" i="5"/>
  <c r="J113" i="5"/>
  <c r="E116" i="5"/>
  <c r="M116" i="5"/>
  <c r="O116" i="5"/>
  <c r="Q116" i="5" s="1"/>
  <c r="AB116" i="5" s="1"/>
  <c r="AC116" i="5" s="1"/>
  <c r="R179" i="3"/>
  <c r="Q239" i="3"/>
  <c r="Q240" i="3"/>
  <c r="Q242" i="3"/>
  <c r="Q243" i="3"/>
  <c r="Q241" i="3"/>
  <c r="AD107" i="5"/>
  <c r="AE107" i="5" s="1"/>
  <c r="AA107" i="5"/>
  <c r="AD103" i="5"/>
  <c r="AE103" i="5" s="1"/>
  <c r="AA103" i="5"/>
  <c r="I121" i="5"/>
  <c r="S242" i="3"/>
  <c r="S243" i="3"/>
  <c r="K122" i="5" s="1"/>
  <c r="S240" i="3"/>
  <c r="S241" i="3"/>
  <c r="S239" i="3"/>
  <c r="K118" i="5" s="1"/>
  <c r="T7" i="3"/>
  <c r="S155" i="3"/>
  <c r="AD111" i="5"/>
  <c r="AE111" i="5" s="1"/>
  <c r="AA111" i="5"/>
  <c r="T246" i="3"/>
  <c r="T247" i="3"/>
  <c r="T244" i="3"/>
  <c r="T245" i="3"/>
  <c r="T248" i="3"/>
  <c r="J118" i="5"/>
  <c r="O117" i="5"/>
  <c r="Q117" i="5" s="1"/>
  <c r="AB117" i="5" s="1"/>
  <c r="AC117" i="5" s="1"/>
  <c r="M117" i="5"/>
  <c r="E117" i="5"/>
  <c r="L242" i="3"/>
  <c r="L240" i="3"/>
  <c r="L241" i="3"/>
  <c r="L243" i="3"/>
  <c r="L122" i="5" s="1"/>
  <c r="L239" i="3"/>
  <c r="AA109" i="5"/>
  <c r="AD109" i="5"/>
  <c r="AE109" i="5" s="1"/>
  <c r="M114" i="5"/>
  <c r="E114" i="5"/>
  <c r="O114" i="5"/>
  <c r="Q114" i="5" s="1"/>
  <c r="AB114" i="5" s="1"/>
  <c r="AC114" i="5" s="1"/>
  <c r="K116" i="5"/>
  <c r="L115" i="5"/>
  <c r="AA106" i="5"/>
  <c r="AD106" i="5"/>
  <c r="AE106" i="5" s="1"/>
  <c r="AA112" i="5"/>
  <c r="AD112" i="5"/>
  <c r="AE112" i="5" s="1"/>
  <c r="Q245" i="3"/>
  <c r="Q246" i="3"/>
  <c r="Q247" i="3"/>
  <c r="Q248" i="3"/>
  <c r="Q244" i="3"/>
  <c r="I116" i="5"/>
  <c r="J116" i="5"/>
  <c r="O242" i="3"/>
  <c r="O239" i="3"/>
  <c r="O240" i="3"/>
  <c r="O241" i="3"/>
  <c r="O243" i="3"/>
  <c r="Z86" i="5"/>
  <c r="P87" i="5"/>
  <c r="Z87" i="5" s="1"/>
  <c r="I115" i="5"/>
  <c r="J115" i="5"/>
  <c r="O247" i="3"/>
  <c r="O248" i="3"/>
  <c r="O244" i="3"/>
  <c r="O245" i="3"/>
  <c r="O246" i="3"/>
  <c r="M113" i="5"/>
  <c r="O113" i="5"/>
  <c r="Q113" i="5" s="1"/>
  <c r="AB113" i="5" s="1"/>
  <c r="AC113" i="5" s="1"/>
  <c r="E113" i="5"/>
  <c r="K117" i="5"/>
  <c r="L116" i="5"/>
  <c r="L246" i="3"/>
  <c r="L245" i="3"/>
  <c r="L244" i="3"/>
  <c r="L248" i="3"/>
  <c r="L247" i="3"/>
  <c r="N108" i="5"/>
  <c r="P108" i="5" s="1"/>
  <c r="Z108" i="5" s="1"/>
  <c r="T10" i="3"/>
  <c r="S150" i="3"/>
  <c r="AA85" i="5"/>
  <c r="AD85" i="5"/>
  <c r="AE85" i="5" s="1"/>
  <c r="AD105" i="5"/>
  <c r="AE105" i="5" s="1"/>
  <c r="AA105" i="5"/>
  <c r="E115" i="5"/>
  <c r="M115" i="5"/>
  <c r="O115" i="5"/>
  <c r="Q115" i="5" s="1"/>
  <c r="AB115" i="5" s="1"/>
  <c r="AC115" i="5" s="1"/>
  <c r="I114" i="5"/>
  <c r="J114" i="5"/>
  <c r="T11" i="3"/>
  <c r="S188" i="3"/>
  <c r="S175" i="3"/>
  <c r="S151" i="3"/>
  <c r="AA104" i="5"/>
  <c r="AD104" i="5"/>
  <c r="AE104" i="5" s="1"/>
  <c r="K115" i="5"/>
  <c r="L114" i="5"/>
  <c r="T8" i="3"/>
  <c r="T149" i="3" s="1"/>
  <c r="S148" i="3"/>
  <c r="S191" i="3"/>
  <c r="S178" i="3"/>
  <c r="K119" i="5"/>
  <c r="N241" i="3"/>
  <c r="I120" i="5" s="1"/>
  <c r="N239" i="3"/>
  <c r="I118" i="5" s="1"/>
  <c r="N240" i="3"/>
  <c r="I119" i="5" s="1"/>
  <c r="N243" i="3"/>
  <c r="N242" i="3"/>
  <c r="J121" i="5" s="1"/>
  <c r="T242" i="3"/>
  <c r="T241" i="3"/>
  <c r="K120" i="5" s="1"/>
  <c r="T243" i="3"/>
  <c r="T239" i="3"/>
  <c r="T240" i="3"/>
  <c r="I117" i="5"/>
  <c r="J117" i="5"/>
  <c r="K113" i="5"/>
  <c r="L117" i="5"/>
  <c r="N245" i="3"/>
  <c r="N248" i="3"/>
  <c r="N246" i="3"/>
  <c r="N247" i="3"/>
  <c r="N244" i="3"/>
  <c r="I122" i="5"/>
  <c r="J122" i="5"/>
  <c r="K121" i="5"/>
  <c r="J120" i="5" l="1"/>
  <c r="L118" i="5"/>
  <c r="J119" i="5"/>
  <c r="L120" i="5"/>
  <c r="O120" i="5"/>
  <c r="Q120" i="5" s="1"/>
  <c r="AB120" i="5" s="1"/>
  <c r="AC120" i="5" s="1"/>
  <c r="E120" i="5"/>
  <c r="N120" i="5" s="1"/>
  <c r="P120" i="5" s="1"/>
  <c r="Z120" i="5" s="1"/>
  <c r="M120" i="5"/>
  <c r="N116" i="5"/>
  <c r="P116" i="5" s="1"/>
  <c r="Z116" i="5" s="1"/>
  <c r="U245" i="3"/>
  <c r="U246" i="3"/>
  <c r="U244" i="3"/>
  <c r="U248" i="3"/>
  <c r="U247" i="3"/>
  <c r="N115" i="5"/>
  <c r="P115" i="5" s="1"/>
  <c r="Z115" i="5" s="1"/>
  <c r="T151" i="3"/>
  <c r="T188" i="3"/>
  <c r="T175" i="3"/>
  <c r="L119" i="5"/>
  <c r="T148" i="3"/>
  <c r="T191" i="3"/>
  <c r="T178" i="3"/>
  <c r="E122" i="5"/>
  <c r="N122" i="5" s="1"/>
  <c r="P122" i="5" s="1"/>
  <c r="Z122" i="5" s="1"/>
  <c r="M122" i="5"/>
  <c r="O122" i="5"/>
  <c r="Q122" i="5" s="1"/>
  <c r="AB122" i="5" s="1"/>
  <c r="AC122" i="5" s="1"/>
  <c r="AA86" i="5"/>
  <c r="AD86" i="5"/>
  <c r="AE86" i="5" s="1"/>
  <c r="P244" i="3"/>
  <c r="F123" i="5" s="1"/>
  <c r="P248" i="3"/>
  <c r="P246" i="3"/>
  <c r="P247" i="3"/>
  <c r="P245" i="3"/>
  <c r="F124" i="5" s="1"/>
  <c r="R247" i="3"/>
  <c r="R244" i="3"/>
  <c r="K123" i="5" s="1"/>
  <c r="R245" i="3"/>
  <c r="K124" i="5" s="1"/>
  <c r="R246" i="3"/>
  <c r="R248" i="3"/>
  <c r="AA108" i="5"/>
  <c r="AD108" i="5"/>
  <c r="AE108" i="5" s="1"/>
  <c r="N113" i="5"/>
  <c r="P113" i="5" s="1"/>
  <c r="Z113" i="5" s="1"/>
  <c r="S179" i="3"/>
  <c r="N114" i="5"/>
  <c r="P114" i="5" s="1"/>
  <c r="Z114" i="5" s="1"/>
  <c r="L121" i="5"/>
  <c r="E121" i="5"/>
  <c r="M121" i="5"/>
  <c r="O121" i="5"/>
  <c r="Q121" i="5" s="1"/>
  <c r="AB121" i="5" s="1"/>
  <c r="AC121" i="5" s="1"/>
  <c r="M123" i="5"/>
  <c r="O123" i="5"/>
  <c r="Q123" i="5" s="1"/>
  <c r="AB123" i="5" s="1"/>
  <c r="AC123" i="5" s="1"/>
  <c r="T187" i="3"/>
  <c r="T174" i="3"/>
  <c r="M244" i="3"/>
  <c r="M247" i="3"/>
  <c r="M248" i="3"/>
  <c r="M245" i="3"/>
  <c r="M246" i="3"/>
  <c r="N117" i="5"/>
  <c r="P117" i="5" s="1"/>
  <c r="Z117" i="5" s="1"/>
  <c r="E119" i="5"/>
  <c r="M119" i="5"/>
  <c r="O119" i="5"/>
  <c r="Q119" i="5" s="1"/>
  <c r="AB119" i="5" s="1"/>
  <c r="AC119" i="5" s="1"/>
  <c r="T176" i="3"/>
  <c r="T189" i="3"/>
  <c r="T152" i="3"/>
  <c r="AD87" i="5"/>
  <c r="AE87" i="5" s="1"/>
  <c r="AA87" i="5"/>
  <c r="E118" i="5"/>
  <c r="N118" i="5" s="1"/>
  <c r="P118" i="5" s="1"/>
  <c r="Z118" i="5" s="1"/>
  <c r="M118" i="5"/>
  <c r="O118" i="5"/>
  <c r="Q118" i="5" s="1"/>
  <c r="AB118" i="5" s="1"/>
  <c r="AC118" i="5" s="1"/>
  <c r="T177" i="3"/>
  <c r="T190" i="3"/>
  <c r="T154" i="3"/>
  <c r="T179" i="3" l="1"/>
  <c r="Q250" i="3"/>
  <c r="Q249" i="3"/>
  <c r="Q252" i="3"/>
  <c r="Q253" i="3"/>
  <c r="Q251" i="3"/>
  <c r="AA120" i="5"/>
  <c r="AD120" i="5"/>
  <c r="AE120" i="5" s="1"/>
  <c r="N119" i="5"/>
  <c r="P119" i="5" s="1"/>
  <c r="Z119" i="5" s="1"/>
  <c r="L250" i="3"/>
  <c r="L251" i="3"/>
  <c r="L252" i="3"/>
  <c r="L253" i="3"/>
  <c r="L249" i="3"/>
  <c r="AD114" i="5"/>
  <c r="AE114" i="5" s="1"/>
  <c r="AA114" i="5"/>
  <c r="M124" i="5"/>
  <c r="AD113" i="5"/>
  <c r="AE113" i="5" s="1"/>
  <c r="AA113" i="5"/>
  <c r="O249" i="3"/>
  <c r="O252" i="3"/>
  <c r="O250" i="3"/>
  <c r="O251" i="3"/>
  <c r="O253" i="3"/>
  <c r="I124" i="5"/>
  <c r="J124" i="5"/>
  <c r="E123" i="5"/>
  <c r="E124" i="5"/>
  <c r="AA118" i="5"/>
  <c r="AD118" i="5"/>
  <c r="AE118" i="5" s="1"/>
  <c r="AA115" i="5"/>
  <c r="AD115" i="5"/>
  <c r="AE115" i="5" s="1"/>
  <c r="T250" i="3"/>
  <c r="T252" i="3"/>
  <c r="T253" i="3"/>
  <c r="T249" i="3"/>
  <c r="T251" i="3"/>
  <c r="AD122" i="5"/>
  <c r="AE122" i="5" s="1"/>
  <c r="AA122" i="5"/>
  <c r="R251" i="3"/>
  <c r="R253" i="3"/>
  <c r="R249" i="3"/>
  <c r="R252" i="3"/>
  <c r="R250" i="3"/>
  <c r="L124" i="5"/>
  <c r="N249" i="3"/>
  <c r="N250" i="3"/>
  <c r="N251" i="3"/>
  <c r="N252" i="3"/>
  <c r="N253" i="3"/>
  <c r="S253" i="3"/>
  <c r="S250" i="3"/>
  <c r="S251" i="3"/>
  <c r="S252" i="3"/>
  <c r="S249" i="3"/>
  <c r="U252" i="3"/>
  <c r="U251" i="3"/>
  <c r="U249" i="3"/>
  <c r="U250" i="3"/>
  <c r="U253" i="3"/>
  <c r="M249" i="3"/>
  <c r="M250" i="3"/>
  <c r="M251" i="3"/>
  <c r="M252" i="3"/>
  <c r="M253" i="3"/>
  <c r="AA116" i="5"/>
  <c r="AD116" i="5"/>
  <c r="AE116" i="5" s="1"/>
  <c r="AD117" i="5"/>
  <c r="AE117" i="5" s="1"/>
  <c r="AA117" i="5"/>
  <c r="O124" i="5"/>
  <c r="Q124" i="5" s="1"/>
  <c r="AB124" i="5" s="1"/>
  <c r="I123" i="5"/>
  <c r="J123" i="5"/>
  <c r="N121" i="5"/>
  <c r="P121" i="5" s="1"/>
  <c r="Z121" i="5" s="1"/>
  <c r="P249" i="3"/>
  <c r="P251" i="3"/>
  <c r="P250" i="3"/>
  <c r="P253" i="3"/>
  <c r="P252" i="3"/>
  <c r="L123" i="5"/>
  <c r="AC124" i="5" l="1"/>
  <c r="AC128" i="5"/>
  <c r="AC137" i="5" s="1"/>
  <c r="C139" i="6" s="1"/>
  <c r="N124" i="5"/>
  <c r="P124" i="5" s="1"/>
  <c r="Z124" i="5" s="1"/>
  <c r="N123" i="5"/>
  <c r="P123" i="5" s="1"/>
  <c r="Z123" i="5" s="1"/>
  <c r="AA121" i="5"/>
  <c r="AD121" i="5"/>
  <c r="AE121" i="5" s="1"/>
  <c r="AD119" i="5"/>
  <c r="AE119" i="5" s="1"/>
  <c r="AA119" i="5"/>
  <c r="AA123" i="5" l="1"/>
  <c r="AD123" i="5"/>
  <c r="AE123" i="5" s="1"/>
  <c r="AA124" i="5"/>
  <c r="AD124" i="5"/>
  <c r="AA128" i="5"/>
  <c r="AA137" i="5" s="1"/>
  <c r="C141" i="6" s="1"/>
  <c r="D145" i="6" s="1"/>
  <c r="AE124" i="5" l="1"/>
  <c r="AE128" i="5"/>
  <c r="AE137" i="5" s="1"/>
  <c r="C147" i="6" s="1"/>
  <c r="C150" i="6" s="1"/>
</calcChain>
</file>

<file path=xl/sharedStrings.xml><?xml version="1.0" encoding="utf-8"?>
<sst xmlns="http://schemas.openxmlformats.org/spreadsheetml/2006/main" count="682" uniqueCount="265">
  <si>
    <t>SITE CLASS =</t>
  </si>
  <si>
    <t>SITE INDEX =</t>
  </si>
  <si>
    <t>a =</t>
  </si>
  <si>
    <t>b =</t>
  </si>
  <si>
    <t>CURRENT STAND STATUS AT SPECIFIED AGE (WITH THINNING)</t>
  </si>
  <si>
    <t>THINNED VOLUME</t>
  </si>
  <si>
    <t>AGE</t>
  </si>
  <si>
    <t>NO. TREES</t>
  </si>
  <si>
    <t>DBH</t>
  </si>
  <si>
    <t>HT.</t>
  </si>
  <si>
    <t>BASAL AREA</t>
  </si>
  <si>
    <t>TOT. VOL.</t>
  </si>
  <si>
    <t>VOL./TREE</t>
  </si>
  <si>
    <t>VOL. CUT</t>
  </si>
  <si>
    <t>VOL. CUT/2</t>
  </si>
  <si>
    <t>AGE AT FIRST THINNING =</t>
  </si>
  <si>
    <t>AGE AT SECOND THINNING =</t>
  </si>
  <si>
    <t>AGE AT THIRD THINNING =</t>
  </si>
  <si>
    <t>ANALYTICAL TIME (YEARS)</t>
  </si>
  <si>
    <t>BASE</t>
  </si>
  <si>
    <t>ACTIVITIES</t>
  </si>
  <si>
    <t>BEGIN</t>
  </si>
  <si>
    <t>END</t>
  </si>
  <si>
    <t>PRICE</t>
  </si>
  <si>
    <t>UNITS</t>
  </si>
  <si>
    <t>LPS/HA</t>
  </si>
  <si>
    <t>INTENSIVE PROTECTION</t>
  </si>
  <si>
    <t>EXTENSIVE PROTECTION</t>
  </si>
  <si>
    <t>FIRST THINNING</t>
  </si>
  <si>
    <t>SECOND THINNING</t>
  </si>
  <si>
    <t>THIRD THINNING</t>
  </si>
  <si>
    <t>COHDEFOR</t>
  </si>
  <si>
    <t>LPS/LP</t>
  </si>
  <si>
    <t>REVENUE</t>
  </si>
  <si>
    <t>FINAL HARVEST</t>
  </si>
  <si>
    <t>ADJUSTED</t>
  </si>
  <si>
    <r>
      <t>LPS/M</t>
    </r>
    <r>
      <rPr>
        <b/>
        <vertAlign val="superscript"/>
        <sz val="10"/>
        <rFont val="Arial"/>
        <family val="2"/>
      </rPr>
      <t>3</t>
    </r>
  </si>
  <si>
    <r>
      <t>LPS/M</t>
    </r>
    <r>
      <rPr>
        <b/>
        <vertAlign val="superscript"/>
        <sz val="10"/>
        <rFont val="Arial"/>
        <family val="2"/>
      </rPr>
      <t>3</t>
    </r>
    <r>
      <rPr>
        <sz val="10"/>
        <rFont val="Arial"/>
      </rPr>
      <t/>
    </r>
  </si>
  <si>
    <t>ANALYTICAL</t>
  </si>
  <si>
    <t>TIME</t>
  </si>
  <si>
    <t>RD CONST</t>
  </si>
  <si>
    <t>RD MAINT</t>
  </si>
  <si>
    <t>ADMIN</t>
  </si>
  <si>
    <t>DISCOUNT RATE =</t>
  </si>
  <si>
    <t xml:space="preserve">DO NOT CHANGE NUMBERS APPEARING IN BOLD TYPE.  ANY NUMBER IN REGULAR TYPE MAY BE CHANGED. </t>
  </si>
  <si>
    <t>ALL UNIT REVENUE PRICES ARE MULTIPLIED BY THIS FACTOR.</t>
  </si>
  <si>
    <t>PERMISSIBLE VALUES FOR SITE CLASS ARE 1, 2, 3, 4 AND 5.</t>
  </si>
  <si>
    <t>EXISTING STAND</t>
  </si>
  <si>
    <t>Pr</t>
  </si>
  <si>
    <t>P0</t>
  </si>
  <si>
    <t>P1</t>
  </si>
  <si>
    <t>P2</t>
  </si>
  <si>
    <t>PL</t>
  </si>
  <si>
    <t>EFFECTIVE AREA</t>
  </si>
  <si>
    <t>PE</t>
  </si>
  <si>
    <t>TOTAL</t>
  </si>
  <si>
    <t>CURRENT AGE</t>
  </si>
  <si>
    <t>VOL./HA.</t>
  </si>
  <si>
    <t>ADJUSTED VOL/HA</t>
  </si>
  <si>
    <t>VOLUME ADJUSTMENT FACTOR =</t>
  </si>
  <si>
    <t>CONVERSION PERIOD (ROTATION) =</t>
  </si>
  <si>
    <t>SEEDTREE REMOVAL</t>
  </si>
  <si>
    <t>AGE CLASS</t>
  </si>
  <si>
    <t>0-5</t>
  </si>
  <si>
    <t>6-10</t>
  </si>
  <si>
    <t>11-15</t>
  </si>
  <si>
    <t>16-20</t>
  </si>
  <si>
    <t>21-25</t>
  </si>
  <si>
    <t>26-30</t>
  </si>
  <si>
    <t>31-35</t>
  </si>
  <si>
    <t>36-40</t>
  </si>
  <si>
    <t>41-45</t>
  </si>
  <si>
    <t>46-50</t>
  </si>
  <si>
    <t>51-55</t>
  </si>
  <si>
    <t>56-60</t>
  </si>
  <si>
    <t>CURRENT</t>
  </si>
  <si>
    <t>INTERVAL</t>
  </si>
  <si>
    <t>AREA</t>
  </si>
  <si>
    <t>AREA CUT/PERIOD =</t>
  </si>
  <si>
    <t>HARVEST PERIOD</t>
  </si>
  <si>
    <t>13</t>
  </si>
  <si>
    <t>14</t>
  </si>
  <si>
    <t>61-65</t>
  </si>
  <si>
    <t>66-70</t>
  </si>
  <si>
    <t>15</t>
  </si>
  <si>
    <t>16</t>
  </si>
  <si>
    <t>17</t>
  </si>
  <si>
    <t>18</t>
  </si>
  <si>
    <t>71-75</t>
  </si>
  <si>
    <t>76-80</t>
  </si>
  <si>
    <t>81-85</t>
  </si>
  <si>
    <t>86-90</t>
  </si>
  <si>
    <t>REMAINING</t>
  </si>
  <si>
    <t>STAND CONDITION =</t>
  </si>
  <si>
    <t>AGGREGATED STANDS</t>
  </si>
  <si>
    <t>AGE AT SEEDTREE REMOVAL =</t>
  </si>
  <si>
    <t>0 &lt;= PE AGE &lt;= 25</t>
  </si>
  <si>
    <t>0 &lt;= Pr AGE &lt;= 20</t>
  </si>
  <si>
    <t>6 &lt;= P0 AGE &lt;= 25</t>
  </si>
  <si>
    <t>16 &lt;= P1 AGE &lt;= 85</t>
  </si>
  <si>
    <t>36 &lt;= P2 AGE &lt;= 85</t>
  </si>
  <si>
    <t>26 &lt;= PL AGE &lt;= 85</t>
  </si>
  <si>
    <t>RESTRICTIONS**</t>
  </si>
  <si>
    <t>** THESE "RESTRICTCIONS ARE BASED ON THE TABLE LAYOUT AND ARE NOT DEFINITIONAL.</t>
  </si>
  <si>
    <t>STAND CONDITION*</t>
  </si>
  <si>
    <t>* A MAXIMUM OF TWO DIFFERENT AGE CLASSES ARE ALLOWED FOR EACH STAND CONDITION.</t>
  </si>
  <si>
    <t>STAND CONDITION</t>
  </si>
  <si>
    <t>NET VOL./HA.</t>
  </si>
  <si>
    <t>NET VOL.-SEEDTREES</t>
  </si>
  <si>
    <t>FIRST (15 YRS)</t>
  </si>
  <si>
    <t>SECOND (20 YRS)</t>
  </si>
  <si>
    <t>THIRD (30 YRS)</t>
  </si>
  <si>
    <t>THINNING VOLUMES (EXISTING STANDS)</t>
  </si>
  <si>
    <t>FINAL HARVEST VOLUMES (EXISTING STANDS)</t>
  </si>
  <si>
    <t>FINAL HARVEST VOLUMES (MANAGED STANDS)</t>
  </si>
  <si>
    <t>OTHER</t>
  </si>
  <si>
    <t>THINNING VOLUMES (MANAGED STANDS)</t>
  </si>
  <si>
    <t>CURRENT STAND STATUS AT SPECIFIED AGE (WITHOUT THINNING)</t>
  </si>
  <si>
    <t>INPUT COST MODIFICATION FACTOR =</t>
  </si>
  <si>
    <t>REVENUE MODIFICATION FACTOR =</t>
  </si>
  <si>
    <t>SEEDTREE</t>
  </si>
  <si>
    <t>FINAL CUT</t>
  </si>
  <si>
    <t>THINNING 1</t>
  </si>
  <si>
    <t>THINNING 2</t>
  </si>
  <si>
    <t>THINNING 3</t>
  </si>
  <si>
    <t>PERMISSIBLE VALUES FOR SEEDTREE REMOVAL AGE ARE 5, 10 AND 15</t>
  </si>
  <si>
    <t>SEEDTREE VOL./HA. =</t>
  </si>
  <si>
    <t>TOTAL CUT</t>
  </si>
  <si>
    <t>HARVEST VOLUMES BY PERIOD</t>
  </si>
  <si>
    <t>REPRESENTS A VOLUME DEDUCTION FOR INSECTS, DISEASE AND FIRE.</t>
  </si>
  <si>
    <t>NO THINNING CLOSER THAN FIVE YEARS TO FINAL HARVEST WILL BE EXECUTED.</t>
  </si>
  <si>
    <t>5-YR PLAN</t>
  </si>
  <si>
    <t>MULTIPLE USE ACTIVITY</t>
  </si>
  <si>
    <t>ADMINISTRATIVE OVERHEAD</t>
  </si>
  <si>
    <t>REGENERATION</t>
  </si>
  <si>
    <t>ANNUAL PLAN, SEEDTREE</t>
  </si>
  <si>
    <t>ANNUAL PLAN, THINNING 1</t>
  </si>
  <si>
    <t>ANNUAL PLAN, THINNING 2</t>
  </si>
  <si>
    <t>ANNUAL PLAN, THINNING 3</t>
  </si>
  <si>
    <t>ANNUAL PLAN, FINAL CUT</t>
  </si>
  <si>
    <t>SALE PREPARATION, SEEDTREE</t>
  </si>
  <si>
    <t>SALE PREPARATION, THINNING 1</t>
  </si>
  <si>
    <t>SALE PREPARATION, THINNING 2</t>
  </si>
  <si>
    <t>SALE PREPARATION, THINNING 3</t>
  </si>
  <si>
    <t>SALE PREPARATION, FINAL CUT</t>
  </si>
  <si>
    <t>ROAD CONSTRUCTION, SEEDTREE</t>
  </si>
  <si>
    <t>ROAD CONSTRUCTION, THINNING 1</t>
  </si>
  <si>
    <t>ROAD CONSTRUCTIONTHINNING 2</t>
  </si>
  <si>
    <t>ROAD CONSTRUCTION, THINNING 3</t>
  </si>
  <si>
    <t>ROAD CONSTRUCTION, FINAL CUT</t>
  </si>
  <si>
    <t>ROAD MAINTENANCE, SEEDTREE</t>
  </si>
  <si>
    <t>ROAD MAINTENANCE, THINNING 1</t>
  </si>
  <si>
    <t>ROAD MAINTENANCE, THINNING 2</t>
  </si>
  <si>
    <t>ROAD MAINTENANCE, THINNING 3</t>
  </si>
  <si>
    <t>ROAD MAINTENANCE, FINAL CUT</t>
  </si>
  <si>
    <t>MUNICIPAL TAX, SEEDTREE</t>
  </si>
  <si>
    <t>MUNICIPAL TAX, THINNING 1</t>
  </si>
  <si>
    <t>MUNICIPAL TAX, THINNING 2</t>
  </si>
  <si>
    <t>MUNICIPAL TAX, THINNING 3</t>
  </si>
  <si>
    <t>MUNICIPAL TAX, FINAL CUT</t>
  </si>
  <si>
    <t>SEEDTREE VOLUME PER HA</t>
  </si>
  <si>
    <t>VOLUME OR</t>
  </si>
  <si>
    <t>VALUE PER HA</t>
  </si>
  <si>
    <t>MULT. USE</t>
  </si>
  <si>
    <t>REGEN</t>
  </si>
  <si>
    <t>PROT INT</t>
  </si>
  <si>
    <t>PROT EXT</t>
  </si>
  <si>
    <t>ANN PLAN</t>
  </si>
  <si>
    <t>SALE PREP</t>
  </si>
  <si>
    <t>MUNI</t>
  </si>
  <si>
    <t>COSTS</t>
  </si>
  <si>
    <t>REVENUES</t>
  </si>
  <si>
    <t>BALANCE</t>
  </si>
  <si>
    <t>COST</t>
  </si>
  <si>
    <t>YEAR</t>
  </si>
  <si>
    <t>PAAR</t>
  </si>
  <si>
    <t>NON-RECURRING COSTS AND/OR REVENUE</t>
  </si>
  <si>
    <t>PLANNING</t>
  </si>
  <si>
    <t>INVENTORY</t>
  </si>
  <si>
    <t>CONSULTATION</t>
  </si>
  <si>
    <t>MANAGEMENT</t>
  </si>
  <si>
    <t>RESEARCH</t>
  </si>
  <si>
    <t>BROUGHT</t>
  </si>
  <si>
    <t>TO PRESENT</t>
  </si>
  <si>
    <t>YEARS TO BEGINNING OF CONVERSION PERIOD =</t>
  </si>
  <si>
    <t>REAL INTEREST RATE; NO INFLATION FACTOR.</t>
  </si>
  <si>
    <t>STANDARD RECURRENT EXPENSES</t>
  </si>
  <si>
    <t>STANDARD RECURRENT REVENUES</t>
  </si>
  <si>
    <t>RECURRENT STANDARDIZED COSTS AND REVENUES</t>
  </si>
  <si>
    <t>PERMISSIBLE CONVERSION PERIODS ARE 25, 30, 35, AND 40</t>
  </si>
  <si>
    <t>HARVEST AREAS BY PERIOD</t>
  </si>
  <si>
    <t>PERMISSIBLE VALUES ARE 0, NO THINNING, OR 15</t>
  </si>
  <si>
    <t>PERMISSIBLE VALUES ARE 0, NO THINNING, OR 20</t>
  </si>
  <si>
    <t>PERMISSIBLE VALUES ARE 0, NO THINNING, OR 30</t>
  </si>
  <si>
    <t>VOLUME</t>
  </si>
  <si>
    <t>THIN 1</t>
  </si>
  <si>
    <t>THIN 2</t>
  </si>
  <si>
    <t>THIN 3</t>
  </si>
  <si>
    <t>FINAL</t>
  </si>
  <si>
    <t>INST DEVEL</t>
  </si>
  <si>
    <t>INPUT SECTION</t>
  </si>
  <si>
    <t>OUTPUT SECTION</t>
  </si>
  <si>
    <t>SUBTOTAL</t>
  </si>
  <si>
    <t>JANUARY 1, 2000</t>
  </si>
  <si>
    <t>JANUARY 1, 2025</t>
  </si>
  <si>
    <t>CALENDAR</t>
  </si>
  <si>
    <t>DATE</t>
  </si>
  <si>
    <t>EXPENDITURES</t>
  </si>
  <si>
    <t>CASH FLOW DURING THE CONVERSION PERIOD OFFSET BY THE NUMBER OF YEARS TO ITS START</t>
  </si>
  <si>
    <t>ACTUAL AND PROJECTED COST AND REVENUE STREAMS FOR COHDEFOR AND PAAR</t>
  </si>
  <si>
    <t>NOTE THAT THE TOTAL CUT VOLUME AND THE AREAS THINNED CAN VARY AFTER REACHING THE CONVERSION PERIOD AGE. THIS IS DUE TO THE PL CONVERSION PERIOD BEING KEPT AT TWENTY YEARS REGARDLESS OF THE CONVERSION PERIOD SELECTED FOR THE PURE PINE STANDS.</t>
  </si>
  <si>
    <t>EQUALS ZERO FOR START ON JANUARY 1, 2000. PERMISSIBLE VALUES ARE 2 THROUGH 10.</t>
  </si>
  <si>
    <t>PV =</t>
  </si>
  <si>
    <t>SUM (PNW)</t>
  </si>
  <si>
    <t>TOTAL EXPENDITURES FOR ACTIVITIES WITHIN SUSTAINABLE MANAGEMENT</t>
  </si>
  <si>
    <t>SUSTAINABLE MGMT, PROPORTIONED EXPENDITURE BY ACTIVITY</t>
  </si>
  <si>
    <t>PROPORTIONED</t>
  </si>
  <si>
    <t>JANUARY 1, 2044</t>
  </si>
  <si>
    <t>45 TO INF</t>
  </si>
  <si>
    <t>INPUTS</t>
  </si>
  <si>
    <t>OUTPUT</t>
  </si>
  <si>
    <t>AVERAGE SITE CLASS =</t>
  </si>
  <si>
    <t>PLANNING =</t>
  </si>
  <si>
    <t>INVENTORY =</t>
  </si>
  <si>
    <t>CONSULTATION =</t>
  </si>
  <si>
    <t>MANAGEMENT =</t>
  </si>
  <si>
    <t>RESEARCH =</t>
  </si>
  <si>
    <t>INST DEVEL =</t>
  </si>
  <si>
    <t>PRESENT VALUE OF THE REVENUE STREAM =</t>
  </si>
  <si>
    <t>PRESENT VALUE OF ALL PROPORTIONED PAAR EXPENDITURES =</t>
  </si>
  <si>
    <t>PRESENT VALUE OF THE TOTAL COST STREAM =</t>
  </si>
  <si>
    <t>PRESENT VALUE OF ALL COHDEFOR EXPENDITURES =</t>
  </si>
  <si>
    <t>SUBTOTALS</t>
  </si>
  <si>
    <t>TOTAL VALUES</t>
  </si>
  <si>
    <t>PRESENT NET WORTH OF THE FMU'S TIMBER AND LAND =</t>
  </si>
  <si>
    <t>PROPORTION OF EXECUTED PAAR ACTIVITY</t>
  </si>
  <si>
    <t>COSTS DURING THE YEARS 1998, 1999, 2000</t>
  </si>
  <si>
    <t>PROPORTION OF BUDGETED PAAR ACTIVITY</t>
  </si>
  <si>
    <t>COSTS FOR THE YEARS 2001 AND 2002 TO</t>
  </si>
  <si>
    <t>EXECUTED AND BUDGETED FUNDING</t>
  </si>
  <si>
    <t xml:space="preserve"> FOR SUSTAINABLE MANAGEMENT</t>
  </si>
  <si>
    <t>PROPORTION OF TOTAL EXECUTED AND BUDGETED</t>
  </si>
  <si>
    <t>FOR INSTITUTIONAL DEVELOPMENT</t>
  </si>
  <si>
    <t>FUNDS FOR SUSTAINABLE MANAGEMENT TO BE</t>
  </si>
  <si>
    <t>ALLOCATED TO THIS FOR. MGMT. UNIT =</t>
  </si>
  <si>
    <t>FUNDS FOR INSTITUTIONAL DEVELOPMENT TO BE</t>
  </si>
  <si>
    <t>TENANCY</t>
  </si>
  <si>
    <t>TENANCY =</t>
  </si>
  <si>
    <t>THE USUAL ASSUMPTION IS THAT INSTITUTIONAL DEVELOPMENT FUNDS ARE USED EQUALLY BY  ALL SIX SUSTAINABLE</t>
  </si>
  <si>
    <t xml:space="preserve"> MANAGEMENT ACTIVITIES AND THAT SUB-ACTIVITIES WITHIN AN ACTIVITY EQUALLY SHARE THE FUNDS FOR THAT ACTIVITY.</t>
  </si>
  <si>
    <t>SEE THE COMMENT ABOVE REGARDING INSTITUTIONAL DEVELOPMENT FUND ALLOCATION</t>
  </si>
  <si>
    <t>FOR EXAMPLE, THERE ARE 5 SUB-ACTIVITIES IN CONSULTATION HENCE EACH SUB-ACTIVITY SPENDS (1/6)(1/5)=(1/30)</t>
  </si>
  <si>
    <t>EACH SUB-ACTIVITY WITHIN AN ACTIVITY CATEGORY USED FUNDS ACCORDING TO ITS OBSERVED PROPORTION</t>
  </si>
  <si>
    <t>THE USUAL ASSUMPTION WITH THESE FUTURE EXPENDITURES IS THAT FUNDS WILL BE USED EQUALLY</t>
  </si>
  <si>
    <t xml:space="preserve"> BY ALL SUB-ACTIVITIES WITHIN AN ACTIVITY CLASS</t>
  </si>
  <si>
    <t>REINITIALIZATION</t>
  </si>
  <si>
    <t>VALUES</t>
  </si>
  <si>
    <t xml:space="preserve">COLUMN OF </t>
  </si>
  <si>
    <t>PUSH THIS BUTTON TO REINITIALIZE THE VALUES</t>
  </si>
  <si>
    <t>VALUE PER HECTARE OF THE TIMBER AND LAND =</t>
  </si>
  <si>
    <t>SEE COLUMN K, LINES 1 THROUGH 57 FOR VALUES</t>
  </si>
  <si>
    <t>SEE THE TABULATED VALUES IN THE TABLE TO THE RIGHT</t>
  </si>
  <si>
    <t>ALL UNIT COSTS ARE MULTIPLIED BY THIS FACTOR</t>
  </si>
  <si>
    <t>TO INCLUDE IN TASK B-C ANALYSIS</t>
  </si>
  <si>
    <t>INCLUDE IN TASK B-C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</si>
</sst>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00"/>
    <numFmt numFmtId="166" formatCode="0.000"/>
    <numFmt numFmtId="167" formatCode="0.0000"/>
  </numFmts>
  <fonts count="7" x14ac:knownFonts="1">
    <font>
      <sz val="10"/>
      <name val="Arial"/>
    </font>
    <font>
      <sz val="10"/>
      <name val="Arial"/>
    </font>
    <font>
      <b/>
      <sz val="10"/>
      <name val="Arial"/>
      <family val="2"/>
    </font>
    <font>
      <sz val="10"/>
      <name val="Arial"/>
      <family val="2"/>
    </font>
    <font>
      <b/>
      <vertAlign val="superscript"/>
      <sz val="10"/>
      <name val="Arial"/>
      <family val="2"/>
    </font>
    <font>
      <b/>
      <sz val="12"/>
      <name val="Arial"/>
      <family val="2"/>
    </font>
    <font>
      <sz val="12"/>
      <name val="Arial"/>
      <family val="2"/>
    </font>
  </fonts>
  <fills count="2">
    <fill>
      <patternFill patternType="none"/>
    </fill>
    <fill>
      <patternFill patternType="gray125"/>
    </fill>
  </fills>
  <borders count="3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ck">
        <color indexed="8"/>
      </right>
      <top/>
      <bottom/>
      <diagonal/>
    </border>
    <border>
      <left/>
      <right/>
      <top/>
      <bottom style="thick">
        <color indexed="64"/>
      </bottom>
      <diagonal/>
    </border>
    <border>
      <left style="thick">
        <color indexed="64"/>
      </left>
      <right style="medium">
        <color indexed="64"/>
      </right>
      <top/>
      <bottom/>
      <diagonal/>
    </border>
    <border>
      <left style="thick">
        <color indexed="64"/>
      </left>
      <right style="medium">
        <color indexed="64"/>
      </right>
      <top/>
      <bottom style="thick">
        <color indexed="64"/>
      </bottom>
      <diagonal/>
    </border>
    <border>
      <left/>
      <right/>
      <top style="medium">
        <color indexed="64"/>
      </top>
      <bottom/>
      <diagonal/>
    </border>
    <border>
      <left/>
      <right style="medium">
        <color indexed="64"/>
      </right>
      <top/>
      <bottom style="thick">
        <color indexed="64"/>
      </bottom>
      <diagonal/>
    </border>
    <border>
      <left/>
      <right style="thick">
        <color indexed="8"/>
      </right>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ck">
        <color indexed="8"/>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75">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right"/>
    </xf>
    <xf numFmtId="1" fontId="2" fillId="0" borderId="0" xfId="0" applyNumberFormat="1" applyFont="1" applyAlignment="1">
      <alignment horizontal="center"/>
    </xf>
    <xf numFmtId="164" fontId="3" fillId="0" borderId="0" xfId="0" applyNumberFormat="1" applyFont="1" applyAlignment="1">
      <alignment horizontal="center"/>
    </xf>
    <xf numFmtId="0" fontId="2" fillId="0" borderId="0" xfId="0" applyFont="1" applyAlignment="1">
      <alignment horizontal="left"/>
    </xf>
    <xf numFmtId="164" fontId="2" fillId="0" borderId="0" xfId="0" applyNumberFormat="1" applyFont="1" applyAlignment="1">
      <alignment horizontal="center"/>
    </xf>
    <xf numFmtId="165" fontId="2" fillId="0" borderId="0" xfId="0" applyNumberFormat="1" applyFont="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 fontId="0" fillId="0" borderId="0" xfId="0" applyNumberFormat="1" applyBorder="1" applyAlignment="1">
      <alignment horizontal="center"/>
    </xf>
    <xf numFmtId="164" fontId="0" fillId="0" borderId="0" xfId="0" applyNumberFormat="1" applyBorder="1" applyAlignment="1">
      <alignment horizontal="center"/>
    </xf>
    <xf numFmtId="2" fontId="0" fillId="0" borderId="0" xfId="0" applyNumberFormat="1" applyBorder="1" applyAlignment="1">
      <alignment horizontal="center"/>
    </xf>
    <xf numFmtId="0" fontId="0" fillId="0" borderId="0" xfId="0" applyBorder="1" applyAlignment="1">
      <alignment horizontal="center"/>
    </xf>
    <xf numFmtId="166" fontId="0" fillId="0" borderId="0" xfId="0" applyNumberFormat="1" applyBorder="1" applyAlignment="1">
      <alignment horizontal="center"/>
    </xf>
    <xf numFmtId="167" fontId="0" fillId="0" borderId="0" xfId="0" applyNumberFormat="1" applyBorder="1" applyAlignment="1">
      <alignment horizontal="center"/>
    </xf>
    <xf numFmtId="2" fontId="0" fillId="0" borderId="2" xfId="0" applyNumberFormat="1" applyBorder="1" applyAlignment="1">
      <alignment horizontal="center"/>
    </xf>
    <xf numFmtId="0" fontId="2" fillId="0" borderId="3" xfId="0" applyFont="1" applyBorder="1" applyAlignment="1">
      <alignment horizontal="center"/>
    </xf>
    <xf numFmtId="1" fontId="0" fillId="0" borderId="4" xfId="0" applyNumberFormat="1" applyBorder="1" applyAlignment="1">
      <alignment horizontal="center"/>
    </xf>
    <xf numFmtId="164" fontId="0" fillId="0" borderId="4" xfId="0" applyNumberFormat="1" applyBorder="1" applyAlignment="1">
      <alignment horizontal="center"/>
    </xf>
    <xf numFmtId="2" fontId="0" fillId="0" borderId="4" xfId="0" applyNumberFormat="1" applyBorder="1" applyAlignment="1">
      <alignment horizontal="center"/>
    </xf>
    <xf numFmtId="166" fontId="0" fillId="0" borderId="4" xfId="0" applyNumberFormat="1" applyBorder="1" applyAlignment="1">
      <alignment horizontal="center"/>
    </xf>
    <xf numFmtId="167" fontId="0" fillId="0" borderId="4" xfId="0" applyNumberFormat="1" applyBorder="1" applyAlignment="1">
      <alignment horizontal="center"/>
    </xf>
    <xf numFmtId="2" fontId="0" fillId="0" borderId="5" xfId="0" applyNumberFormat="1" applyBorder="1" applyAlignment="1">
      <alignment horizontal="center"/>
    </xf>
    <xf numFmtId="0" fontId="2" fillId="0" borderId="0" xfId="0" applyFont="1"/>
    <xf numFmtId="1" fontId="0" fillId="0" borderId="0" xfId="0" applyNumberFormat="1" applyAlignment="1">
      <alignment horizontal="center"/>
    </xf>
    <xf numFmtId="0" fontId="0" fillId="0" borderId="0" xfId="0" applyAlignment="1"/>
    <xf numFmtId="2" fontId="3" fillId="0" borderId="0" xfId="0" applyNumberFormat="1" applyFont="1" applyAlignment="1">
      <alignment horizontal="center"/>
    </xf>
    <xf numFmtId="2" fontId="2" fillId="0" borderId="0" xfId="0" applyNumberFormat="1" applyFont="1" applyAlignment="1">
      <alignment horizontal="center"/>
    </xf>
    <xf numFmtId="2" fontId="0" fillId="0" borderId="0" xfId="0" applyNumberFormat="1" applyAlignment="1">
      <alignment horizontal="center"/>
    </xf>
    <xf numFmtId="49" fontId="2" fillId="0" borderId="0" xfId="0" applyNumberFormat="1" applyFont="1" applyAlignment="1">
      <alignment horizontal="center"/>
    </xf>
    <xf numFmtId="0" fontId="2" fillId="0" borderId="6" xfId="0" applyFont="1" applyBorder="1" applyAlignment="1">
      <alignment horizontal="center"/>
    </xf>
    <xf numFmtId="164" fontId="0" fillId="0" borderId="6" xfId="0" applyNumberFormat="1" applyBorder="1" applyAlignment="1">
      <alignment horizontal="center"/>
    </xf>
    <xf numFmtId="164" fontId="0" fillId="0" borderId="7" xfId="0" applyNumberFormat="1" applyBorder="1" applyAlignment="1">
      <alignment horizontal="center"/>
    </xf>
    <xf numFmtId="0" fontId="2" fillId="0" borderId="8" xfId="0" applyFont="1" applyBorder="1" applyAlignment="1">
      <alignment horizontal="center"/>
    </xf>
    <xf numFmtId="0" fontId="0" fillId="0" borderId="8"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0" fontId="5" fillId="0" borderId="0" xfId="0" applyFont="1"/>
    <xf numFmtId="3" fontId="3" fillId="0" borderId="0" xfId="0" applyNumberFormat="1" applyFont="1" applyAlignment="1">
      <alignment horizontal="center"/>
    </xf>
    <xf numFmtId="0" fontId="3" fillId="0" borderId="0" xfId="0" applyFont="1" applyAlignment="1">
      <alignment horizontal="center"/>
    </xf>
    <xf numFmtId="0" fontId="0" fillId="0" borderId="2" xfId="0" applyBorder="1" applyAlignment="1">
      <alignment horizontal="center"/>
    </xf>
    <xf numFmtId="1" fontId="0" fillId="0" borderId="0" xfId="0" applyNumberFormat="1"/>
    <xf numFmtId="0" fontId="0" fillId="0" borderId="0" xfId="0" applyNumberFormat="1" applyAlignment="1">
      <alignment horizontal="center"/>
    </xf>
    <xf numFmtId="0" fontId="2" fillId="0" borderId="0" xfId="0" applyNumberFormat="1" applyFont="1" applyAlignment="1">
      <alignment horizontal="center"/>
    </xf>
    <xf numFmtId="1" fontId="2" fillId="0" borderId="0" xfId="0" applyNumberFormat="1" applyFont="1"/>
    <xf numFmtId="0" fontId="2" fillId="0" borderId="10" xfId="0" applyNumberFormat="1" applyFont="1" applyBorder="1" applyAlignment="1">
      <alignment horizontal="center"/>
    </xf>
    <xf numFmtId="49" fontId="2" fillId="0" borderId="10" xfId="0" applyNumberFormat="1" applyFont="1" applyBorder="1" applyAlignment="1">
      <alignment horizontal="center"/>
    </xf>
    <xf numFmtId="0" fontId="2" fillId="0" borderId="0" xfId="0" applyNumberFormat="1" applyFont="1" applyBorder="1" applyAlignment="1">
      <alignment horizontal="center"/>
    </xf>
    <xf numFmtId="49" fontId="2" fillId="0" borderId="11" xfId="0" applyNumberFormat="1" applyFont="1" applyBorder="1" applyAlignment="1">
      <alignment horizontal="center"/>
    </xf>
    <xf numFmtId="0" fontId="2" fillId="0" borderId="12" xfId="0" applyNumberFormat="1" applyFont="1" applyBorder="1" applyAlignment="1">
      <alignment horizontal="center"/>
    </xf>
    <xf numFmtId="0" fontId="2" fillId="0" borderId="13" xfId="0" applyNumberFormat="1" applyFont="1" applyBorder="1" applyAlignment="1">
      <alignment horizontal="center"/>
    </xf>
    <xf numFmtId="1" fontId="2" fillId="0" borderId="2" xfId="0" applyNumberFormat="1" applyFont="1" applyBorder="1" applyAlignment="1">
      <alignment horizontal="center"/>
    </xf>
    <xf numFmtId="0" fontId="0" fillId="0" borderId="14" xfId="0" applyNumberFormat="1" applyBorder="1" applyAlignment="1">
      <alignment horizontal="center"/>
    </xf>
    <xf numFmtId="1" fontId="2" fillId="0" borderId="0" xfId="0" applyNumberFormat="1" applyFont="1" applyAlignment="1">
      <alignment horizontal="right"/>
    </xf>
    <xf numFmtId="0" fontId="0" fillId="0" borderId="1" xfId="0" applyBorder="1" applyAlignment="1">
      <alignment horizontal="center"/>
    </xf>
    <xf numFmtId="49" fontId="2" fillId="0" borderId="15" xfId="0" applyNumberFormat="1" applyFont="1" applyBorder="1" applyAlignment="1">
      <alignment horizontal="center"/>
    </xf>
    <xf numFmtId="1" fontId="2" fillId="0" borderId="0" xfId="0" applyNumberFormat="1" applyFont="1" applyBorder="1" applyAlignment="1">
      <alignment horizontal="center"/>
    </xf>
    <xf numFmtId="49" fontId="2" fillId="0" borderId="1" xfId="0" applyNumberFormat="1" applyFont="1" applyBorder="1" applyAlignment="1">
      <alignment horizontal="center"/>
    </xf>
    <xf numFmtId="49" fontId="2" fillId="0" borderId="3" xfId="0" applyNumberFormat="1" applyFont="1" applyBorder="1" applyAlignment="1">
      <alignment horizontal="center"/>
    </xf>
    <xf numFmtId="0" fontId="2" fillId="0" borderId="16" xfId="0" applyNumberFormat="1" applyFont="1" applyBorder="1" applyAlignment="1">
      <alignment horizontal="center"/>
    </xf>
    <xf numFmtId="1" fontId="2" fillId="0" borderId="5" xfId="0" applyNumberFormat="1" applyFont="1" applyBorder="1" applyAlignment="1">
      <alignment horizontal="center"/>
    </xf>
    <xf numFmtId="1" fontId="2" fillId="0" borderId="4" xfId="0" applyNumberFormat="1" applyFont="1" applyBorder="1" applyAlignment="1">
      <alignment horizontal="center"/>
    </xf>
    <xf numFmtId="0" fontId="0" fillId="0" borderId="0" xfId="0" applyAlignment="1">
      <alignment horizontal="left"/>
    </xf>
    <xf numFmtId="164" fontId="0" fillId="0" borderId="2" xfId="0" applyNumberFormat="1" applyBorder="1" applyAlignment="1">
      <alignment horizontal="center"/>
    </xf>
    <xf numFmtId="164" fontId="0" fillId="0" borderId="5" xfId="0" applyNumberFormat="1" applyBorder="1" applyAlignment="1">
      <alignment horizontal="center"/>
    </xf>
    <xf numFmtId="49" fontId="2" fillId="0" borderId="0" xfId="0" applyNumberFormat="1" applyFont="1" applyBorder="1" applyAlignment="1">
      <alignment horizontal="center"/>
    </xf>
    <xf numFmtId="3" fontId="0" fillId="0" borderId="0" xfId="0" applyNumberFormat="1"/>
    <xf numFmtId="0" fontId="0" fillId="0" borderId="0" xfId="0" applyNumberFormat="1" applyBorder="1" applyAlignment="1">
      <alignment horizontal="center"/>
    </xf>
    <xf numFmtId="49" fontId="2" fillId="0" borderId="2" xfId="0" applyNumberFormat="1" applyFont="1" applyBorder="1" applyAlignment="1">
      <alignment horizontal="center"/>
    </xf>
    <xf numFmtId="3" fontId="2" fillId="0" borderId="0" xfId="0" applyNumberFormat="1" applyFont="1" applyBorder="1" applyAlignment="1">
      <alignment horizontal="center"/>
    </xf>
    <xf numFmtId="3" fontId="2" fillId="0" borderId="2" xfId="0" applyNumberFormat="1" applyFont="1" applyBorder="1" applyAlignment="1">
      <alignment horizontal="center"/>
    </xf>
    <xf numFmtId="0" fontId="0" fillId="0" borderId="3" xfId="0" applyBorder="1" applyAlignment="1">
      <alignment horizontal="center"/>
    </xf>
    <xf numFmtId="0" fontId="0" fillId="0" borderId="4" xfId="0" applyNumberFormat="1" applyBorder="1" applyAlignment="1">
      <alignment horizontal="center"/>
    </xf>
    <xf numFmtId="0" fontId="2" fillId="0" borderId="4" xfId="0" applyNumberFormat="1" applyFont="1" applyBorder="1" applyAlignment="1">
      <alignment horizontal="center"/>
    </xf>
    <xf numFmtId="3" fontId="2" fillId="0" borderId="4" xfId="0" applyNumberFormat="1" applyFont="1" applyBorder="1" applyAlignment="1">
      <alignment horizontal="center"/>
    </xf>
    <xf numFmtId="3" fontId="2" fillId="0" borderId="5" xfId="0" applyNumberFormat="1" applyFont="1" applyBorder="1" applyAlignment="1">
      <alignment horizontal="center"/>
    </xf>
    <xf numFmtId="4" fontId="2" fillId="0" borderId="0" xfId="0" applyNumberFormat="1" applyFont="1" applyAlignment="1">
      <alignment horizontal="center"/>
    </xf>
    <xf numFmtId="4" fontId="3" fillId="0" borderId="0" xfId="0" applyNumberFormat="1" applyFont="1" applyAlignment="1">
      <alignment horizontal="center"/>
    </xf>
    <xf numFmtId="4" fontId="3" fillId="0" borderId="0" xfId="0" applyNumberFormat="1" applyFont="1"/>
    <xf numFmtId="10" fontId="3" fillId="0" borderId="0" xfId="0" applyNumberFormat="1" applyFont="1" applyAlignment="1">
      <alignment horizontal="center"/>
    </xf>
    <xf numFmtId="0" fontId="2" fillId="0" borderId="17" xfId="0" applyFont="1" applyBorder="1" applyAlignment="1">
      <alignment horizontal="center"/>
    </xf>
    <xf numFmtId="2" fontId="2" fillId="0" borderId="0" xfId="0" applyNumberFormat="1" applyFont="1" applyBorder="1" applyAlignment="1">
      <alignment horizontal="center"/>
    </xf>
    <xf numFmtId="3" fontId="2" fillId="0" borderId="0" xfId="0" applyNumberFormat="1" applyFont="1" applyAlignment="1">
      <alignment horizontal="center"/>
    </xf>
    <xf numFmtId="0" fontId="0" fillId="0" borderId="0" xfId="0" applyBorder="1"/>
    <xf numFmtId="0" fontId="0" fillId="0" borderId="4" xfId="0" applyBorder="1" applyAlignment="1">
      <alignment horizontal="center"/>
    </xf>
    <xf numFmtId="0" fontId="0" fillId="0" borderId="4" xfId="0" applyBorder="1"/>
    <xf numFmtId="0" fontId="0" fillId="0" borderId="5" xfId="0" applyBorder="1"/>
    <xf numFmtId="1" fontId="2" fillId="0" borderId="18" xfId="0" applyNumberFormat="1" applyFont="1" applyBorder="1" applyAlignment="1">
      <alignment horizontal="center"/>
    </xf>
    <xf numFmtId="0" fontId="0" fillId="0" borderId="19" xfId="0" applyNumberFormat="1" applyBorder="1" applyAlignment="1">
      <alignment horizontal="center"/>
    </xf>
    <xf numFmtId="0" fontId="2" fillId="0" borderId="20" xfId="0" applyFont="1" applyBorder="1" applyAlignment="1">
      <alignment horizontal="center"/>
    </xf>
    <xf numFmtId="0" fontId="2" fillId="0" borderId="1" xfId="0" applyNumberFormat="1" applyFont="1" applyBorder="1" applyAlignment="1">
      <alignment horizontal="center"/>
    </xf>
    <xf numFmtId="0" fontId="2" fillId="0" borderId="3" xfId="0" applyNumberFormat="1"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1" fontId="2" fillId="0" borderId="8" xfId="0" applyNumberFormat="1" applyFont="1" applyBorder="1" applyAlignment="1">
      <alignment horizontal="center"/>
    </xf>
    <xf numFmtId="1" fontId="2" fillId="0" borderId="6" xfId="0" applyNumberFormat="1" applyFont="1" applyBorder="1" applyAlignment="1">
      <alignment horizontal="center"/>
    </xf>
    <xf numFmtId="1" fontId="2" fillId="0" borderId="9" xfId="0" applyNumberFormat="1" applyFont="1" applyBorder="1" applyAlignment="1">
      <alignment horizontal="center"/>
    </xf>
    <xf numFmtId="1" fontId="2" fillId="0" borderId="7" xfId="0" applyNumberFormat="1" applyFont="1" applyBorder="1" applyAlignment="1">
      <alignment horizontal="center"/>
    </xf>
    <xf numFmtId="3" fontId="0" fillId="0" borderId="0" xfId="0" applyNumberFormat="1" applyBorder="1"/>
    <xf numFmtId="0" fontId="0" fillId="0" borderId="1" xfId="0" applyBorder="1"/>
    <xf numFmtId="0" fontId="0" fillId="0" borderId="2" xfId="0" applyBorder="1"/>
    <xf numFmtId="0" fontId="2" fillId="0" borderId="0" xfId="0" applyFont="1" applyBorder="1" applyAlignment="1">
      <alignment horizontal="right"/>
    </xf>
    <xf numFmtId="0" fontId="0" fillId="0" borderId="19" xfId="0" applyBorder="1"/>
    <xf numFmtId="0" fontId="0" fillId="0" borderId="14" xfId="0" applyBorder="1"/>
    <xf numFmtId="0" fontId="2" fillId="0" borderId="4" xfId="0" applyFont="1" applyBorder="1" applyAlignment="1">
      <alignment horizontal="center"/>
    </xf>
    <xf numFmtId="2" fontId="2" fillId="0" borderId="6" xfId="0" applyNumberFormat="1" applyFont="1" applyBorder="1" applyAlignment="1">
      <alignment horizontal="center"/>
    </xf>
    <xf numFmtId="3" fontId="2" fillId="0" borderId="6" xfId="0" applyNumberFormat="1" applyFont="1" applyBorder="1" applyAlignment="1">
      <alignment horizontal="center"/>
    </xf>
    <xf numFmtId="0" fontId="0" fillId="0" borderId="6" xfId="0" applyBorder="1"/>
    <xf numFmtId="0" fontId="2" fillId="0" borderId="6" xfId="0" applyFont="1" applyBorder="1" applyAlignment="1">
      <alignment horizontal="right"/>
    </xf>
    <xf numFmtId="0" fontId="0" fillId="0" borderId="7" xfId="0" applyBorder="1"/>
    <xf numFmtId="3" fontId="2" fillId="0" borderId="8" xfId="0" applyNumberFormat="1" applyFont="1" applyBorder="1" applyAlignment="1">
      <alignment horizontal="center"/>
    </xf>
    <xf numFmtId="0" fontId="0" fillId="0" borderId="8" xfId="0" applyBorder="1"/>
    <xf numFmtId="0" fontId="0" fillId="0" borderId="9" xfId="0" applyBorder="1"/>
    <xf numFmtId="3" fontId="0" fillId="0" borderId="8" xfId="0" applyNumberFormat="1" applyBorder="1"/>
    <xf numFmtId="3" fontId="0" fillId="0" borderId="6" xfId="0" applyNumberFormat="1" applyBorder="1"/>
    <xf numFmtId="0" fontId="0" fillId="0" borderId="24" xfId="0" applyBorder="1"/>
    <xf numFmtId="0" fontId="2" fillId="0" borderId="25" xfId="0" applyFont="1" applyBorder="1" applyAlignment="1">
      <alignment horizontal="center"/>
    </xf>
    <xf numFmtId="0" fontId="0" fillId="0" borderId="25" xfId="0" applyBorder="1"/>
    <xf numFmtId="49" fontId="2" fillId="0" borderId="25" xfId="0" applyNumberFormat="1" applyFont="1" applyBorder="1" applyAlignment="1">
      <alignment horizontal="center"/>
    </xf>
    <xf numFmtId="0" fontId="0" fillId="0" borderId="26" xfId="0" applyBorder="1"/>
    <xf numFmtId="0" fontId="2" fillId="0" borderId="14" xfId="0" applyFont="1" applyBorder="1" applyAlignment="1">
      <alignment horizontal="center"/>
    </xf>
    <xf numFmtId="2" fontId="6" fillId="0" borderId="0" xfId="0" applyNumberFormat="1" applyFont="1" applyAlignment="1">
      <alignment horizontal="center"/>
    </xf>
    <xf numFmtId="1" fontId="5" fillId="0" borderId="0" xfId="0" applyNumberFormat="1" applyFont="1" applyAlignment="1">
      <alignment horizontal="center"/>
    </xf>
    <xf numFmtId="0" fontId="6" fillId="0" borderId="0" xfId="0" applyFont="1"/>
    <xf numFmtId="0" fontId="5" fillId="0" borderId="0" xfId="0" applyFont="1" applyAlignment="1">
      <alignment horizontal="right"/>
    </xf>
    <xf numFmtId="1" fontId="5" fillId="0" borderId="0" xfId="0" applyNumberFormat="1" applyFont="1" applyAlignment="1">
      <alignment horizontal="right"/>
    </xf>
    <xf numFmtId="2" fontId="5" fillId="0" borderId="0" xfId="0" applyNumberFormat="1"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5" fillId="0" borderId="0" xfId="0" applyFont="1" applyAlignment="1">
      <alignment horizontal="left"/>
    </xf>
    <xf numFmtId="3" fontId="5" fillId="0" borderId="0" xfId="0" applyNumberFormat="1" applyFont="1" applyAlignment="1">
      <alignment horizontal="center"/>
    </xf>
    <xf numFmtId="167" fontId="6" fillId="0" borderId="0" xfId="0" applyNumberFormat="1" applyFont="1" applyAlignment="1">
      <alignment horizontal="center"/>
    </xf>
    <xf numFmtId="167" fontId="5" fillId="0" borderId="0" xfId="0" applyNumberFormat="1" applyFont="1" applyAlignment="1">
      <alignment horizontal="center"/>
    </xf>
    <xf numFmtId="167" fontId="6" fillId="0" borderId="0" xfId="0" applyNumberFormat="1" applyFont="1"/>
    <xf numFmtId="10" fontId="0" fillId="0" borderId="0" xfId="0" applyNumberFormat="1" applyBorder="1" applyAlignment="1">
      <alignment horizontal="center"/>
    </xf>
    <xf numFmtId="167" fontId="2" fillId="0" borderId="0" xfId="0" applyNumberFormat="1" applyFont="1" applyBorder="1" applyAlignment="1">
      <alignment horizontal="center"/>
    </xf>
    <xf numFmtId="0" fontId="2" fillId="0" borderId="0" xfId="0" applyFont="1" applyAlignment="1">
      <alignment horizontal="left"/>
    </xf>
    <xf numFmtId="0" fontId="0" fillId="0" borderId="0" xfId="0" applyAlignment="1"/>
    <xf numFmtId="2" fontId="2" fillId="0" borderId="0" xfId="0" applyNumberFormat="1" applyFont="1" applyAlignment="1">
      <alignment horizontal="left"/>
    </xf>
    <xf numFmtId="0" fontId="0" fillId="0" borderId="0" xfId="0" applyAlignment="1">
      <alignment horizontal="left"/>
    </xf>
    <xf numFmtId="0" fontId="2" fillId="0" borderId="0" xfId="0" applyFont="1" applyAlignment="1">
      <alignment horizontal="center"/>
    </xf>
    <xf numFmtId="0" fontId="0" fillId="0" borderId="0" xfId="0" applyAlignment="1">
      <alignment horizontal="center"/>
    </xf>
    <xf numFmtId="4" fontId="2" fillId="0" borderId="0" xfId="0" applyNumberFormat="1" applyFont="1" applyAlignment="1">
      <alignment horizontal="left"/>
    </xf>
    <xf numFmtId="0" fontId="5" fillId="0" borderId="0" xfId="0" applyFont="1" applyAlignment="1"/>
    <xf numFmtId="0" fontId="5" fillId="0" borderId="0" xfId="0" applyFont="1" applyAlignment="1">
      <alignment horizontal="left"/>
    </xf>
    <xf numFmtId="2" fontId="5" fillId="0" borderId="0" xfId="0" applyNumberFormat="1" applyFont="1" applyAlignment="1">
      <alignment horizontal="left"/>
    </xf>
    <xf numFmtId="0" fontId="2" fillId="0" borderId="0" xfId="0" applyFont="1" applyBorder="1" applyAlignment="1">
      <alignment horizontal="center"/>
    </xf>
    <xf numFmtId="0" fontId="0" fillId="0" borderId="0" xfId="0" applyBorder="1" applyAlignment="1">
      <alignment horizontal="center"/>
    </xf>
    <xf numFmtId="2" fontId="2" fillId="0" borderId="0" xfId="0" applyNumberFormat="1" applyFont="1" applyBorder="1" applyAlignment="1">
      <alignment horizontal="center"/>
    </xf>
    <xf numFmtId="2" fontId="2" fillId="0" borderId="6" xfId="0" applyNumberFormat="1" applyFont="1" applyBorder="1" applyAlignment="1">
      <alignment horizontal="center"/>
    </xf>
    <xf numFmtId="2" fontId="2" fillId="0" borderId="8" xfId="0" applyNumberFormat="1" applyFont="1" applyBorder="1" applyAlignment="1">
      <alignment horizontal="center"/>
    </xf>
    <xf numFmtId="0" fontId="2" fillId="0" borderId="14" xfId="0" applyFont="1" applyBorder="1" applyAlignment="1">
      <alignment horizontal="center"/>
    </xf>
    <xf numFmtId="0" fontId="2" fillId="0" borderId="29" xfId="0" applyFont="1" applyBorder="1" applyAlignment="1">
      <alignment horizontal="center"/>
    </xf>
    <xf numFmtId="0" fontId="2" fillId="0" borderId="19" xfId="0" applyFont="1" applyBorder="1" applyAlignment="1">
      <alignment horizontal="center"/>
    </xf>
    <xf numFmtId="0" fontId="2" fillId="0" borderId="19" xfId="0" applyFont="1" applyBorder="1" applyAlignment="1">
      <alignment horizontal="left" wrapText="1"/>
    </xf>
    <xf numFmtId="0" fontId="2" fillId="0" borderId="14" xfId="0" applyFont="1" applyBorder="1" applyAlignment="1">
      <alignment horizontal="left" wrapText="1"/>
    </xf>
    <xf numFmtId="0" fontId="2" fillId="0" borderId="29" xfId="0" applyFont="1" applyBorder="1" applyAlignment="1">
      <alignment horizontal="left"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0" xfId="0" applyBorder="1" applyAlignment="1"/>
    <xf numFmtId="0" fontId="5" fillId="0" borderId="19" xfId="0" applyFont="1" applyBorder="1" applyAlignment="1">
      <alignment horizontal="center"/>
    </xf>
    <xf numFmtId="0" fontId="6" fillId="0" borderId="27" xfId="0" applyFont="1" applyBorder="1" applyAlignment="1">
      <alignment horizontal="center"/>
    </xf>
    <xf numFmtId="0" fontId="0" fillId="0" borderId="14" xfId="0" applyBorder="1" applyAlignment="1"/>
    <xf numFmtId="0" fontId="0" fillId="0" borderId="29" xfId="0" applyBorder="1" applyAlignment="1"/>
    <xf numFmtId="0" fontId="0" fillId="0" borderId="14" xfId="0" applyBorder="1" applyAlignment="1">
      <alignment horizontal="center"/>
    </xf>
    <xf numFmtId="0" fontId="2" fillId="0" borderId="30" xfId="0" applyFont="1" applyBorder="1" applyAlignment="1">
      <alignment horizontal="center"/>
    </xf>
    <xf numFmtId="0" fontId="2" fillId="0" borderId="28" xfId="0" applyFont="1" applyBorder="1" applyAlignment="1"/>
    <xf numFmtId="1" fontId="2" fillId="0" borderId="0" xfId="0" applyNumberFormat="1" applyFont="1" applyAlignment="1">
      <alignment horizontal="left"/>
    </xf>
    <xf numFmtId="0" fontId="2" fillId="0" borderId="28" xfId="0" applyFont="1" applyBorder="1" applyAlignment="1">
      <alignment horizontal="center"/>
    </xf>
    <xf numFmtId="0" fontId="0" fillId="0" borderId="29"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60960</xdr:colOff>
          <xdr:row>157</xdr:row>
          <xdr:rowOff>137160</xdr:rowOff>
        </xdr:from>
        <xdr:to>
          <xdr:col>2</xdr:col>
          <xdr:colOff>1684020</xdr:colOff>
          <xdr:row>160</xdr:row>
          <xdr:rowOff>137160</xdr:rowOff>
        </xdr:to>
        <xdr:sp macro="" textlink="">
          <xdr:nvSpPr>
            <xdr:cNvPr id="1026" name="Button 2" hidden="1">
              <a:extLst>
                <a:ext uri="{63B3BB69-23CF-44E3-9099-C40C66FF867C}">
                  <a14:compatExt spid="_x0000_s1026"/>
                </a:ext>
                <a:ext uri="{FF2B5EF4-FFF2-40B4-BE49-F238E27FC236}">
                  <a16:creationId xmlns:a16="http://schemas.microsoft.com/office/drawing/2014/main" id="{28757C72-E23F-CF49-354D-C7864F4446F1}"/>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Arial"/>
                  <a:cs typeface="Arial"/>
                </a:rPr>
                <a:t>REINITIALIZE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Q160"/>
  <sheetViews>
    <sheetView tabSelected="1" zoomScale="75" zoomScaleNormal="75" workbookViewId="0">
      <selection activeCell="A9" sqref="A9"/>
    </sheetView>
  </sheetViews>
  <sheetFormatPr defaultRowHeight="13.2" x14ac:dyDescent="0.25"/>
  <cols>
    <col min="1" max="1" width="29" customWidth="1"/>
    <col min="2" max="2" width="93.44140625" customWidth="1"/>
    <col min="3" max="3" width="25.6640625" customWidth="1"/>
    <col min="4" max="4" width="26.88671875" customWidth="1"/>
    <col min="5" max="8" width="25.6640625" customWidth="1"/>
    <col min="9" max="9" width="24.44140625" customWidth="1"/>
    <col min="10" max="10" width="18.6640625" customWidth="1"/>
    <col min="11" max="11" width="24.44140625" customWidth="1"/>
    <col min="12" max="16" width="20.6640625" customWidth="1"/>
    <col min="17" max="17" width="20.5546875" customWidth="1"/>
  </cols>
  <sheetData>
    <row r="1" spans="1:11" x14ac:dyDescent="0.25">
      <c r="K1" s="1" t="s">
        <v>257</v>
      </c>
    </row>
    <row r="2" spans="1:11" x14ac:dyDescent="0.25">
      <c r="A2" s="1" t="s">
        <v>200</v>
      </c>
      <c r="C2" s="140" t="s">
        <v>44</v>
      </c>
      <c r="D2" s="143"/>
      <c r="E2" s="143"/>
      <c r="F2" s="143"/>
      <c r="G2" s="143"/>
      <c r="K2" s="10" t="s">
        <v>255</v>
      </c>
    </row>
    <row r="3" spans="1:11" x14ac:dyDescent="0.25">
      <c r="B3" s="26" t="s">
        <v>219</v>
      </c>
      <c r="K3" s="10" t="s">
        <v>256</v>
      </c>
    </row>
    <row r="4" spans="1:11" x14ac:dyDescent="0.25">
      <c r="B4" s="3" t="s">
        <v>221</v>
      </c>
      <c r="C4" s="15">
        <v>3</v>
      </c>
      <c r="D4" s="140" t="s">
        <v>46</v>
      </c>
      <c r="E4" s="141"/>
      <c r="F4" s="141"/>
      <c r="G4" s="141"/>
      <c r="H4" s="141"/>
      <c r="K4" s="15">
        <v>3</v>
      </c>
    </row>
    <row r="5" spans="1:11" x14ac:dyDescent="0.25">
      <c r="B5" s="3" t="s">
        <v>160</v>
      </c>
      <c r="C5" s="14">
        <v>10</v>
      </c>
      <c r="D5" s="6"/>
      <c r="K5" s="14">
        <v>10</v>
      </c>
    </row>
    <row r="6" spans="1:11" x14ac:dyDescent="0.25">
      <c r="B6" s="3" t="s">
        <v>95</v>
      </c>
      <c r="C6" s="15">
        <v>5</v>
      </c>
      <c r="D6" s="140" t="s">
        <v>125</v>
      </c>
      <c r="E6" s="141"/>
      <c r="F6" s="141"/>
      <c r="G6" s="141"/>
      <c r="H6" s="141"/>
      <c r="K6" s="15">
        <v>5</v>
      </c>
    </row>
    <row r="7" spans="1:11" x14ac:dyDescent="0.25">
      <c r="B7" s="3" t="s">
        <v>15</v>
      </c>
      <c r="C7" s="15">
        <v>15</v>
      </c>
      <c r="D7" s="140" t="s">
        <v>191</v>
      </c>
      <c r="E7" s="141"/>
      <c r="F7" s="141"/>
      <c r="G7" s="141"/>
      <c r="H7" s="141"/>
      <c r="K7" s="15">
        <v>15</v>
      </c>
    </row>
    <row r="8" spans="1:11" x14ac:dyDescent="0.25">
      <c r="B8" s="3" t="s">
        <v>16</v>
      </c>
      <c r="C8" s="15">
        <v>20</v>
      </c>
      <c r="D8" s="140" t="s">
        <v>192</v>
      </c>
      <c r="E8" s="141"/>
      <c r="F8" s="141"/>
      <c r="G8" s="141"/>
      <c r="H8" s="141"/>
      <c r="K8" s="15">
        <v>20</v>
      </c>
    </row>
    <row r="9" spans="1:11" x14ac:dyDescent="0.25">
      <c r="B9" s="3" t="s">
        <v>17</v>
      </c>
      <c r="C9" s="15">
        <v>30</v>
      </c>
      <c r="D9" s="140" t="s">
        <v>193</v>
      </c>
      <c r="E9" s="141"/>
      <c r="F9" s="141"/>
      <c r="G9" s="141"/>
      <c r="H9" s="141"/>
      <c r="K9" s="15">
        <v>30</v>
      </c>
    </row>
    <row r="10" spans="1:11" x14ac:dyDescent="0.25">
      <c r="B10" s="3" t="s">
        <v>60</v>
      </c>
      <c r="C10" s="15">
        <v>40</v>
      </c>
      <c r="D10" s="140" t="s">
        <v>189</v>
      </c>
      <c r="E10" s="141"/>
      <c r="F10" s="141"/>
      <c r="G10" s="141"/>
      <c r="H10" s="141"/>
      <c r="K10" s="15">
        <v>40</v>
      </c>
    </row>
    <row r="11" spans="1:11" x14ac:dyDescent="0.25">
      <c r="B11" s="3" t="s">
        <v>118</v>
      </c>
      <c r="C11" s="14">
        <v>1</v>
      </c>
      <c r="D11" s="140" t="s">
        <v>262</v>
      </c>
      <c r="E11" s="141"/>
      <c r="F11" s="141"/>
      <c r="G11" s="141"/>
      <c r="H11" s="141"/>
      <c r="K11" s="14">
        <v>1</v>
      </c>
    </row>
    <row r="12" spans="1:11" x14ac:dyDescent="0.25">
      <c r="B12" s="3" t="s">
        <v>119</v>
      </c>
      <c r="C12" s="14">
        <v>1</v>
      </c>
      <c r="D12" s="140" t="s">
        <v>45</v>
      </c>
      <c r="E12" s="141"/>
      <c r="F12" s="141"/>
      <c r="G12" s="141"/>
      <c r="H12" s="141"/>
      <c r="K12" s="14">
        <v>1</v>
      </c>
    </row>
    <row r="13" spans="1:11" x14ac:dyDescent="0.25">
      <c r="B13" s="3" t="s">
        <v>43</v>
      </c>
      <c r="C13" s="138">
        <v>7.0000000000000007E-2</v>
      </c>
      <c r="D13" s="140" t="s">
        <v>185</v>
      </c>
      <c r="E13" s="141"/>
      <c r="F13" s="141"/>
      <c r="G13" s="141"/>
      <c r="H13" s="141"/>
      <c r="K13" s="138">
        <v>7.0000000000000007E-2</v>
      </c>
    </row>
    <row r="14" spans="1:11" x14ac:dyDescent="0.25">
      <c r="B14" s="3" t="s">
        <v>184</v>
      </c>
      <c r="C14" s="15">
        <v>8</v>
      </c>
      <c r="D14" s="140" t="s">
        <v>211</v>
      </c>
      <c r="E14" s="141"/>
      <c r="F14" s="141"/>
      <c r="G14" s="141"/>
      <c r="H14" s="141"/>
      <c r="K14" s="15">
        <v>8</v>
      </c>
    </row>
    <row r="15" spans="1:11" x14ac:dyDescent="0.25">
      <c r="D15" s="140" t="s">
        <v>130</v>
      </c>
      <c r="E15" s="141"/>
      <c r="F15" s="141"/>
      <c r="G15" s="141"/>
      <c r="H15" s="141"/>
      <c r="K15" s="86"/>
    </row>
    <row r="16" spans="1:11" x14ac:dyDescent="0.25">
      <c r="K16" s="86"/>
    </row>
    <row r="17" spans="2:11" x14ac:dyDescent="0.25">
      <c r="B17" s="6" t="s">
        <v>186</v>
      </c>
      <c r="C17" s="144" t="s">
        <v>18</v>
      </c>
      <c r="D17" s="144"/>
      <c r="E17" s="1" t="s">
        <v>19</v>
      </c>
      <c r="F17" s="1" t="s">
        <v>35</v>
      </c>
      <c r="G17" s="1" t="s">
        <v>24</v>
      </c>
      <c r="H17" s="1" t="s">
        <v>161</v>
      </c>
      <c r="K17" s="10" t="s">
        <v>19</v>
      </c>
    </row>
    <row r="18" spans="2:11" x14ac:dyDescent="0.25">
      <c r="B18" s="1" t="s">
        <v>20</v>
      </c>
      <c r="C18" s="1" t="s">
        <v>21</v>
      </c>
      <c r="D18" s="1" t="s">
        <v>22</v>
      </c>
      <c r="E18" s="1" t="s">
        <v>23</v>
      </c>
      <c r="F18" s="1" t="s">
        <v>23</v>
      </c>
      <c r="G18" s="1"/>
      <c r="H18" s="1" t="s">
        <v>162</v>
      </c>
      <c r="K18" s="10" t="s">
        <v>23</v>
      </c>
    </row>
    <row r="19" spans="2:11" x14ac:dyDescent="0.25">
      <c r="B19" s="3" t="s">
        <v>131</v>
      </c>
      <c r="C19" s="1">
        <v>0</v>
      </c>
      <c r="D19" s="1">
        <f>C10-1</f>
        <v>39</v>
      </c>
      <c r="E19" s="14">
        <v>-2.7450000000000001</v>
      </c>
      <c r="F19" s="30">
        <f t="shared" ref="F19:F25" si="0">E19*$C$11</f>
        <v>-2.7450000000000001</v>
      </c>
      <c r="G19" s="1" t="s">
        <v>25</v>
      </c>
      <c r="H19" s="30"/>
      <c r="K19" s="14">
        <v>-2.7450000000000001</v>
      </c>
    </row>
    <row r="20" spans="2:11" x14ac:dyDescent="0.25">
      <c r="B20" s="3" t="s">
        <v>132</v>
      </c>
      <c r="C20" s="1">
        <v>0</v>
      </c>
      <c r="D20" s="1">
        <f>C10-1</f>
        <v>39</v>
      </c>
      <c r="E20" s="14">
        <v>-4.2089999999999996</v>
      </c>
      <c r="F20" s="30">
        <f t="shared" si="0"/>
        <v>-4.2089999999999996</v>
      </c>
      <c r="G20" s="1" t="s">
        <v>25</v>
      </c>
      <c r="H20" s="30"/>
      <c r="K20" s="14">
        <v>-4.2089999999999996</v>
      </c>
    </row>
    <row r="21" spans="2:11" ht="15.6" x14ac:dyDescent="0.25">
      <c r="B21" s="3" t="s">
        <v>133</v>
      </c>
      <c r="C21" s="1">
        <v>0</v>
      </c>
      <c r="D21" s="1">
        <f>C10-1</f>
        <v>39</v>
      </c>
      <c r="E21" s="14">
        <v>-34.404000000000003</v>
      </c>
      <c r="F21" s="30">
        <f t="shared" si="0"/>
        <v>-34.404000000000003</v>
      </c>
      <c r="G21" s="1" t="s">
        <v>36</v>
      </c>
      <c r="H21" s="30">
        <f>SUM(H53:H57)</f>
        <v>247.71453625627601</v>
      </c>
      <c r="K21" s="14">
        <v>-34.404000000000003</v>
      </c>
    </row>
    <row r="22" spans="2:11" x14ac:dyDescent="0.25">
      <c r="B22" s="3" t="s">
        <v>134</v>
      </c>
      <c r="C22" s="2">
        <v>2</v>
      </c>
      <c r="D22" s="1">
        <f>C22</f>
        <v>2</v>
      </c>
      <c r="E22" s="14">
        <v>-4499.97</v>
      </c>
      <c r="F22" s="30">
        <f t="shared" si="0"/>
        <v>-4499.97</v>
      </c>
      <c r="G22" s="1" t="s">
        <v>25</v>
      </c>
      <c r="H22" s="30"/>
      <c r="K22" s="14">
        <v>-4499.97</v>
      </c>
    </row>
    <row r="23" spans="2:11" x14ac:dyDescent="0.25">
      <c r="B23" s="3" t="s">
        <v>26</v>
      </c>
      <c r="C23" s="2">
        <v>0</v>
      </c>
      <c r="D23" s="2">
        <v>9</v>
      </c>
      <c r="E23" s="14">
        <v>-27.45</v>
      </c>
      <c r="F23" s="30">
        <f t="shared" si="0"/>
        <v>-27.45</v>
      </c>
      <c r="G23" s="1" t="s">
        <v>25</v>
      </c>
      <c r="H23" s="30"/>
      <c r="K23" s="14">
        <v>-27.45</v>
      </c>
    </row>
    <row r="24" spans="2:11" x14ac:dyDescent="0.25">
      <c r="B24" s="3" t="s">
        <v>27</v>
      </c>
      <c r="C24" s="1">
        <f>D23+1</f>
        <v>10</v>
      </c>
      <c r="D24" s="1">
        <f>C10-1</f>
        <v>39</v>
      </c>
      <c r="E24" s="14">
        <v>-13.542000000000002</v>
      </c>
      <c r="F24" s="30">
        <f t="shared" si="0"/>
        <v>-13.542000000000002</v>
      </c>
      <c r="G24" s="1" t="s">
        <v>25</v>
      </c>
      <c r="H24" s="30"/>
      <c r="K24" s="14">
        <v>-13.542000000000002</v>
      </c>
    </row>
    <row r="25" spans="2:11" x14ac:dyDescent="0.25">
      <c r="B25" s="3" t="s">
        <v>135</v>
      </c>
      <c r="C25" s="1">
        <f>$C$6</f>
        <v>5</v>
      </c>
      <c r="D25" s="1">
        <f>$C$6</f>
        <v>5</v>
      </c>
      <c r="E25" s="14">
        <v>0</v>
      </c>
      <c r="F25" s="30">
        <f t="shared" si="0"/>
        <v>0</v>
      </c>
      <c r="G25" s="1" t="s">
        <v>25</v>
      </c>
      <c r="H25" s="30"/>
      <c r="K25" s="14">
        <v>0</v>
      </c>
    </row>
    <row r="26" spans="2:11" x14ac:dyDescent="0.25">
      <c r="B26" s="3" t="s">
        <v>136</v>
      </c>
      <c r="C26" s="1">
        <f>IF(C7&lt;C$10-4,C7,0)</f>
        <v>15</v>
      </c>
      <c r="D26" s="1">
        <f>IF(C7&lt;C$10-4,C7,0)</f>
        <v>15</v>
      </c>
      <c r="E26" s="14">
        <v>-20.862000000000002</v>
      </c>
      <c r="F26" s="30">
        <f>IF(C26=0,0,E26*$C$11)</f>
        <v>-20.862000000000002</v>
      </c>
      <c r="G26" s="1" t="s">
        <v>25</v>
      </c>
      <c r="H26" s="30"/>
      <c r="K26" s="14">
        <v>-20.862000000000002</v>
      </c>
    </row>
    <row r="27" spans="2:11" x14ac:dyDescent="0.25">
      <c r="B27" s="3" t="s">
        <v>137</v>
      </c>
      <c r="C27" s="1">
        <f>IF(C8&lt;C$10-4,C8,0)</f>
        <v>20</v>
      </c>
      <c r="D27" s="1">
        <f>IF(C8&lt;C$10-4,C8,0)</f>
        <v>20</v>
      </c>
      <c r="E27" s="14">
        <v>-20.862000000000002</v>
      </c>
      <c r="F27" s="30">
        <f>IF(C27=0,0,E27*$C$11)</f>
        <v>-20.862000000000002</v>
      </c>
      <c r="G27" s="1" t="s">
        <v>25</v>
      </c>
      <c r="H27" s="30"/>
      <c r="K27" s="14">
        <v>-20.862000000000002</v>
      </c>
    </row>
    <row r="28" spans="2:11" x14ac:dyDescent="0.25">
      <c r="B28" s="3" t="s">
        <v>138</v>
      </c>
      <c r="C28" s="1">
        <f>IF(C9&lt;C$10-4,C9,0)</f>
        <v>30</v>
      </c>
      <c r="D28" s="1">
        <f>IF(C9&lt;C$10-4,C9,0)</f>
        <v>30</v>
      </c>
      <c r="E28" s="14">
        <v>-20.862000000000002</v>
      </c>
      <c r="F28" s="30">
        <f>IF(C28=0,0,E28*$C$11)</f>
        <v>-20.862000000000002</v>
      </c>
      <c r="G28" s="1" t="s">
        <v>25</v>
      </c>
      <c r="H28" s="30"/>
      <c r="K28" s="14">
        <v>-20.862000000000002</v>
      </c>
    </row>
    <row r="29" spans="2:11" x14ac:dyDescent="0.25">
      <c r="B29" s="3" t="s">
        <v>139</v>
      </c>
      <c r="C29" s="1">
        <f>C$10</f>
        <v>40</v>
      </c>
      <c r="D29" s="1">
        <f>C$10</f>
        <v>40</v>
      </c>
      <c r="E29" s="14">
        <v>-20.862000000000002</v>
      </c>
      <c r="F29" s="30">
        <f>E29*$C$11</f>
        <v>-20.862000000000002</v>
      </c>
      <c r="G29" s="1" t="s">
        <v>25</v>
      </c>
      <c r="H29" s="30"/>
      <c r="K29" s="14">
        <v>-20.862000000000002</v>
      </c>
    </row>
    <row r="30" spans="2:11" x14ac:dyDescent="0.25">
      <c r="B30" s="3" t="s">
        <v>140</v>
      </c>
      <c r="C30" s="1">
        <f>$C$6</f>
        <v>5</v>
      </c>
      <c r="D30" s="1">
        <f>$C$6</f>
        <v>5</v>
      </c>
      <c r="E30" s="14">
        <v>0</v>
      </c>
      <c r="F30" s="30">
        <f>E30*$C$11</f>
        <v>0</v>
      </c>
      <c r="G30" s="1" t="s">
        <v>25</v>
      </c>
      <c r="H30" s="30"/>
      <c r="K30" s="14">
        <v>0</v>
      </c>
    </row>
    <row r="31" spans="2:11" x14ac:dyDescent="0.25">
      <c r="B31" s="3" t="s">
        <v>141</v>
      </c>
      <c r="C31" s="1">
        <f>IF(C7&lt;C$10-4,C7,0)</f>
        <v>15</v>
      </c>
      <c r="D31" s="1">
        <f>IF(C7&lt;C$10-4,C7,0)</f>
        <v>15</v>
      </c>
      <c r="E31" s="14">
        <v>-279.44099999999997</v>
      </c>
      <c r="F31" s="30">
        <f>IF(C31=0,0,E31*$C$11)</f>
        <v>-279.44099999999997</v>
      </c>
      <c r="G31" s="1" t="s">
        <v>25</v>
      </c>
      <c r="H31" s="30"/>
      <c r="K31" s="14">
        <v>-279.44099999999997</v>
      </c>
    </row>
    <row r="32" spans="2:11" x14ac:dyDescent="0.25">
      <c r="B32" s="3" t="s">
        <v>142</v>
      </c>
      <c r="C32" s="1">
        <f>IF(C8&lt;C$10-4,C8,0)</f>
        <v>20</v>
      </c>
      <c r="D32" s="1">
        <f>IF(C8&lt;C$10-4,C8,0)</f>
        <v>20</v>
      </c>
      <c r="E32" s="14">
        <v>-279.44099999999997</v>
      </c>
      <c r="F32" s="30">
        <f>IF(C32=0,0,E32*$C$11)</f>
        <v>-279.44099999999997</v>
      </c>
      <c r="G32" s="1" t="s">
        <v>25</v>
      </c>
      <c r="H32" s="30"/>
      <c r="K32" s="14">
        <v>-279.44099999999997</v>
      </c>
    </row>
    <row r="33" spans="2:11" x14ac:dyDescent="0.25">
      <c r="B33" s="3" t="s">
        <v>143</v>
      </c>
      <c r="C33" s="1">
        <f>IF(C9&lt;C$10-4,C9,0)</f>
        <v>30</v>
      </c>
      <c r="D33" s="1">
        <f>IF(C9&lt;C$10-4,C9,0)</f>
        <v>30</v>
      </c>
      <c r="E33" s="14">
        <v>-279.44099999999997</v>
      </c>
      <c r="F33" s="30">
        <f>IF(C33=0,0,E33*$C$11)</f>
        <v>-279.44099999999997</v>
      </c>
      <c r="G33" s="1" t="s">
        <v>25</v>
      </c>
      <c r="H33" s="30"/>
      <c r="K33" s="14">
        <v>-279.44099999999997</v>
      </c>
    </row>
    <row r="34" spans="2:11" x14ac:dyDescent="0.25">
      <c r="B34" s="3" t="s">
        <v>144</v>
      </c>
      <c r="C34" s="1">
        <f>C$10</f>
        <v>40</v>
      </c>
      <c r="D34" s="1">
        <f>C$10</f>
        <v>40</v>
      </c>
      <c r="E34" s="14">
        <v>-279.44099999999997</v>
      </c>
      <c r="F34" s="30">
        <f>E34*$C$11</f>
        <v>-279.44099999999997</v>
      </c>
      <c r="G34" s="1" t="s">
        <v>25</v>
      </c>
      <c r="H34" s="30"/>
      <c r="K34" s="14">
        <v>-279.44099999999997</v>
      </c>
    </row>
    <row r="35" spans="2:11" ht="15.6" x14ac:dyDescent="0.25">
      <c r="B35" s="3" t="s">
        <v>145</v>
      </c>
      <c r="C35" s="1">
        <f>$C$6</f>
        <v>5</v>
      </c>
      <c r="D35" s="1">
        <f>$C$6</f>
        <v>5</v>
      </c>
      <c r="E35" s="14">
        <v>0</v>
      </c>
      <c r="F35" s="30">
        <f>E35*$C$11</f>
        <v>0</v>
      </c>
      <c r="G35" s="1" t="s">
        <v>36</v>
      </c>
      <c r="H35" s="30">
        <f>$C$5</f>
        <v>10</v>
      </c>
      <c r="K35" s="14">
        <v>0</v>
      </c>
    </row>
    <row r="36" spans="2:11" ht="15.6" x14ac:dyDescent="0.25">
      <c r="B36" s="3" t="s">
        <v>146</v>
      </c>
      <c r="C36" s="1">
        <f>IF(C7&lt;C$10-4,C7,0)</f>
        <v>15</v>
      </c>
      <c r="D36" s="1">
        <f>IF(C7&lt;C$10-4,C7,0)</f>
        <v>15</v>
      </c>
      <c r="E36" s="14">
        <v>-3.66</v>
      </c>
      <c r="F36" s="30">
        <f>IF(C36=0,0,E36*$C$11)</f>
        <v>-3.66</v>
      </c>
      <c r="G36" s="1" t="s">
        <v>37</v>
      </c>
      <c r="H36" s="30">
        <f>IF($C$7=0,0,IF($C$10-5&lt;$C$7,0,VLOOKUP($C$36,'STD.TBLE.THINNED'!$B$11:$L$60,11)))</f>
        <v>4.5346772451017658</v>
      </c>
      <c r="K36" s="14">
        <v>-3.66</v>
      </c>
    </row>
    <row r="37" spans="2:11" ht="15.6" x14ac:dyDescent="0.25">
      <c r="B37" s="3" t="s">
        <v>147</v>
      </c>
      <c r="C37" s="1">
        <f>IF(C8&lt;C$10-4,C8,0)</f>
        <v>20</v>
      </c>
      <c r="D37" s="1">
        <f>IF(C8&lt;C$10-4,C8,0)</f>
        <v>20</v>
      </c>
      <c r="E37" s="14">
        <v>-3.66</v>
      </c>
      <c r="F37" s="30">
        <f>IF(C37=0,0,E37*$C$11)</f>
        <v>-3.66</v>
      </c>
      <c r="G37" s="1" t="s">
        <v>37</v>
      </c>
      <c r="H37" s="30">
        <f>IF($C$8=0,0,IF($C$10-5&lt;$C$8,0,VLOOKUP($C$8,'STD.TBLE.THINNED'!B11:L60,11)-VLOOKUP($C$7,'STD.TBLE.THINNED'!$B$11:$L$60,11)))</f>
        <v>5.8601827353612821</v>
      </c>
      <c r="K37" s="14">
        <v>-3.66</v>
      </c>
    </row>
    <row r="38" spans="2:11" ht="15.6" x14ac:dyDescent="0.25">
      <c r="B38" s="3" t="s">
        <v>148</v>
      </c>
      <c r="C38" s="1">
        <f>IF(C9&lt;C$10-4,C9,0)</f>
        <v>30</v>
      </c>
      <c r="D38" s="1">
        <f>IF(C9&lt;C$10-4,C9,0)</f>
        <v>30</v>
      </c>
      <c r="E38" s="14">
        <v>-3.66</v>
      </c>
      <c r="F38" s="30">
        <f>IF(C38=0,0,E38*$C$11)</f>
        <v>-3.66</v>
      </c>
      <c r="G38" s="1" t="s">
        <v>37</v>
      </c>
      <c r="H38" s="30">
        <f>IF($C$9=0,0,IF($C$10-5&lt;$C$9,0,VLOOKUP($C$9,'STD.TBLE.THINNED'!$B$11:$L$60,11)-VLOOKUP($C$8,'STD.TBLE.THINNED'!$B$11:$L$60,11)))</f>
        <v>20.594266095225379</v>
      </c>
      <c r="K38" s="14">
        <v>-3.66</v>
      </c>
    </row>
    <row r="39" spans="2:11" ht="15.6" x14ac:dyDescent="0.25">
      <c r="B39" s="3" t="s">
        <v>149</v>
      </c>
      <c r="C39" s="1">
        <f>C$10</f>
        <v>40</v>
      </c>
      <c r="D39" s="1">
        <f>C$10</f>
        <v>40</v>
      </c>
      <c r="E39" s="14">
        <v>-3.66</v>
      </c>
      <c r="F39" s="30">
        <f>E39*$C$11</f>
        <v>-3.66</v>
      </c>
      <c r="G39" s="1" t="s">
        <v>37</v>
      </c>
      <c r="H39" s="30">
        <f>VLOOKUP($C$10,'STD.TBLE.THINNED'!$B$11:$L$60,6)</f>
        <v>206.72541018058757</v>
      </c>
      <c r="K39" s="14">
        <v>-3.66</v>
      </c>
    </row>
    <row r="40" spans="2:11" x14ac:dyDescent="0.25">
      <c r="B40" s="3" t="s">
        <v>150</v>
      </c>
      <c r="C40" s="1">
        <f>$C$6</f>
        <v>5</v>
      </c>
      <c r="D40" s="1">
        <f>$C$6</f>
        <v>5</v>
      </c>
      <c r="E40" s="14">
        <v>-635.01</v>
      </c>
      <c r="F40" s="30">
        <f>E40*$C$11</f>
        <v>-635.01</v>
      </c>
      <c r="G40" s="1" t="s">
        <v>25</v>
      </c>
      <c r="H40" s="30"/>
      <c r="K40" s="14">
        <v>-635.01</v>
      </c>
    </row>
    <row r="41" spans="2:11" x14ac:dyDescent="0.25">
      <c r="B41" s="3" t="s">
        <v>151</v>
      </c>
      <c r="C41" s="1">
        <f>IF(C7&lt;C$10-4,C7,0)</f>
        <v>15</v>
      </c>
      <c r="D41" s="1">
        <f>IF(C7&lt;C$10-4,C7,0)</f>
        <v>15</v>
      </c>
      <c r="E41" s="14">
        <v>-635.01</v>
      </c>
      <c r="F41" s="30">
        <f>IF(C41=0,0,E41*$C$11)</f>
        <v>-635.01</v>
      </c>
      <c r="G41" s="1" t="s">
        <v>25</v>
      </c>
      <c r="H41" s="30"/>
      <c r="K41" s="14">
        <v>-635.01</v>
      </c>
    </row>
    <row r="42" spans="2:11" x14ac:dyDescent="0.25">
      <c r="B42" s="3" t="s">
        <v>152</v>
      </c>
      <c r="C42" s="1">
        <f>IF(C8&lt;C$10-4,C8,0)</f>
        <v>20</v>
      </c>
      <c r="D42" s="1">
        <f>IF(C8&lt;C$10-4,C8,0)</f>
        <v>20</v>
      </c>
      <c r="E42" s="14">
        <v>-635.01</v>
      </c>
      <c r="F42" s="30">
        <f>IF(C42=0,0,E42*$C$11)</f>
        <v>-635.01</v>
      </c>
      <c r="G42" s="1" t="s">
        <v>25</v>
      </c>
      <c r="H42" s="30"/>
      <c r="K42" s="14">
        <v>-635.01</v>
      </c>
    </row>
    <row r="43" spans="2:11" x14ac:dyDescent="0.25">
      <c r="B43" s="3" t="s">
        <v>153</v>
      </c>
      <c r="C43" s="1">
        <f>IF(C9&lt;C$10-4,C9,0)</f>
        <v>30</v>
      </c>
      <c r="D43" s="1">
        <f>IF(C9&lt;C$10-4,C9,0)</f>
        <v>30</v>
      </c>
      <c r="E43" s="14">
        <v>-635.01</v>
      </c>
      <c r="F43" s="30">
        <f>IF(C43=0,0,E43*$C$11)</f>
        <v>-635.01</v>
      </c>
      <c r="G43" s="1" t="s">
        <v>25</v>
      </c>
      <c r="H43" s="30"/>
      <c r="K43" s="14">
        <v>-635.01</v>
      </c>
    </row>
    <row r="44" spans="2:11" x14ac:dyDescent="0.25">
      <c r="B44" s="3" t="s">
        <v>154</v>
      </c>
      <c r="C44" s="1">
        <f>C$10</f>
        <v>40</v>
      </c>
      <c r="D44" s="1">
        <f>C$10</f>
        <v>40</v>
      </c>
      <c r="E44" s="14">
        <v>-635.01</v>
      </c>
      <c r="F44" s="30">
        <f>E44*$C$11</f>
        <v>-635.01</v>
      </c>
      <c r="G44" s="1" t="s">
        <v>25</v>
      </c>
      <c r="H44" s="30"/>
      <c r="K44" s="14">
        <v>-635.01</v>
      </c>
    </row>
    <row r="45" spans="2:11" x14ac:dyDescent="0.25">
      <c r="B45" s="3" t="s">
        <v>155</v>
      </c>
      <c r="C45" s="1">
        <f>$C$6</f>
        <v>5</v>
      </c>
      <c r="D45" s="1">
        <f>$C$6</f>
        <v>5</v>
      </c>
      <c r="E45" s="14">
        <v>-0.03</v>
      </c>
      <c r="F45" s="30">
        <f>E45*$C$11</f>
        <v>-0.03</v>
      </c>
      <c r="G45" s="1" t="s">
        <v>32</v>
      </c>
      <c r="H45" s="30"/>
      <c r="K45" s="14">
        <v>-0.03</v>
      </c>
    </row>
    <row r="46" spans="2:11" x14ac:dyDescent="0.25">
      <c r="B46" s="3" t="s">
        <v>156</v>
      </c>
      <c r="C46" s="1">
        <f>IF(C7&lt;C$10-4,C7,0)</f>
        <v>15</v>
      </c>
      <c r="D46" s="1">
        <f>IF(C7&lt;C$10-4,C7,0)</f>
        <v>15</v>
      </c>
      <c r="E46" s="14">
        <v>-0.03</v>
      </c>
      <c r="F46" s="30">
        <f>IF(C46=0,0,E46*$C$11)</f>
        <v>-0.03</v>
      </c>
      <c r="G46" s="1" t="s">
        <v>32</v>
      </c>
      <c r="H46" s="30"/>
      <c r="K46" s="14">
        <v>-0.03</v>
      </c>
    </row>
    <row r="47" spans="2:11" x14ac:dyDescent="0.25">
      <c r="B47" s="3" t="s">
        <v>157</v>
      </c>
      <c r="C47" s="1">
        <f>IF(C8&lt;C$10-4,C8,0)</f>
        <v>20</v>
      </c>
      <c r="D47" s="1">
        <f>IF(C8&lt;C$10-4,C8,0)</f>
        <v>20</v>
      </c>
      <c r="E47" s="14">
        <v>-0.03</v>
      </c>
      <c r="F47" s="30">
        <f>IF(C47=0,0,E47*$C$11)</f>
        <v>-0.03</v>
      </c>
      <c r="G47" s="1" t="s">
        <v>32</v>
      </c>
      <c r="H47" s="30"/>
      <c r="K47" s="14">
        <v>-0.03</v>
      </c>
    </row>
    <row r="48" spans="2:11" x14ac:dyDescent="0.25">
      <c r="B48" s="3" t="s">
        <v>158</v>
      </c>
      <c r="C48" s="1">
        <f>IF(C9&lt;C$10-4,C9,0)</f>
        <v>30</v>
      </c>
      <c r="D48" s="1">
        <f>IF(C9&lt;C$10-4,C9,0)</f>
        <v>30</v>
      </c>
      <c r="E48" s="14">
        <v>-0.03</v>
      </c>
      <c r="F48" s="30">
        <f>IF(C48=0,0,E48*$C$11)</f>
        <v>-0.03</v>
      </c>
      <c r="G48" s="1" t="s">
        <v>32</v>
      </c>
      <c r="H48" s="30"/>
      <c r="K48" s="14">
        <v>-0.03</v>
      </c>
    </row>
    <row r="49" spans="2:11" x14ac:dyDescent="0.25">
      <c r="B49" s="3" t="s">
        <v>159</v>
      </c>
      <c r="C49" s="1">
        <f>C$10</f>
        <v>40</v>
      </c>
      <c r="D49" s="1">
        <f>C$10</f>
        <v>40</v>
      </c>
      <c r="E49" s="14">
        <v>-0.03</v>
      </c>
      <c r="F49" s="30">
        <f>E49*$C$11</f>
        <v>-0.03</v>
      </c>
      <c r="G49" s="1" t="s">
        <v>32</v>
      </c>
      <c r="H49" s="30"/>
      <c r="K49" s="14">
        <v>-0.03</v>
      </c>
    </row>
    <row r="50" spans="2:11" x14ac:dyDescent="0.25">
      <c r="B50" s="3"/>
      <c r="C50" s="2"/>
      <c r="D50" s="2"/>
      <c r="E50" s="14"/>
      <c r="F50" s="1"/>
      <c r="G50" s="1"/>
      <c r="H50" s="30"/>
      <c r="K50" s="14"/>
    </row>
    <row r="51" spans="2:11" x14ac:dyDescent="0.25">
      <c r="B51" s="3"/>
      <c r="C51" s="2"/>
      <c r="D51" s="2"/>
      <c r="E51" s="14"/>
      <c r="F51" s="1" t="s">
        <v>35</v>
      </c>
      <c r="G51" s="1"/>
      <c r="H51" s="30"/>
      <c r="K51" s="14"/>
    </row>
    <row r="52" spans="2:11" x14ac:dyDescent="0.25">
      <c r="B52" s="6" t="s">
        <v>187</v>
      </c>
      <c r="C52" s="2"/>
      <c r="D52" s="2"/>
      <c r="E52" s="14"/>
      <c r="F52" s="1" t="s">
        <v>33</v>
      </c>
      <c r="G52" s="1"/>
      <c r="H52" s="30"/>
      <c r="K52" s="14"/>
    </row>
    <row r="53" spans="2:11" ht="15.6" x14ac:dyDescent="0.25">
      <c r="B53" s="3" t="s">
        <v>61</v>
      </c>
      <c r="C53" s="1">
        <f>$C$6</f>
        <v>5</v>
      </c>
      <c r="D53" s="1">
        <f>$C$6</f>
        <v>5</v>
      </c>
      <c r="E53" s="14">
        <v>405</v>
      </c>
      <c r="F53" s="30">
        <f>IF(C6=0,0,IF(C6&lt;=$C$10-5,E53*$C$12,0))</f>
        <v>405</v>
      </c>
      <c r="G53" s="1" t="s">
        <v>36</v>
      </c>
      <c r="H53" s="30">
        <f>$C$5</f>
        <v>10</v>
      </c>
      <c r="K53" s="14">
        <v>405</v>
      </c>
    </row>
    <row r="54" spans="2:11" ht="15.6" x14ac:dyDescent="0.25">
      <c r="B54" s="3" t="s">
        <v>28</v>
      </c>
      <c r="C54" s="1">
        <f>IF(C7&lt;C$10-4,C7,0)</f>
        <v>15</v>
      </c>
      <c r="D54" s="1">
        <f>IF(C7&lt;C$10-4,C7,0)</f>
        <v>15</v>
      </c>
      <c r="E54" s="14">
        <v>26</v>
      </c>
      <c r="F54" s="30">
        <f>IF(C7=0,0,IF(C7&lt;=$C$10-5,E54*$C$12,0))</f>
        <v>26</v>
      </c>
      <c r="G54" s="1" t="s">
        <v>36</v>
      </c>
      <c r="H54" s="30">
        <f>IF($C$7=0,0,IF($C$10-5&lt;$C$7,0,VLOOKUP($C$36,'STD.TBLE.THINNED'!$B$11:$L$60,11)))</f>
        <v>4.5346772451017658</v>
      </c>
      <c r="K54" s="14">
        <v>26</v>
      </c>
    </row>
    <row r="55" spans="2:11" ht="15.6" x14ac:dyDescent="0.25">
      <c r="B55" s="3" t="s">
        <v>29</v>
      </c>
      <c r="C55" s="1">
        <f>IF(C8&lt;C$10-4,C8,0)</f>
        <v>20</v>
      </c>
      <c r="D55" s="1">
        <f>IF(C8&lt;C$10-4,C8,0)</f>
        <v>20</v>
      </c>
      <c r="E55" s="14">
        <v>41</v>
      </c>
      <c r="F55" s="30">
        <f>IF(C8=0,0,IF(C8&lt;=$C$10-5,E55*$C$12,0))</f>
        <v>41</v>
      </c>
      <c r="G55" s="1" t="s">
        <v>37</v>
      </c>
      <c r="H55" s="30">
        <f>IF($C$8=0,0,IF($C$10-5&lt;$C$8,0,VLOOKUP($C$8,'STD.TBLE.THINNED'!B29:L78,11)-VLOOKUP($C$7,'STD.TBLE.THINNED'!$B$11:$L$60,11)))</f>
        <v>5.8601827353612821</v>
      </c>
      <c r="K55" s="14">
        <v>41</v>
      </c>
    </row>
    <row r="56" spans="2:11" ht="15.6" x14ac:dyDescent="0.25">
      <c r="B56" s="3" t="s">
        <v>30</v>
      </c>
      <c r="C56" s="1">
        <f>IF(C9&lt;C$10-4,C9,0)</f>
        <v>30</v>
      </c>
      <c r="D56" s="1">
        <f>IF(C9&lt;C$10-4,C9,0)</f>
        <v>30</v>
      </c>
      <c r="E56" s="14">
        <v>94</v>
      </c>
      <c r="F56" s="30">
        <f>IF(C9=0,0,IF(C9&lt;=$C$10-5,E56*$C$12,0))</f>
        <v>94</v>
      </c>
      <c r="G56" s="1" t="s">
        <v>37</v>
      </c>
      <c r="H56" s="30">
        <f>IF($C$9=0,0,IF($C$10-5&lt;$C$9,0,VLOOKUP($C$9,'STD.TBLE.THINNED'!$B$11:$L$60,11)-VLOOKUP($C$8,'STD.TBLE.THINNED'!$B$11:$L$60,11)))</f>
        <v>20.594266095225379</v>
      </c>
      <c r="K56" s="14">
        <v>94</v>
      </c>
    </row>
    <row r="57" spans="2:11" ht="15.6" x14ac:dyDescent="0.25">
      <c r="B57" s="3" t="s">
        <v>34</v>
      </c>
      <c r="C57" s="1">
        <f>C$10</f>
        <v>40</v>
      </c>
      <c r="D57" s="1">
        <f>C$10</f>
        <v>40</v>
      </c>
      <c r="E57" s="14">
        <v>405</v>
      </c>
      <c r="F57" s="30">
        <f>E57*C12</f>
        <v>405</v>
      </c>
      <c r="G57" s="1" t="s">
        <v>37</v>
      </c>
      <c r="H57" s="30">
        <f>VLOOKUP($C$10,'STD.TBLE.THINNED'!$B$11:$L$60,6)</f>
        <v>206.72541018058757</v>
      </c>
      <c r="K57" s="14">
        <v>405</v>
      </c>
    </row>
    <row r="58" spans="2:11" x14ac:dyDescent="0.25">
      <c r="F58" s="2"/>
      <c r="G58" s="2"/>
      <c r="H58" s="1"/>
      <c r="J58" s="86"/>
    </row>
    <row r="59" spans="2:11" x14ac:dyDescent="0.25">
      <c r="B59" s="6" t="s">
        <v>176</v>
      </c>
      <c r="C59" s="27"/>
      <c r="D59" s="27"/>
      <c r="E59" s="1"/>
      <c r="F59" s="30"/>
      <c r="G59" s="1"/>
      <c r="H59" s="30"/>
    </row>
    <row r="60" spans="2:11" x14ac:dyDescent="0.25">
      <c r="C60" s="4"/>
      <c r="D60" s="4"/>
      <c r="E60" s="31"/>
      <c r="F60" s="30"/>
      <c r="G60" s="1"/>
      <c r="H60" s="30"/>
    </row>
    <row r="61" spans="2:11" x14ac:dyDescent="0.25">
      <c r="B61" s="1" t="s">
        <v>31</v>
      </c>
      <c r="C61" s="1" t="s">
        <v>174</v>
      </c>
      <c r="D61" s="4" t="s">
        <v>33</v>
      </c>
      <c r="E61" s="4" t="s">
        <v>207</v>
      </c>
      <c r="F61" s="30"/>
      <c r="G61" s="1"/>
      <c r="H61" s="30"/>
    </row>
    <row r="62" spans="2:11" x14ac:dyDescent="0.25">
      <c r="B62" s="3"/>
      <c r="C62" s="4">
        <v>1998</v>
      </c>
      <c r="D62" s="85">
        <v>7356855</v>
      </c>
      <c r="E62" s="85">
        <v>1360655</v>
      </c>
      <c r="F62" s="142"/>
      <c r="G62" s="141"/>
      <c r="H62" s="30"/>
    </row>
    <row r="63" spans="2:11" x14ac:dyDescent="0.25">
      <c r="B63" s="3"/>
      <c r="C63" s="4">
        <v>1999</v>
      </c>
      <c r="D63" s="85">
        <v>7922312</v>
      </c>
      <c r="E63" s="85">
        <v>985158</v>
      </c>
      <c r="F63" s="142"/>
      <c r="G63" s="141"/>
      <c r="H63" s="30"/>
    </row>
    <row r="64" spans="2:11" x14ac:dyDescent="0.25">
      <c r="B64" s="3"/>
      <c r="C64" s="4">
        <v>2000</v>
      </c>
      <c r="D64" s="41">
        <v>8000000</v>
      </c>
      <c r="E64" s="41">
        <v>1000000</v>
      </c>
      <c r="F64" s="142"/>
      <c r="G64" s="143"/>
      <c r="H64" s="30"/>
    </row>
    <row r="65" spans="2:9" x14ac:dyDescent="0.25">
      <c r="B65" s="3"/>
      <c r="C65" s="4">
        <v>2001</v>
      </c>
      <c r="D65" s="41">
        <v>8000000</v>
      </c>
      <c r="E65" s="41">
        <v>1000000</v>
      </c>
      <c r="F65" s="142"/>
      <c r="G65" s="143"/>
      <c r="H65" s="30"/>
    </row>
    <row r="66" spans="2:9" x14ac:dyDescent="0.25">
      <c r="B66" s="3"/>
      <c r="C66" s="4"/>
      <c r="D66" s="79"/>
      <c r="E66" s="79"/>
      <c r="F66" s="142"/>
      <c r="G66" s="143"/>
      <c r="H66" s="30"/>
    </row>
    <row r="67" spans="2:9" x14ac:dyDescent="0.25">
      <c r="B67" s="3"/>
      <c r="C67" s="4"/>
      <c r="D67" s="4"/>
      <c r="E67" s="31"/>
      <c r="F67" s="30"/>
      <c r="G67" s="1"/>
      <c r="H67" s="30"/>
    </row>
    <row r="69" spans="2:9" x14ac:dyDescent="0.25">
      <c r="B69" s="1" t="s">
        <v>175</v>
      </c>
    </row>
    <row r="70" spans="2:9" x14ac:dyDescent="0.25">
      <c r="D70" s="4"/>
      <c r="E70" s="31"/>
      <c r="F70" s="30"/>
      <c r="G70" s="1"/>
      <c r="H70" s="30"/>
    </row>
    <row r="71" spans="2:9" x14ac:dyDescent="0.25">
      <c r="B71" s="3" t="s">
        <v>239</v>
      </c>
      <c r="D71" s="144" t="s">
        <v>214</v>
      </c>
      <c r="E71" s="144"/>
      <c r="F71" s="144"/>
      <c r="G71" s="144"/>
      <c r="H71" s="144"/>
      <c r="I71" s="144"/>
    </row>
    <row r="72" spans="2:9" x14ac:dyDescent="0.25">
      <c r="B72" s="3" t="s">
        <v>240</v>
      </c>
      <c r="C72" s="4" t="s">
        <v>174</v>
      </c>
      <c r="D72" s="4" t="s">
        <v>246</v>
      </c>
      <c r="E72" s="30" t="s">
        <v>177</v>
      </c>
      <c r="F72" s="30" t="s">
        <v>178</v>
      </c>
      <c r="G72" s="1" t="s">
        <v>179</v>
      </c>
      <c r="H72" s="30" t="s">
        <v>180</v>
      </c>
      <c r="I72" s="1" t="s">
        <v>181</v>
      </c>
    </row>
    <row r="73" spans="2:9" x14ac:dyDescent="0.25">
      <c r="B73" s="3"/>
      <c r="C73" s="4">
        <v>1998</v>
      </c>
      <c r="D73" s="41">
        <v>27500</v>
      </c>
      <c r="E73" s="41">
        <v>0</v>
      </c>
      <c r="F73" s="41">
        <v>0</v>
      </c>
      <c r="G73" s="41">
        <v>42356</v>
      </c>
      <c r="H73" s="41">
        <v>0</v>
      </c>
      <c r="I73" s="41">
        <v>0</v>
      </c>
    </row>
    <row r="74" spans="2:9" x14ac:dyDescent="0.25">
      <c r="B74" s="3"/>
      <c r="C74" s="4">
        <v>1999</v>
      </c>
      <c r="D74" s="41">
        <v>36250</v>
      </c>
      <c r="E74" s="41">
        <v>604022</v>
      </c>
      <c r="F74" s="41">
        <v>2080415</v>
      </c>
      <c r="G74" s="41">
        <v>957322</v>
      </c>
      <c r="H74" s="41">
        <v>3489961</v>
      </c>
      <c r="I74" s="41">
        <v>211860</v>
      </c>
    </row>
    <row r="75" spans="2:9" x14ac:dyDescent="0.25">
      <c r="B75" s="3"/>
      <c r="C75" s="4">
        <v>2000</v>
      </c>
      <c r="D75" s="41">
        <v>6215987</v>
      </c>
      <c r="E75" s="41">
        <v>8462800</v>
      </c>
      <c r="F75" s="41">
        <v>1874178</v>
      </c>
      <c r="G75" s="41">
        <v>486000</v>
      </c>
      <c r="H75" s="41">
        <v>1605000</v>
      </c>
      <c r="I75" s="41">
        <v>60000</v>
      </c>
    </row>
    <row r="76" spans="2:9" x14ac:dyDescent="0.25">
      <c r="B76" s="3"/>
      <c r="C76" s="4">
        <v>2001</v>
      </c>
      <c r="D76" s="41">
        <v>7826500</v>
      </c>
      <c r="E76" s="41">
        <v>722000</v>
      </c>
      <c r="F76" s="41">
        <v>2195616</v>
      </c>
      <c r="G76" s="41">
        <v>1583001</v>
      </c>
      <c r="H76" s="41">
        <v>5914800</v>
      </c>
      <c r="I76" s="41">
        <v>548000</v>
      </c>
    </row>
    <row r="77" spans="2:9" x14ac:dyDescent="0.25">
      <c r="B77" s="26"/>
      <c r="C77" s="4">
        <v>2002</v>
      </c>
      <c r="D77" s="41">
        <v>195000</v>
      </c>
      <c r="E77" s="41">
        <v>160000</v>
      </c>
      <c r="F77" s="41">
        <v>1440000</v>
      </c>
      <c r="G77" s="41">
        <v>806002</v>
      </c>
      <c r="H77" s="41">
        <v>4132800</v>
      </c>
      <c r="I77" s="41">
        <v>78000</v>
      </c>
    </row>
    <row r="79" spans="2:9" x14ac:dyDescent="0.25">
      <c r="B79" s="3" t="s">
        <v>241</v>
      </c>
    </row>
    <row r="80" spans="2:9" x14ac:dyDescent="0.25">
      <c r="B80" s="3" t="s">
        <v>243</v>
      </c>
    </row>
    <row r="81" spans="1:9" ht="15.6" x14ac:dyDescent="0.3">
      <c r="A81" s="40"/>
      <c r="B81" s="3" t="s">
        <v>244</v>
      </c>
      <c r="C81" s="82">
        <v>0.25</v>
      </c>
    </row>
    <row r="82" spans="1:9" x14ac:dyDescent="0.25">
      <c r="D82" s="144" t="s">
        <v>215</v>
      </c>
      <c r="E82" s="145"/>
      <c r="F82" s="145"/>
      <c r="G82" s="145"/>
      <c r="H82" s="145"/>
      <c r="I82" s="145"/>
    </row>
    <row r="83" spans="1:9" x14ac:dyDescent="0.25">
      <c r="C83" s="4" t="s">
        <v>174</v>
      </c>
      <c r="D83" s="4" t="s">
        <v>246</v>
      </c>
      <c r="E83" s="30" t="s">
        <v>177</v>
      </c>
      <c r="F83" s="30" t="s">
        <v>178</v>
      </c>
      <c r="G83" s="1" t="s">
        <v>179</v>
      </c>
      <c r="H83" s="30" t="s">
        <v>180</v>
      </c>
      <c r="I83" s="1" t="s">
        <v>181</v>
      </c>
    </row>
    <row r="84" spans="1:9" x14ac:dyDescent="0.25">
      <c r="C84" s="4">
        <v>1998</v>
      </c>
      <c r="D84" s="85">
        <f>D73*$C$81*C$114</f>
        <v>0</v>
      </c>
      <c r="E84" s="85">
        <f>E73*$C$81*C$115</f>
        <v>0</v>
      </c>
      <c r="F84" s="85">
        <f>F73*$C$81*C$116</f>
        <v>0</v>
      </c>
      <c r="G84" s="85">
        <f>G73*$C$81*C$117</f>
        <v>0</v>
      </c>
      <c r="H84" s="85">
        <f>H73*$C$81*C$118</f>
        <v>0</v>
      </c>
      <c r="I84" s="85">
        <f>I73*$C$81*C$119</f>
        <v>0</v>
      </c>
    </row>
    <row r="85" spans="1:9" x14ac:dyDescent="0.25">
      <c r="C85" s="4">
        <v>1999</v>
      </c>
      <c r="D85" s="85">
        <f>D74*$C$81*C$114</f>
        <v>0</v>
      </c>
      <c r="E85" s="85">
        <f>E74*$C$81*C$115</f>
        <v>0</v>
      </c>
      <c r="F85" s="85">
        <f>F74*$C$81*C$116</f>
        <v>0</v>
      </c>
      <c r="G85" s="85">
        <f>G74*$C$81*C$117</f>
        <v>0</v>
      </c>
      <c r="H85" s="85">
        <f>H74*$C$81*C$118</f>
        <v>0</v>
      </c>
      <c r="I85" s="85">
        <f>I74*$C$81*C$119</f>
        <v>0</v>
      </c>
    </row>
    <row r="86" spans="1:9" x14ac:dyDescent="0.25">
      <c r="C86" s="4">
        <v>2000</v>
      </c>
      <c r="D86" s="85">
        <f>D75*$C$81*C$114</f>
        <v>0</v>
      </c>
      <c r="E86" s="85">
        <f>E75*$C$81*C$115</f>
        <v>0</v>
      </c>
      <c r="F86" s="85">
        <f>F75*$C$81*C$116</f>
        <v>0</v>
      </c>
      <c r="G86" s="85">
        <f>G75*$C$81*C$117</f>
        <v>0</v>
      </c>
      <c r="H86" s="85">
        <f>H75*$C$81*C$118</f>
        <v>0</v>
      </c>
      <c r="I86" s="85">
        <f>I75*$C$81*C$119</f>
        <v>0</v>
      </c>
    </row>
    <row r="87" spans="1:9" x14ac:dyDescent="0.25">
      <c r="C87" s="4">
        <v>2001</v>
      </c>
      <c r="D87" s="85">
        <f>D76*$C$81*C$126</f>
        <v>0</v>
      </c>
      <c r="E87" s="85">
        <f>E76*$C$81*C$127</f>
        <v>0</v>
      </c>
      <c r="F87" s="85">
        <f>F76*$C$81*C$128</f>
        <v>0</v>
      </c>
      <c r="G87" s="85">
        <f>G76*$C$81*C$129</f>
        <v>0</v>
      </c>
      <c r="H87" s="85">
        <f>H76*$C$81*C$130</f>
        <v>0</v>
      </c>
      <c r="I87" s="85">
        <f>I76*$C$81*C$131</f>
        <v>0</v>
      </c>
    </row>
    <row r="88" spans="1:9" x14ac:dyDescent="0.25">
      <c r="C88" s="4">
        <v>2002</v>
      </c>
      <c r="D88" s="85">
        <f>D77*$C$81*C$126</f>
        <v>0</v>
      </c>
      <c r="E88" s="85">
        <f>E77*$C$81*C$127</f>
        <v>0</v>
      </c>
      <c r="F88" s="85">
        <f>F77*$C$81*C$128</f>
        <v>0</v>
      </c>
      <c r="G88" s="85">
        <f>G77*$C$81*C$129</f>
        <v>0</v>
      </c>
      <c r="H88" s="85">
        <f>H77*$C$81*C$130</f>
        <v>0</v>
      </c>
      <c r="I88" s="85">
        <f>I77*$C$81*C$131</f>
        <v>0</v>
      </c>
    </row>
    <row r="89" spans="1:9" x14ac:dyDescent="0.25">
      <c r="C89" s="4" t="s">
        <v>212</v>
      </c>
      <c r="D89" s="85">
        <f>-'CASH.FLOW'!R137</f>
        <v>0</v>
      </c>
      <c r="E89" s="85">
        <f>-'CASH.FLOW'!S137</f>
        <v>0</v>
      </c>
      <c r="F89" s="85">
        <f>-'CASH.FLOW'!T137</f>
        <v>0</v>
      </c>
      <c r="G89" s="85">
        <f>-'CASH.FLOW'!U137</f>
        <v>0</v>
      </c>
      <c r="H89" s="85">
        <f>-'CASH.FLOW'!V137</f>
        <v>0</v>
      </c>
      <c r="I89" s="85">
        <f>-'CASH.FLOW'!W137</f>
        <v>0</v>
      </c>
    </row>
    <row r="90" spans="1:9" x14ac:dyDescent="0.25">
      <c r="B90" s="3"/>
      <c r="C90" s="29"/>
      <c r="D90" s="6"/>
      <c r="E90" s="28"/>
      <c r="F90" s="28"/>
      <c r="G90" s="28"/>
    </row>
    <row r="91" spans="1:9" x14ac:dyDescent="0.25">
      <c r="B91" s="3" t="s">
        <v>239</v>
      </c>
      <c r="E91" s="65"/>
      <c r="F91" s="65"/>
      <c r="G91" s="65"/>
    </row>
    <row r="92" spans="1:9" x14ac:dyDescent="0.25">
      <c r="B92" s="3" t="s">
        <v>242</v>
      </c>
      <c r="C92" s="4" t="s">
        <v>174</v>
      </c>
      <c r="D92" s="79" t="s">
        <v>55</v>
      </c>
      <c r="E92" s="28"/>
      <c r="F92" s="28"/>
      <c r="G92" s="28"/>
    </row>
    <row r="93" spans="1:9" x14ac:dyDescent="0.25">
      <c r="B93" s="3"/>
      <c r="C93" s="4">
        <v>1998</v>
      </c>
      <c r="D93" s="41">
        <v>6931145</v>
      </c>
      <c r="E93" s="28"/>
      <c r="F93" s="28"/>
      <c r="G93" s="28"/>
    </row>
    <row r="94" spans="1:9" x14ac:dyDescent="0.25">
      <c r="B94" s="3"/>
      <c r="C94" s="4">
        <v>1999</v>
      </c>
      <c r="D94" s="41">
        <v>17648137</v>
      </c>
    </row>
    <row r="95" spans="1:9" x14ac:dyDescent="0.25">
      <c r="B95" s="3"/>
      <c r="C95" s="4">
        <v>2000</v>
      </c>
      <c r="D95" s="41">
        <v>6134696</v>
      </c>
    </row>
    <row r="96" spans="1:9" x14ac:dyDescent="0.25">
      <c r="B96" s="3"/>
      <c r="C96" s="4">
        <v>2001</v>
      </c>
      <c r="D96" s="41">
        <v>11833393</v>
      </c>
    </row>
    <row r="97" spans="2:17" x14ac:dyDescent="0.25">
      <c r="B97" s="3"/>
      <c r="C97" s="4">
        <v>2002</v>
      </c>
      <c r="D97" s="41">
        <v>4894689</v>
      </c>
    </row>
    <row r="98" spans="2:17" x14ac:dyDescent="0.25">
      <c r="B98" s="1"/>
      <c r="C98" s="4"/>
      <c r="D98" s="1"/>
    </row>
    <row r="99" spans="2:17" x14ac:dyDescent="0.25">
      <c r="B99" s="3" t="s">
        <v>241</v>
      </c>
      <c r="D99" s="30"/>
    </row>
    <row r="100" spans="2:17" x14ac:dyDescent="0.25">
      <c r="B100" s="3" t="s">
        <v>245</v>
      </c>
      <c r="C100" s="29"/>
      <c r="D100" s="30"/>
    </row>
    <row r="101" spans="2:17" x14ac:dyDescent="0.25">
      <c r="B101" s="3" t="s">
        <v>244</v>
      </c>
      <c r="C101" s="82">
        <v>0.25</v>
      </c>
      <c r="D101" s="30"/>
    </row>
    <row r="102" spans="2:17" x14ac:dyDescent="0.25">
      <c r="B102" s="3"/>
      <c r="C102" s="29"/>
      <c r="D102" s="30"/>
    </row>
    <row r="103" spans="2:17" x14ac:dyDescent="0.25">
      <c r="B103" s="3"/>
      <c r="C103" s="4" t="s">
        <v>174</v>
      </c>
      <c r="D103" s="79" t="s">
        <v>216</v>
      </c>
    </row>
    <row r="104" spans="2:17" x14ac:dyDescent="0.25">
      <c r="B104" s="3"/>
      <c r="C104" s="4">
        <v>1998</v>
      </c>
      <c r="D104" s="85">
        <f>D93*$C$101*C$120</f>
        <v>0</v>
      </c>
    </row>
    <row r="105" spans="2:17" x14ac:dyDescent="0.25">
      <c r="B105" s="3"/>
      <c r="C105" s="4">
        <v>1999</v>
      </c>
      <c r="D105" s="85">
        <f>D94*$C$101*C$120</f>
        <v>0</v>
      </c>
    </row>
    <row r="106" spans="2:17" x14ac:dyDescent="0.25">
      <c r="B106" s="3"/>
      <c r="C106" s="4">
        <v>2000</v>
      </c>
      <c r="D106" s="85">
        <f>D95*$C$101*C$120</f>
        <v>0</v>
      </c>
    </row>
    <row r="107" spans="2:17" x14ac:dyDescent="0.25">
      <c r="B107" s="3"/>
      <c r="C107" s="4">
        <v>2001</v>
      </c>
      <c r="D107" s="85">
        <f>D96*$C$101*C$132</f>
        <v>0</v>
      </c>
    </row>
    <row r="108" spans="2:17" x14ac:dyDescent="0.25">
      <c r="B108" s="3"/>
      <c r="C108" s="4">
        <v>2002</v>
      </c>
      <c r="D108" s="85">
        <f>D97*$C$101*C$132</f>
        <v>0</v>
      </c>
    </row>
    <row r="109" spans="2:17" x14ac:dyDescent="0.25">
      <c r="B109" s="3"/>
      <c r="C109" s="4" t="s">
        <v>212</v>
      </c>
      <c r="D109" s="85">
        <f>-'CASH.FLOW'!X137</f>
        <v>0</v>
      </c>
    </row>
    <row r="110" spans="2:17" x14ac:dyDescent="0.25">
      <c r="B110" s="3"/>
      <c r="C110" s="4"/>
      <c r="D110" s="79"/>
    </row>
    <row r="111" spans="2:17" ht="15.6" x14ac:dyDescent="0.3">
      <c r="B111" s="128" t="s">
        <v>235</v>
      </c>
      <c r="C111" s="4"/>
      <c r="D111" s="79"/>
    </row>
    <row r="112" spans="2:17" ht="15.6" x14ac:dyDescent="0.3">
      <c r="B112" s="128" t="s">
        <v>236</v>
      </c>
      <c r="C112" s="4"/>
      <c r="D112" s="79"/>
      <c r="K112" s="10"/>
      <c r="L112" s="15"/>
      <c r="M112" s="15"/>
      <c r="N112" s="15"/>
      <c r="O112" s="15"/>
      <c r="P112" s="15"/>
      <c r="Q112" s="15"/>
    </row>
    <row r="113" spans="2:17" ht="15.6" x14ac:dyDescent="0.3">
      <c r="B113" s="128" t="s">
        <v>263</v>
      </c>
      <c r="C113" s="4"/>
      <c r="D113" s="79"/>
      <c r="K113" s="59"/>
      <c r="L113" s="10"/>
      <c r="M113" s="15"/>
      <c r="N113" s="15"/>
      <c r="O113" s="15"/>
      <c r="P113" s="15"/>
      <c r="Q113" s="15"/>
    </row>
    <row r="114" spans="2:17" ht="15.6" x14ac:dyDescent="0.3">
      <c r="B114" s="128" t="s">
        <v>247</v>
      </c>
      <c r="C114" s="135">
        <v>0</v>
      </c>
      <c r="D114" s="146" t="s">
        <v>252</v>
      </c>
      <c r="E114" s="141"/>
      <c r="F114" s="141"/>
      <c r="G114" s="141"/>
      <c r="H114" s="141"/>
      <c r="I114" s="141"/>
      <c r="K114" s="10"/>
      <c r="L114" s="10"/>
      <c r="M114" s="10"/>
      <c r="N114" s="10"/>
      <c r="O114" s="10"/>
      <c r="P114" s="10"/>
      <c r="Q114" s="10"/>
    </row>
    <row r="115" spans="2:17" ht="15.6" x14ac:dyDescent="0.3">
      <c r="B115" s="128" t="s">
        <v>222</v>
      </c>
      <c r="C115" s="135">
        <v>0</v>
      </c>
      <c r="D115" s="146" t="s">
        <v>261</v>
      </c>
      <c r="E115" s="141"/>
      <c r="F115" s="141"/>
      <c r="G115" s="141"/>
      <c r="H115" s="141"/>
      <c r="I115" s="141"/>
      <c r="K115" s="10"/>
      <c r="L115" s="10"/>
      <c r="M115" s="10"/>
      <c r="N115" s="10"/>
      <c r="O115" s="10"/>
      <c r="P115" s="10"/>
      <c r="Q115" s="10"/>
    </row>
    <row r="116" spans="2:17" ht="15.6" x14ac:dyDescent="0.3">
      <c r="B116" s="128" t="s">
        <v>223</v>
      </c>
      <c r="C116" s="135">
        <v>0</v>
      </c>
      <c r="D116" s="79"/>
      <c r="K116" s="10"/>
      <c r="L116" s="139"/>
      <c r="M116" s="139"/>
      <c r="N116" s="139"/>
      <c r="O116" s="139"/>
      <c r="P116" s="139"/>
      <c r="Q116" s="139"/>
    </row>
    <row r="117" spans="2:17" ht="15.6" x14ac:dyDescent="0.3">
      <c r="B117" s="129" t="s">
        <v>224</v>
      </c>
      <c r="C117" s="135">
        <v>0</v>
      </c>
      <c r="D117" s="79"/>
      <c r="K117" s="10"/>
      <c r="L117" s="139"/>
      <c r="M117" s="139"/>
      <c r="N117" s="139"/>
      <c r="O117" s="139"/>
      <c r="P117" s="139"/>
      <c r="Q117" s="139"/>
    </row>
    <row r="118" spans="2:17" ht="15.6" x14ac:dyDescent="0.3">
      <c r="B118" s="128" t="s">
        <v>225</v>
      </c>
      <c r="C118" s="135">
        <v>0</v>
      </c>
      <c r="D118" s="1"/>
      <c r="K118" s="10"/>
      <c r="L118" s="139"/>
      <c r="M118" s="139"/>
      <c r="N118" s="139"/>
      <c r="O118" s="139"/>
      <c r="P118" s="139"/>
      <c r="Q118" s="139"/>
    </row>
    <row r="119" spans="2:17" ht="15.6" x14ac:dyDescent="0.3">
      <c r="B119" s="128" t="s">
        <v>226</v>
      </c>
      <c r="C119" s="135">
        <v>0</v>
      </c>
      <c r="D119" s="1"/>
      <c r="E119" s="6"/>
      <c r="F119" s="6"/>
      <c r="G119" s="6"/>
      <c r="H119" s="6"/>
      <c r="I119" s="6"/>
      <c r="K119" s="10"/>
      <c r="L119" s="139"/>
      <c r="M119" s="139"/>
      <c r="N119" s="139"/>
      <c r="O119" s="139"/>
      <c r="P119" s="139"/>
      <c r="Q119" s="139"/>
    </row>
    <row r="120" spans="2:17" ht="15.6" x14ac:dyDescent="0.3">
      <c r="B120" s="128" t="s">
        <v>227</v>
      </c>
      <c r="C120" s="135">
        <v>0</v>
      </c>
      <c r="D120" s="140" t="s">
        <v>248</v>
      </c>
      <c r="E120" s="141"/>
      <c r="F120" s="141"/>
      <c r="G120" s="141"/>
      <c r="H120" s="141"/>
      <c r="I120" s="141"/>
      <c r="K120" s="10"/>
      <c r="L120" s="139"/>
      <c r="M120" s="139"/>
      <c r="N120" s="139"/>
      <c r="O120" s="139"/>
      <c r="P120" s="139"/>
      <c r="Q120" s="139"/>
    </row>
    <row r="121" spans="2:17" ht="15.6" x14ac:dyDescent="0.3">
      <c r="B121" s="128"/>
      <c r="C121" s="135"/>
      <c r="D121" s="140" t="s">
        <v>249</v>
      </c>
      <c r="E121" s="141"/>
      <c r="F121" s="141"/>
      <c r="G121" s="141"/>
      <c r="H121" s="141"/>
      <c r="I121" s="141"/>
      <c r="K121" s="10"/>
      <c r="L121" s="139"/>
      <c r="M121" s="139"/>
      <c r="N121" s="139"/>
      <c r="O121" s="139"/>
      <c r="P121" s="139"/>
      <c r="Q121" s="139"/>
    </row>
    <row r="122" spans="2:17" ht="15.6" x14ac:dyDescent="0.3">
      <c r="B122" s="128"/>
      <c r="C122" s="136"/>
      <c r="D122" s="140" t="s">
        <v>251</v>
      </c>
      <c r="E122" s="141"/>
      <c r="F122" s="141"/>
      <c r="G122" s="141"/>
      <c r="H122" s="141"/>
      <c r="I122" s="141"/>
      <c r="K122" s="10"/>
      <c r="L122" s="139"/>
      <c r="M122" s="139"/>
      <c r="N122" s="139"/>
      <c r="O122" s="139"/>
      <c r="P122" s="139"/>
      <c r="Q122" s="139"/>
    </row>
    <row r="123" spans="2:17" ht="15.6" x14ac:dyDescent="0.3">
      <c r="B123" s="128" t="s">
        <v>237</v>
      </c>
      <c r="C123" s="137"/>
    </row>
    <row r="124" spans="2:17" ht="15.6" x14ac:dyDescent="0.3">
      <c r="B124" s="128" t="s">
        <v>238</v>
      </c>
      <c r="C124" s="137"/>
    </row>
    <row r="125" spans="2:17" ht="15.6" x14ac:dyDescent="0.3">
      <c r="B125" s="128" t="s">
        <v>264</v>
      </c>
      <c r="C125" s="137"/>
    </row>
    <row r="126" spans="2:17" ht="15.6" x14ac:dyDescent="0.3">
      <c r="B126" s="128" t="s">
        <v>247</v>
      </c>
      <c r="C126" s="135">
        <v>0</v>
      </c>
      <c r="D126" s="147" t="s">
        <v>253</v>
      </c>
      <c r="E126" s="141"/>
      <c r="F126" s="141"/>
      <c r="G126" s="141"/>
      <c r="H126" s="141"/>
      <c r="I126" s="141"/>
    </row>
    <row r="127" spans="2:17" ht="15.6" x14ac:dyDescent="0.3">
      <c r="B127" s="128" t="s">
        <v>222</v>
      </c>
      <c r="C127" s="135">
        <v>0</v>
      </c>
      <c r="D127" s="148" t="s">
        <v>254</v>
      </c>
      <c r="E127" s="141"/>
      <c r="F127" s="141"/>
      <c r="G127" s="141"/>
      <c r="H127" s="141"/>
      <c r="I127" s="141"/>
    </row>
    <row r="128" spans="2:17" ht="15.6" x14ac:dyDescent="0.3">
      <c r="B128" s="128" t="s">
        <v>223</v>
      </c>
      <c r="C128" s="135">
        <v>0</v>
      </c>
      <c r="D128" s="127"/>
    </row>
    <row r="129" spans="1:9" ht="15.6" x14ac:dyDescent="0.3">
      <c r="B129" s="129" t="s">
        <v>224</v>
      </c>
      <c r="C129" s="135">
        <v>0</v>
      </c>
      <c r="D129" s="127"/>
    </row>
    <row r="130" spans="1:9" ht="15.6" x14ac:dyDescent="0.3">
      <c r="B130" s="128" t="s">
        <v>225</v>
      </c>
      <c r="C130" s="135">
        <v>0</v>
      </c>
      <c r="D130" s="130"/>
    </row>
    <row r="131" spans="1:9" ht="15.6" x14ac:dyDescent="0.3">
      <c r="B131" s="128" t="s">
        <v>226</v>
      </c>
      <c r="C131" s="135">
        <v>0</v>
      </c>
      <c r="D131" s="131"/>
    </row>
    <row r="132" spans="1:9" ht="15.6" x14ac:dyDescent="0.3">
      <c r="B132" s="128" t="s">
        <v>227</v>
      </c>
      <c r="C132" s="135">
        <v>0</v>
      </c>
      <c r="D132" s="149" t="s">
        <v>250</v>
      </c>
      <c r="E132" s="141"/>
      <c r="F132" s="141"/>
      <c r="G132" s="141"/>
      <c r="H132" s="141"/>
      <c r="I132" s="141"/>
    </row>
    <row r="133" spans="1:9" ht="15.6" x14ac:dyDescent="0.3">
      <c r="A133" s="131" t="s">
        <v>201</v>
      </c>
      <c r="B133" s="127"/>
      <c r="C133" s="127"/>
      <c r="D133" s="132"/>
    </row>
    <row r="134" spans="1:9" ht="15.6" x14ac:dyDescent="0.3">
      <c r="A134" s="131"/>
      <c r="B134" s="127"/>
      <c r="C134" s="127"/>
      <c r="D134" s="132"/>
    </row>
    <row r="135" spans="1:9" ht="15" x14ac:dyDescent="0.25">
      <c r="B135" s="127"/>
      <c r="C135" s="127"/>
      <c r="D135" s="132"/>
    </row>
    <row r="136" spans="1:9" ht="15.6" x14ac:dyDescent="0.3">
      <c r="B136" s="133" t="s">
        <v>220</v>
      </c>
      <c r="C136" s="126"/>
      <c r="D136" s="132"/>
    </row>
    <row r="137" spans="1:9" ht="15.6" x14ac:dyDescent="0.3">
      <c r="B137" s="131"/>
      <c r="C137" s="126" t="s">
        <v>233</v>
      </c>
      <c r="D137" s="131" t="s">
        <v>232</v>
      </c>
    </row>
    <row r="138" spans="1:9" ht="15.6" x14ac:dyDescent="0.3">
      <c r="B138" s="128"/>
      <c r="C138" s="125"/>
      <c r="D138" s="130"/>
    </row>
    <row r="139" spans="1:9" ht="15.6" x14ac:dyDescent="0.3">
      <c r="B139" s="128" t="s">
        <v>228</v>
      </c>
      <c r="C139" s="134">
        <f>'CASH.FLOW'!AC137</f>
        <v>360281747.26361161</v>
      </c>
    </row>
    <row r="140" spans="1:9" ht="15" x14ac:dyDescent="0.25">
      <c r="B140" s="127"/>
      <c r="C140" s="127"/>
      <c r="D140" s="132"/>
    </row>
    <row r="141" spans="1:9" ht="15.6" x14ac:dyDescent="0.3">
      <c r="B141" s="128" t="s">
        <v>230</v>
      </c>
      <c r="C141" s="134">
        <f>'CASH.FLOW'!AA137</f>
        <v>-126833975.44954608</v>
      </c>
      <c r="D141" s="132"/>
    </row>
    <row r="142" spans="1:9" ht="15.6" x14ac:dyDescent="0.3">
      <c r="B142" s="128"/>
      <c r="C142" s="127"/>
      <c r="D142" s="132"/>
    </row>
    <row r="143" spans="1:9" ht="15.6" x14ac:dyDescent="0.3">
      <c r="B143" s="128" t="s">
        <v>229</v>
      </c>
      <c r="D143" s="134">
        <f>'CASH.FLOW'!$Y$137</f>
        <v>0</v>
      </c>
    </row>
    <row r="144" spans="1:9" ht="15.6" x14ac:dyDescent="0.3">
      <c r="B144" s="128"/>
      <c r="C144" s="127"/>
      <c r="D144" s="127"/>
    </row>
    <row r="145" spans="2:4" ht="15.6" x14ac:dyDescent="0.3">
      <c r="B145" s="128" t="s">
        <v>231</v>
      </c>
      <c r="C145" s="127"/>
      <c r="D145" s="134">
        <f>C141-D143</f>
        <v>-126833975.44954608</v>
      </c>
    </row>
    <row r="146" spans="2:4" ht="15.6" x14ac:dyDescent="0.3">
      <c r="B146" s="128"/>
      <c r="C146" s="127"/>
      <c r="D146" s="132"/>
    </row>
    <row r="147" spans="2:4" ht="15.6" x14ac:dyDescent="0.3">
      <c r="B147" s="128" t="s">
        <v>234</v>
      </c>
      <c r="C147" s="134">
        <f>'CASH.FLOW'!AE137</f>
        <v>233447771.81406549</v>
      </c>
      <c r="D147" s="127"/>
    </row>
    <row r="148" spans="2:4" ht="15" x14ac:dyDescent="0.25">
      <c r="B148" s="127"/>
      <c r="C148" s="127"/>
      <c r="D148" s="127"/>
    </row>
    <row r="149" spans="2:4" ht="15.6" x14ac:dyDescent="0.3">
      <c r="B149" s="128"/>
      <c r="C149" s="127"/>
      <c r="D149" s="132"/>
    </row>
    <row r="150" spans="2:4" ht="15.6" x14ac:dyDescent="0.3">
      <c r="B150" s="128" t="s">
        <v>259</v>
      </c>
      <c r="C150" s="126">
        <f>C147/STAND.PARAMS!C19</f>
        <v>7639.2477441691644</v>
      </c>
      <c r="D150" s="132"/>
    </row>
    <row r="151" spans="2:4" x14ac:dyDescent="0.25">
      <c r="B151" s="3"/>
      <c r="D151" s="2"/>
    </row>
    <row r="152" spans="2:4" ht="15.6" x14ac:dyDescent="0.3">
      <c r="D152" s="134"/>
    </row>
    <row r="159" spans="2:4" ht="15.6" x14ac:dyDescent="0.3">
      <c r="B159" s="131" t="s">
        <v>258</v>
      </c>
    </row>
    <row r="160" spans="2:4" ht="15.6" x14ac:dyDescent="0.3">
      <c r="B160" s="131" t="s">
        <v>260</v>
      </c>
    </row>
  </sheetData>
  <mergeCells count="28">
    <mergeCell ref="D114:I114"/>
    <mergeCell ref="D115:I115"/>
    <mergeCell ref="D126:I126"/>
    <mergeCell ref="D127:I127"/>
    <mergeCell ref="D132:I132"/>
    <mergeCell ref="D120:I120"/>
    <mergeCell ref="D121:I121"/>
    <mergeCell ref="D122:I122"/>
    <mergeCell ref="D71:I71"/>
    <mergeCell ref="D82:I82"/>
    <mergeCell ref="C2:G2"/>
    <mergeCell ref="D4:H4"/>
    <mergeCell ref="D6:H6"/>
    <mergeCell ref="D7:H7"/>
    <mergeCell ref="D8:H8"/>
    <mergeCell ref="D9:H9"/>
    <mergeCell ref="D10:H10"/>
    <mergeCell ref="D11:H11"/>
    <mergeCell ref="D12:H12"/>
    <mergeCell ref="F64:G64"/>
    <mergeCell ref="F65:G65"/>
    <mergeCell ref="F66:G66"/>
    <mergeCell ref="C17:D17"/>
    <mergeCell ref="F63:G63"/>
    <mergeCell ref="D13:H13"/>
    <mergeCell ref="D14:H14"/>
    <mergeCell ref="D15:H15"/>
    <mergeCell ref="F62:G62"/>
  </mergeCells>
  <printOptions horizontalCentered="1" gridLines="1"/>
  <pageMargins left="1" right="0.93" top="0.56999999999999995" bottom="0.56999999999999995" header="0" footer="0"/>
  <pageSetup scale="43" fitToHeight="2" orientation="landscape" horizontalDpi="0" verticalDpi="300" r:id="rId1"/>
  <headerFooter alignWithMargins="0"/>
  <rowBreaks count="1" manualBreakCount="1">
    <brk id="68" min="1" max="8" man="1"/>
  </rowBreaks>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print="0" autoFill="0" autoPict="0" macro="[0]!REINITIALIZE">
                <anchor moveWithCells="1">
                  <from>
                    <xdr:col>2</xdr:col>
                    <xdr:colOff>60960</xdr:colOff>
                    <xdr:row>157</xdr:row>
                    <xdr:rowOff>137160</xdr:rowOff>
                  </from>
                  <to>
                    <xdr:col>2</xdr:col>
                    <xdr:colOff>1684020</xdr:colOff>
                    <xdr:row>160</xdr:row>
                    <xdr:rowOff>137160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AG141"/>
  <sheetViews>
    <sheetView topLeftCell="P74" zoomScale="50" workbookViewId="0">
      <selection activeCell="T111" sqref="T111"/>
    </sheetView>
  </sheetViews>
  <sheetFormatPr defaultRowHeight="13.2" x14ac:dyDescent="0.25"/>
  <cols>
    <col min="1" max="1" width="25.6640625" customWidth="1"/>
    <col min="2" max="25" width="15.6640625" customWidth="1"/>
    <col min="26" max="31" width="20.6640625" customWidth="1"/>
    <col min="32" max="32" width="15.6640625" customWidth="1"/>
    <col min="33" max="33" width="29.88671875" customWidth="1"/>
  </cols>
  <sheetData>
    <row r="2" spans="2:32" x14ac:dyDescent="0.25">
      <c r="B2" s="1"/>
      <c r="AF2" s="1"/>
    </row>
    <row r="3" spans="2:32" x14ac:dyDescent="0.2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2:32" x14ac:dyDescent="0.25">
      <c r="B4" s="1"/>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1"/>
    </row>
    <row r="5" spans="2:32" x14ac:dyDescent="0.25">
      <c r="B5" s="1"/>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1"/>
    </row>
    <row r="6" spans="2:32" x14ac:dyDescent="0.25">
      <c r="B6" s="1"/>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1"/>
    </row>
    <row r="7" spans="2:32" x14ac:dyDescent="0.25">
      <c r="B7" s="1"/>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1"/>
    </row>
    <row r="8" spans="2:32" x14ac:dyDescent="0.25">
      <c r="B8" s="1"/>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1"/>
    </row>
    <row r="9" spans="2:32" x14ac:dyDescent="0.25">
      <c r="B9" s="1"/>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1"/>
    </row>
    <row r="10" spans="2:32" x14ac:dyDescent="0.25">
      <c r="B10" s="1"/>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1"/>
    </row>
    <row r="11" spans="2:32" x14ac:dyDescent="0.25">
      <c r="B11" s="1"/>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1"/>
    </row>
    <row r="12" spans="2:32" x14ac:dyDescent="0.25">
      <c r="B12" s="1"/>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1"/>
    </row>
    <row r="13" spans="2:32" x14ac:dyDescent="0.25">
      <c r="B13" s="1"/>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1"/>
    </row>
    <row r="14" spans="2:32" x14ac:dyDescent="0.25">
      <c r="B14" s="1"/>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1"/>
    </row>
    <row r="15" spans="2:32" x14ac:dyDescent="0.25">
      <c r="B15" s="1"/>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1"/>
    </row>
    <row r="16" spans="2:32" x14ac:dyDescent="0.25">
      <c r="B16" s="1"/>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1"/>
    </row>
    <row r="17" spans="2:32" x14ac:dyDescent="0.25">
      <c r="B17" s="1"/>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1"/>
    </row>
    <row r="18" spans="2:32" x14ac:dyDescent="0.25">
      <c r="B18" s="1"/>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1"/>
    </row>
    <row r="19" spans="2:32" x14ac:dyDescent="0.25">
      <c r="B19" s="1"/>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1"/>
    </row>
    <row r="20" spans="2:32" x14ac:dyDescent="0.25">
      <c r="B20" s="1"/>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1"/>
    </row>
    <row r="21" spans="2:32" x14ac:dyDescent="0.25">
      <c r="B21" s="1"/>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1"/>
    </row>
    <row r="22" spans="2:32" x14ac:dyDescent="0.25">
      <c r="B22" s="1"/>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1"/>
    </row>
    <row r="23" spans="2:32" x14ac:dyDescent="0.25">
      <c r="B23" s="1"/>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1"/>
    </row>
    <row r="24" spans="2:32" x14ac:dyDescent="0.25">
      <c r="B24" s="1"/>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1"/>
    </row>
    <row r="25" spans="2:32" x14ac:dyDescent="0.25">
      <c r="B25" s="1"/>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1"/>
    </row>
    <row r="26" spans="2:32" x14ac:dyDescent="0.25">
      <c r="B26" s="1"/>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1"/>
    </row>
    <row r="27" spans="2:32" x14ac:dyDescent="0.25">
      <c r="B27" s="1"/>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1"/>
    </row>
    <row r="28" spans="2:32" x14ac:dyDescent="0.25">
      <c r="B28" s="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1"/>
    </row>
    <row r="29" spans="2:32" x14ac:dyDescent="0.25">
      <c r="B29" s="1"/>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1"/>
    </row>
    <row r="30" spans="2:32" x14ac:dyDescent="0.25">
      <c r="B30" s="1"/>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1"/>
    </row>
    <row r="31" spans="2:32" x14ac:dyDescent="0.25">
      <c r="B31" s="1"/>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1"/>
    </row>
    <row r="32" spans="2:32" x14ac:dyDescent="0.25">
      <c r="B32" s="1"/>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1"/>
    </row>
    <row r="33" spans="2:32" x14ac:dyDescent="0.25">
      <c r="B33" s="1"/>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1"/>
    </row>
    <row r="34" spans="2:32" x14ac:dyDescent="0.25">
      <c r="B34" s="1"/>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1"/>
    </row>
    <row r="35" spans="2:32" x14ac:dyDescent="0.25">
      <c r="B35" s="1"/>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1"/>
    </row>
    <row r="36" spans="2:32" x14ac:dyDescent="0.25">
      <c r="B36" s="1"/>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1"/>
    </row>
    <row r="37" spans="2:32" x14ac:dyDescent="0.25">
      <c r="B37" s="1"/>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1"/>
    </row>
    <row r="38" spans="2:32" x14ac:dyDescent="0.25">
      <c r="B38" s="1"/>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1"/>
    </row>
    <row r="39" spans="2:32" x14ac:dyDescent="0.25">
      <c r="B39" s="1"/>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1"/>
    </row>
    <row r="40" spans="2:32" x14ac:dyDescent="0.25">
      <c r="B40" s="1"/>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1"/>
    </row>
    <row r="41" spans="2:32" x14ac:dyDescent="0.25">
      <c r="B41" s="1"/>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1"/>
    </row>
    <row r="42" spans="2:32" x14ac:dyDescent="0.25">
      <c r="B42" s="1"/>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1"/>
    </row>
    <row r="43" spans="2:32" x14ac:dyDescent="0.25">
      <c r="B43" s="1"/>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1"/>
    </row>
    <row r="44" spans="2:32" x14ac:dyDescent="0.25">
      <c r="B44" s="1"/>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1"/>
    </row>
    <row r="45" spans="2:32" x14ac:dyDescent="0.25">
      <c r="B45" s="1"/>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1"/>
    </row>
    <row r="46" spans="2:32" x14ac:dyDescent="0.25">
      <c r="B46" s="1"/>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1"/>
    </row>
    <row r="47" spans="2:32" x14ac:dyDescent="0.25">
      <c r="B47" s="1"/>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1"/>
    </row>
    <row r="48" spans="2:32" x14ac:dyDescent="0.25">
      <c r="B48" s="1"/>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1"/>
    </row>
    <row r="49" spans="2:32" x14ac:dyDescent="0.25">
      <c r="B49" s="1"/>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1"/>
    </row>
    <row r="50" spans="2:32" x14ac:dyDescent="0.25">
      <c r="B50" s="1"/>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1"/>
    </row>
    <row r="51" spans="2:32" x14ac:dyDescent="0.25">
      <c r="B51" s="1"/>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1"/>
    </row>
    <row r="52" spans="2:32" x14ac:dyDescent="0.25">
      <c r="B52" s="1"/>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1"/>
    </row>
    <row r="53" spans="2:32" x14ac:dyDescent="0.25">
      <c r="B53" s="1"/>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1"/>
    </row>
    <row r="54" spans="2:32" x14ac:dyDescent="0.25">
      <c r="B54" s="1"/>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1"/>
    </row>
    <row r="55" spans="2:32" x14ac:dyDescent="0.25">
      <c r="B55" s="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1"/>
    </row>
    <row r="56" spans="2:32" x14ac:dyDescent="0.25">
      <c r="B56" s="1"/>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1"/>
    </row>
    <row r="57" spans="2:32" x14ac:dyDescent="0.25">
      <c r="B57" s="1"/>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1"/>
    </row>
    <row r="58" spans="2:32" x14ac:dyDescent="0.25">
      <c r="B58" s="1"/>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1"/>
    </row>
    <row r="71" spans="1:33" x14ac:dyDescent="0.25">
      <c r="A71" s="1"/>
    </row>
    <row r="72" spans="1:33" x14ac:dyDescent="0.25">
      <c r="A72" s="80"/>
    </row>
    <row r="73" spans="1:33" x14ac:dyDescent="0.25">
      <c r="A73" s="80"/>
    </row>
    <row r="74" spans="1:33" ht="13.8" thickBot="1" x14ac:dyDescent="0.3">
      <c r="A74" s="80"/>
    </row>
    <row r="75" spans="1:33" x14ac:dyDescent="0.25">
      <c r="A75" s="80"/>
      <c r="B75" s="106"/>
      <c r="C75" s="155" t="s">
        <v>208</v>
      </c>
      <c r="D75" s="155"/>
      <c r="E75" s="155"/>
      <c r="F75" s="155"/>
      <c r="G75" s="155"/>
      <c r="H75" s="155"/>
      <c r="I75" s="155"/>
      <c r="J75" s="155"/>
      <c r="K75" s="155"/>
      <c r="L75" s="155"/>
      <c r="M75" s="155"/>
      <c r="N75" s="155"/>
      <c r="O75" s="156"/>
      <c r="P75" s="157" t="s">
        <v>209</v>
      </c>
      <c r="Q75" s="155"/>
      <c r="R75" s="155"/>
      <c r="S75" s="155"/>
      <c r="T75" s="155"/>
      <c r="U75" s="155"/>
      <c r="V75" s="155"/>
      <c r="W75" s="155"/>
      <c r="X75" s="155"/>
      <c r="Y75" s="155"/>
      <c r="Z75" s="155"/>
      <c r="AA75" s="124" t="s">
        <v>173</v>
      </c>
      <c r="AB75" s="124"/>
      <c r="AC75" s="124" t="s">
        <v>33</v>
      </c>
      <c r="AD75" s="124"/>
      <c r="AE75" s="124" t="s">
        <v>172</v>
      </c>
      <c r="AF75" s="107"/>
      <c r="AG75" s="119"/>
    </row>
    <row r="76" spans="1:33" x14ac:dyDescent="0.25">
      <c r="A76" s="80"/>
      <c r="B76" s="9" t="s">
        <v>38</v>
      </c>
      <c r="C76" s="150" t="s">
        <v>188</v>
      </c>
      <c r="D76" s="151"/>
      <c r="E76" s="151"/>
      <c r="F76" s="151"/>
      <c r="G76" s="151"/>
      <c r="H76" s="151"/>
      <c r="I76" s="151"/>
      <c r="J76" s="151"/>
      <c r="K76" s="151"/>
      <c r="L76" s="151"/>
      <c r="M76" s="151"/>
      <c r="N76" s="10" t="s">
        <v>202</v>
      </c>
      <c r="O76" s="11" t="s">
        <v>202</v>
      </c>
      <c r="P76" s="152" t="s">
        <v>31</v>
      </c>
      <c r="Q76" s="153"/>
      <c r="R76" s="154" t="s">
        <v>175</v>
      </c>
      <c r="S76" s="152"/>
      <c r="T76" s="152"/>
      <c r="U76" s="152"/>
      <c r="V76" s="152"/>
      <c r="W76" s="152"/>
      <c r="X76" s="152"/>
      <c r="Y76" s="109" t="s">
        <v>202</v>
      </c>
      <c r="Z76" s="84" t="s">
        <v>55</v>
      </c>
      <c r="AA76" s="84" t="s">
        <v>182</v>
      </c>
      <c r="AB76" s="84" t="s">
        <v>55</v>
      </c>
      <c r="AC76" s="84" t="s">
        <v>182</v>
      </c>
      <c r="AD76" s="84"/>
      <c r="AE76" s="84" t="s">
        <v>182</v>
      </c>
      <c r="AF76" s="10" t="s">
        <v>38</v>
      </c>
      <c r="AG76" s="120" t="s">
        <v>205</v>
      </c>
    </row>
    <row r="77" spans="1:33" x14ac:dyDescent="0.25">
      <c r="B77" s="9" t="s">
        <v>39</v>
      </c>
      <c r="C77" s="10" t="s">
        <v>131</v>
      </c>
      <c r="D77" s="10" t="s">
        <v>163</v>
      </c>
      <c r="E77" s="10" t="s">
        <v>42</v>
      </c>
      <c r="F77" s="10" t="s">
        <v>164</v>
      </c>
      <c r="G77" s="10" t="s">
        <v>165</v>
      </c>
      <c r="H77" s="10" t="s">
        <v>166</v>
      </c>
      <c r="I77" s="10" t="s">
        <v>167</v>
      </c>
      <c r="J77" s="10" t="s">
        <v>168</v>
      </c>
      <c r="K77" s="10" t="s">
        <v>40</v>
      </c>
      <c r="L77" s="10" t="s">
        <v>41</v>
      </c>
      <c r="M77" s="10" t="s">
        <v>169</v>
      </c>
      <c r="N77" s="10" t="s">
        <v>170</v>
      </c>
      <c r="O77" s="11" t="s">
        <v>171</v>
      </c>
      <c r="P77" s="10" t="s">
        <v>170</v>
      </c>
      <c r="Q77" s="33" t="s">
        <v>171</v>
      </c>
      <c r="R77" s="98" t="s">
        <v>246</v>
      </c>
      <c r="S77" s="84" t="s">
        <v>177</v>
      </c>
      <c r="T77" s="84" t="s">
        <v>178</v>
      </c>
      <c r="U77" s="10" t="s">
        <v>179</v>
      </c>
      <c r="V77" s="84" t="s">
        <v>180</v>
      </c>
      <c r="W77" s="10" t="s">
        <v>181</v>
      </c>
      <c r="X77" s="10" t="s">
        <v>199</v>
      </c>
      <c r="Y77" s="33" t="s">
        <v>173</v>
      </c>
      <c r="Z77" s="10" t="s">
        <v>173</v>
      </c>
      <c r="AA77" s="10" t="s">
        <v>183</v>
      </c>
      <c r="AB77" s="10" t="s">
        <v>33</v>
      </c>
      <c r="AC77" s="10" t="s">
        <v>183</v>
      </c>
      <c r="AD77" s="10" t="s">
        <v>172</v>
      </c>
      <c r="AE77" s="10" t="s">
        <v>183</v>
      </c>
      <c r="AF77" s="10" t="s">
        <v>39</v>
      </c>
      <c r="AG77" s="120" t="s">
        <v>206</v>
      </c>
    </row>
    <row r="78" spans="1:33" x14ac:dyDescent="0.25">
      <c r="B78" s="9">
        <v>-2</v>
      </c>
      <c r="C78" s="72">
        <f>IF(IO.CONTROL!$C$14&gt;$B78,0,STAND.PARAMS!$K$166*IO.CONTROL!$F$19)</f>
        <v>0</v>
      </c>
      <c r="D78" s="72">
        <f>IF(IO.CONTROL!$C$14&gt;$B78,0,STAND.PARAMS!$K$166*IO.CONTROL!$F$20)</f>
        <v>0</v>
      </c>
      <c r="E78" s="72">
        <f>IF(IO.CONTROL!$C$14&gt;$B78,0,(VLOOKUP($B78-IO.CONTROL!$C$14,STAND.PARAMS!$K$209:$U$264,7)+VLOOKUP($B78-IO.CONTROL!$C$14,STAND.PARAMS!$K$209:$U$264,8)+VLOOKUP($B78-IO.CONTROL!$C$14,STAND.PARAMS!$K$209:$U$264,9)+VLOOKUP($B78-IO.CONTROL!$C$14,STAND.PARAMS!$K$209:$U$264,10)+VLOOKUP($B78-IO.CONTROL!$C$14,STAND.PARAMS!$K$209:$U$264,11))*IO.CONTROL!$F$21)</f>
        <v>0</v>
      </c>
      <c r="F78" s="72">
        <f>IF(IO.CONTROL!$C$14&gt;$B78,0,VLOOKUP($B78-IO.CONTROL!$C$14,STAND.PARAMS!$K$209:$U$264,6)*IO.CONTROL!$F$22)</f>
        <v>0</v>
      </c>
      <c r="G78" s="72">
        <f>IF(IO.CONTROL!$C$14&gt;$B78,0,(STAND.PARAMS!$C$19/IO.CONTROL!$C$10)*10*IO.CONTROL!$F$23)</f>
        <v>0</v>
      </c>
      <c r="H78" s="72">
        <f>IF(IO.CONTROL!$C$14&gt;$B78,0,(STAND.PARAMS!$C$19-(STAND.PARAMS!$C$19/IO.CONTROL!$C$10)*10)*IO.CONTROL!$F$24)</f>
        <v>0</v>
      </c>
      <c r="I78" s="72">
        <f>IF(IO.CONTROL!$C$14&gt;$B78,0,(VLOOKUP($B78-IO.CONTROL!$C$14,STAND.PARAMS!$K$209:$U$264,3)*IO.CONTROL!$F$26+VLOOKUP($B78-IO.CONTROL!$C$14,STAND.PARAMS!$K$209:$U$264,4)*IO.CONTROL!$F$27+VLOOKUP($B78-IO.CONTROL!$C$14,STAND.PARAMS!$K$209:$U$264,5)*IO.CONTROL!$F$28+VLOOKUP($B78-IO.CONTROL!$C$14,STAND.PARAMS!$K$209:$U$264,6)*IO.CONTROL!$F$29))</f>
        <v>0</v>
      </c>
      <c r="J78" s="72">
        <f>IF(IO.CONTROL!$C$14&gt;$B78,0,(VLOOKUP($B78-IO.CONTROL!$C$14,STAND.PARAMS!$K$209:$U$264,3)*IO.CONTROL!$F$31+VLOOKUP($B78-IO.CONTROL!$C$14,STAND.PARAMS!$K$209:$U$264,4)*IO.CONTROL!$F$32+VLOOKUP($B78-IO.CONTROL!$C$14,STAND.PARAMS!$K$209:$U$264,5)*IO.CONTROL!$F$33+VLOOKUP($B78-IO.CONTROL!$C$14,STAND.PARAMS!$K$209:$U$264,6)*IO.CONTROL!$F$34))</f>
        <v>0</v>
      </c>
      <c r="K78" s="72">
        <f>IF(IO.CONTROL!$C$14&gt;$B78,0,(VLOOKUP($B78-IO.CONTROL!$C$14,STAND.PARAMS!$K$209:$U$264,8)*IO.CONTROL!$F$36+VLOOKUP($B78-IO.CONTROL!$C$14,STAND.PARAMS!$K$209:$U$264,9)*IO.CONTROL!$F$37+VLOOKUP($B78-IO.CONTROL!$C$14,STAND.PARAMS!$K$209:$U$264,10)*IO.CONTROL!$F$38+VLOOKUP($B78-IO.CONTROL!$C$14,STAND.PARAMS!$K$209:$U$264,11)*IO.CONTROL!$F$39))</f>
        <v>0</v>
      </c>
      <c r="L78" s="72">
        <f>IF(IO.CONTROL!$C$14&gt;$B78,0,(VLOOKUP($B78-IO.CONTROL!$C$14,STAND.PARAMS!$K$209:$U$264,2)*IO.CONTROL!$F$41+VLOOKUP($B78-IO.CONTROL!$C$14,STAND.PARAMS!$K$209:$U$264,3)*IO.CONTROL!$F$42+VLOOKUP($B78-IO.CONTROL!$C$14,STAND.PARAMS!$K$209:$U$264,4)*IO.CONTROL!$F$43+VLOOKUP($B78-IO.CONTROL!$C$14,STAND.PARAMS!$K$209:$U$264,5)*IO.CONTROL!$F$44+VLOOKUP($B78-IO.CONTROL!$C$14,STAND.PARAMS!$K$209:$U$264,6)*IO.CONTROL!$F$45))</f>
        <v>0</v>
      </c>
      <c r="M78" s="72">
        <f>IF(IO.CONTROL!$C$14&gt;$B78,0,((VLOOKUP($B78-IO.CONTROL!$C$14,STAND.PARAMS!$K$209:$U$264,7)*IO.CONTROL!$F$53*IO.CONTROL!$F$45+VLOOKUP($B78-IO.CONTROL!$C$14,STAND.PARAMS!$K$209:$U$264,8)*IO.CONTROL!$F$54*IO.CONTROL!$F$46+VLOOKUP($B78-IO.CONTROL!$C$14,STAND.PARAMS!$K$209:$U$264,9)*IO.CONTROL!$F$55*IO.CONTROL!$F$47+VLOOKUP($B78-IO.CONTROL!$C$14,STAND.PARAMS!$K$209:$U$264,10)*IO.CONTROL!$F$56*IO.CONTROL!$F$48+VLOOKUP($B78-IO.CONTROL!$C$14,STAND.PARAMS!$K$209:$U$264,11)*IO.CONTROL!$F$57*IO.CONTROL!$F$49)))</f>
        <v>0</v>
      </c>
      <c r="N78" s="72">
        <f>SUM(C78:M78)</f>
        <v>0</v>
      </c>
      <c r="O78" s="73">
        <f>IF(IO.CONTROL!$C$14&gt;$B78,0,((VLOOKUP($B78-IO.CONTROL!$C$14,STAND.PARAMS!$K$209:$U$264,7)*IO.CONTROL!$F$53+VLOOKUP($B78-IO.CONTROL!$C$14,STAND.PARAMS!$K$209:$U$264,8)*IO.CONTROL!$F$54+VLOOKUP($B78-IO.CONTROL!$C$14,STAND.PARAMS!$K$209:$U$264,9)*IO.CONTROL!$F$55+VLOOKUP($B78-IO.CONTROL!$C$14,STAND.PARAMS!$K$209:$U$264,10)*IO.CONTROL!$F$56+VLOOKUP($B78-IO.CONTROL!$C$14,STAND.PARAMS!$K$209:$U$264,11)*IO.CONTROL!$F$57)))</f>
        <v>0</v>
      </c>
      <c r="P78" s="72">
        <f>-IO.CONTROL!E62</f>
        <v>-1360655</v>
      </c>
      <c r="Q78" s="110">
        <f>IO.CONTROL!D62</f>
        <v>7356855</v>
      </c>
      <c r="R78" s="114">
        <f>-IO.CONTROL!D84</f>
        <v>0</v>
      </c>
      <c r="S78" s="72">
        <f>-IO.CONTROL!E84</f>
        <v>0</v>
      </c>
      <c r="T78" s="72">
        <f>-IO.CONTROL!F84</f>
        <v>0</v>
      </c>
      <c r="U78" s="72">
        <f>-IO.CONTROL!G84</f>
        <v>0</v>
      </c>
      <c r="V78" s="72">
        <f>-IO.CONTROL!H84</f>
        <v>0</v>
      </c>
      <c r="W78" s="72">
        <f>-IO.CONTROL!I84</f>
        <v>0</v>
      </c>
      <c r="X78" s="72">
        <f>-IO.CONTROL!D104</f>
        <v>0</v>
      </c>
      <c r="Y78" s="110">
        <f>SUM(R78:X78)</f>
        <v>0</v>
      </c>
      <c r="Z78" s="72">
        <f>P78+Y78</f>
        <v>-1360655</v>
      </c>
      <c r="AA78" s="72">
        <f>Z78/(1+IO.CONTROL!$C$13)^AF78</f>
        <v>-1557813.9095000001</v>
      </c>
      <c r="AB78" s="72">
        <f>Q78</f>
        <v>7356855</v>
      </c>
      <c r="AC78" s="72">
        <f>AB78/(1+IO.CONTROL!$C$13)^AF78</f>
        <v>8422863.2895</v>
      </c>
      <c r="AD78" s="72">
        <f>Z78+AB78</f>
        <v>5996200</v>
      </c>
      <c r="AE78" s="72">
        <f>AD78/(1+IO.CONTROL!$C$13)^B78</f>
        <v>6865049.3800000008</v>
      </c>
      <c r="AF78" s="10">
        <v>-2</v>
      </c>
      <c r="AG78" s="121"/>
    </row>
    <row r="79" spans="1:33" x14ac:dyDescent="0.25">
      <c r="B79" s="9">
        <v>-1</v>
      </c>
      <c r="C79" s="72">
        <f>IF(IO.CONTROL!$C$14&gt;$B79,0,STAND.PARAMS!$K$166*IO.CONTROL!$F$19)</f>
        <v>0</v>
      </c>
      <c r="D79" s="72">
        <f>IF(IO.CONTROL!$C$14&gt;$B79,0,STAND.PARAMS!$K$166*IO.CONTROL!$F$20)</f>
        <v>0</v>
      </c>
      <c r="E79" s="72">
        <f>IF(IO.CONTROL!$C$14&gt;$B79,0,(VLOOKUP($B79-IO.CONTROL!$C$14,STAND.PARAMS!$K$209:$U$264,7)+VLOOKUP($B79-IO.CONTROL!$C$14,STAND.PARAMS!$K$209:$U$264,8)+VLOOKUP($B79-IO.CONTROL!$C$14,STAND.PARAMS!$K$209:$U$264,9)+VLOOKUP($B79-IO.CONTROL!$C$14,STAND.PARAMS!$K$209:$U$264,10)+VLOOKUP($B79-IO.CONTROL!$C$14,STAND.PARAMS!$K$209:$U$264,11))*IO.CONTROL!$F$21)</f>
        <v>0</v>
      </c>
      <c r="F79" s="72">
        <f>IF(IO.CONTROL!$C$14&gt;$B79,0,VLOOKUP($B79-IO.CONTROL!$C$14,STAND.PARAMS!$K$209:$U$264,6)*IO.CONTROL!$F$22)</f>
        <v>0</v>
      </c>
      <c r="G79" s="72">
        <f>IF(IO.CONTROL!$C$14&gt;$B79,0,(STAND.PARAMS!$C$19/IO.CONTROL!$C$10)*10*IO.CONTROL!$F$23)</f>
        <v>0</v>
      </c>
      <c r="H79" s="72">
        <f>IF(IO.CONTROL!$C$14&gt;$B79,0,(STAND.PARAMS!$C$19-(STAND.PARAMS!$C$19/IO.CONTROL!$C$10)*10)*IO.CONTROL!$F$24)</f>
        <v>0</v>
      </c>
      <c r="I79" s="72">
        <f>IF(IO.CONTROL!$C$14&gt;$B79,0,(VLOOKUP($B79-IO.CONTROL!$C$14,STAND.PARAMS!$K$209:$U$264,3)*IO.CONTROL!$F$26+VLOOKUP($B79-IO.CONTROL!$C$14,STAND.PARAMS!$K$209:$U$264,4)*IO.CONTROL!$F$27+VLOOKUP($B79-IO.CONTROL!$C$14,STAND.PARAMS!$K$209:$U$264,5)*IO.CONTROL!$F$28+VLOOKUP($B79-IO.CONTROL!$C$14,STAND.PARAMS!$K$209:$U$264,6)*IO.CONTROL!$F$29))</f>
        <v>0</v>
      </c>
      <c r="J79" s="72">
        <f>IF(IO.CONTROL!$C$14&gt;$B79,0,(VLOOKUP($B79-IO.CONTROL!$C$14,STAND.PARAMS!$K$209:$U$264,3)*IO.CONTROL!$F$31+VLOOKUP($B79-IO.CONTROL!$C$14,STAND.PARAMS!$K$209:$U$264,4)*IO.CONTROL!$F$32+VLOOKUP($B79-IO.CONTROL!$C$14,STAND.PARAMS!$K$209:$U$264,5)*IO.CONTROL!$F$33+VLOOKUP($B79-IO.CONTROL!$C$14,STAND.PARAMS!$K$209:$U$264,6)*IO.CONTROL!$F$34))</f>
        <v>0</v>
      </c>
      <c r="K79" s="72">
        <f>IF(IO.CONTROL!$C$14&gt;$B79,0,(VLOOKUP($B79-IO.CONTROL!$C$14,STAND.PARAMS!$K$209:$U$264,8)*IO.CONTROL!$F$36+VLOOKUP($B79-IO.CONTROL!$C$14,STAND.PARAMS!$K$209:$U$264,9)*IO.CONTROL!$F$37+VLOOKUP($B79-IO.CONTROL!$C$14,STAND.PARAMS!$K$209:$U$264,10)*IO.CONTROL!$F$38+VLOOKUP($B79-IO.CONTROL!$C$14,STAND.PARAMS!$K$209:$U$264,11)*IO.CONTROL!$F$39))</f>
        <v>0</v>
      </c>
      <c r="L79" s="72">
        <f>IF(IO.CONTROL!$C$14&gt;$B79,0,(VLOOKUP($B79-IO.CONTROL!$C$14,STAND.PARAMS!$K$209:$U$264,2)*IO.CONTROL!$F$41+VLOOKUP($B79-IO.CONTROL!$C$14,STAND.PARAMS!$K$209:$U$264,3)*IO.CONTROL!$F$42+VLOOKUP($B79-IO.CONTROL!$C$14,STAND.PARAMS!$K$209:$U$264,4)*IO.CONTROL!$F$43+VLOOKUP($B79-IO.CONTROL!$C$14,STAND.PARAMS!$K$209:$U$264,5)*IO.CONTROL!$F$44+VLOOKUP($B79-IO.CONTROL!$C$14,STAND.PARAMS!$K$209:$U$264,6)*IO.CONTROL!$F$45))</f>
        <v>0</v>
      </c>
      <c r="M79" s="72">
        <f>IF(IO.CONTROL!$C$14&gt;$B79,0,((VLOOKUP($B79-IO.CONTROL!$C$14,STAND.PARAMS!$K$209:$U$264,7)*IO.CONTROL!$F$53*IO.CONTROL!$F$45+VLOOKUP($B79-IO.CONTROL!$C$14,STAND.PARAMS!$K$209:$U$264,8)*IO.CONTROL!$F$54*IO.CONTROL!$F$46+VLOOKUP($B79-IO.CONTROL!$C$14,STAND.PARAMS!$K$209:$U$264,9)*IO.CONTROL!$F$55*IO.CONTROL!$F$47+VLOOKUP($B79-IO.CONTROL!$C$14,STAND.PARAMS!$K$209:$U$264,10)*IO.CONTROL!$F$56*IO.CONTROL!$F$48+VLOOKUP($B79-IO.CONTROL!$C$14,STAND.PARAMS!$K$209:$U$264,11)*IO.CONTROL!$F$57*IO.CONTROL!$F$49)))</f>
        <v>0</v>
      </c>
      <c r="N79" s="72">
        <f t="shared" ref="N79:N124" si="0">SUM(C79:M79)</f>
        <v>0</v>
      </c>
      <c r="O79" s="73">
        <f>IF(IO.CONTROL!$C$14&gt;$B79,0,((VLOOKUP($B79-IO.CONTROL!$C$14,STAND.PARAMS!$K$209:$U$264,7)*IO.CONTROL!$F$53+VLOOKUP($B79-IO.CONTROL!$C$14,STAND.PARAMS!$K$209:$U$264,8)*IO.CONTROL!$F$54+VLOOKUP($B79-IO.CONTROL!$C$14,STAND.PARAMS!$K$209:$U$264,9)*IO.CONTROL!$F$55+VLOOKUP($B79-IO.CONTROL!$C$14,STAND.PARAMS!$K$209:$U$264,10)*IO.CONTROL!$F$56+VLOOKUP($B79-IO.CONTROL!$C$14,STAND.PARAMS!$K$209:$U$264,11)*IO.CONTROL!$F$57)))</f>
        <v>0</v>
      </c>
      <c r="P79" s="72">
        <f>-IO.CONTROL!E63</f>
        <v>-985158</v>
      </c>
      <c r="Q79" s="110">
        <f>IO.CONTROL!D63</f>
        <v>7922312</v>
      </c>
      <c r="R79" s="114">
        <f>-IO.CONTROL!D85</f>
        <v>0</v>
      </c>
      <c r="S79" s="72">
        <f>-IO.CONTROL!E85</f>
        <v>0</v>
      </c>
      <c r="T79" s="72">
        <f>-IO.CONTROL!F85</f>
        <v>0</v>
      </c>
      <c r="U79" s="72">
        <f>-IO.CONTROL!G85</f>
        <v>0</v>
      </c>
      <c r="V79" s="72">
        <f>-IO.CONTROL!H85</f>
        <v>0</v>
      </c>
      <c r="W79" s="72">
        <f>-IO.CONTROL!I85</f>
        <v>0</v>
      </c>
      <c r="X79" s="72">
        <f>-IO.CONTROL!D105</f>
        <v>0</v>
      </c>
      <c r="Y79" s="110">
        <f>SUM(R79:X79)</f>
        <v>0</v>
      </c>
      <c r="Z79" s="72">
        <f t="shared" ref="Z79:Z124" si="1">P79+Y79</f>
        <v>-985158</v>
      </c>
      <c r="AA79" s="72">
        <f>Z79/(1+IO.CONTROL!$C$13)^AF79</f>
        <v>-1054119.06</v>
      </c>
      <c r="AB79" s="72">
        <f t="shared" ref="AB79:AB124" si="2">Q79</f>
        <v>7922312</v>
      </c>
      <c r="AC79" s="72">
        <f>AB79/(1+IO.CONTROL!$C$13)^AF79</f>
        <v>8476873.8399999999</v>
      </c>
      <c r="AD79" s="72">
        <f t="shared" ref="AD79:AD124" si="3">Z79+AB79</f>
        <v>6937154</v>
      </c>
      <c r="AE79" s="72">
        <f>AD79/(1+IO.CONTROL!$C$13)^B79</f>
        <v>7422754.7800000003</v>
      </c>
      <c r="AF79" s="10">
        <v>-1</v>
      </c>
      <c r="AG79" s="121"/>
    </row>
    <row r="80" spans="1:33" x14ac:dyDescent="0.25">
      <c r="A80" s="80"/>
      <c r="B80" s="9">
        <v>0</v>
      </c>
      <c r="C80" s="72">
        <f>IF(IO.CONTROL!$C$14&gt;$B80,0,STAND.PARAMS!$K$166*IO.CONTROL!$F$19)</f>
        <v>0</v>
      </c>
      <c r="D80" s="72">
        <f>IF(IO.CONTROL!$C$14&gt;$B80,0,STAND.PARAMS!$K$166*IO.CONTROL!$F$20)</f>
        <v>0</v>
      </c>
      <c r="E80" s="72">
        <f>IF(IO.CONTROL!$C$14&gt;$B80,0,(VLOOKUP($B80-IO.CONTROL!$C$14,STAND.PARAMS!$K$209:$U$264,7)+VLOOKUP($B80-IO.CONTROL!$C$14,STAND.PARAMS!$K$209:$U$264,8)+VLOOKUP($B80-IO.CONTROL!$C$14,STAND.PARAMS!$K$209:$U$264,9)+VLOOKUP($B80-IO.CONTROL!$C$14,STAND.PARAMS!$K$209:$U$264,10)+VLOOKUP($B80-IO.CONTROL!$C$14,STAND.PARAMS!$K$209:$U$264,11))*IO.CONTROL!$F$21)</f>
        <v>0</v>
      </c>
      <c r="F80" s="72">
        <f>IF(IO.CONTROL!$C$14&gt;$B80,0,VLOOKUP($B80-IO.CONTROL!$C$14,STAND.PARAMS!$K$209:$U$264,6)*IO.CONTROL!$F$22)</f>
        <v>0</v>
      </c>
      <c r="G80" s="72">
        <f>IF(IO.CONTROL!$C$14&gt;$B80,0,(STAND.PARAMS!$C$19/IO.CONTROL!$C$10)*10*IO.CONTROL!$F$23)</f>
        <v>0</v>
      </c>
      <c r="H80" s="72">
        <f>IF(IO.CONTROL!$C$14&gt;$B80,0,(STAND.PARAMS!$C$19-(STAND.PARAMS!$C$19/IO.CONTROL!$C$10)*10)*IO.CONTROL!$F$24)</f>
        <v>0</v>
      </c>
      <c r="I80" s="72">
        <f>IF(IO.CONTROL!$C$14&gt;$B80,0,(VLOOKUP($B80-IO.CONTROL!$C$14,STAND.PARAMS!$K$209:$U$264,3)*IO.CONTROL!$F$26+VLOOKUP($B80-IO.CONTROL!$C$14,STAND.PARAMS!$K$209:$U$264,4)*IO.CONTROL!$F$27+VLOOKUP($B80-IO.CONTROL!$C$14,STAND.PARAMS!$K$209:$U$264,5)*IO.CONTROL!$F$28+VLOOKUP($B80-IO.CONTROL!$C$14,STAND.PARAMS!$K$209:$U$264,6)*IO.CONTROL!$F$29))</f>
        <v>0</v>
      </c>
      <c r="J80" s="72">
        <f>IF(IO.CONTROL!$C$14&gt;$B80,0,(VLOOKUP($B80-IO.CONTROL!$C$14,STAND.PARAMS!$K$209:$U$264,3)*IO.CONTROL!$F$31+VLOOKUP($B80-IO.CONTROL!$C$14,STAND.PARAMS!$K$209:$U$264,4)*IO.CONTROL!$F$32+VLOOKUP($B80-IO.CONTROL!$C$14,STAND.PARAMS!$K$209:$U$264,5)*IO.CONTROL!$F$33+VLOOKUP($B80-IO.CONTROL!$C$14,STAND.PARAMS!$K$209:$U$264,6)*IO.CONTROL!$F$34))</f>
        <v>0</v>
      </c>
      <c r="K80" s="72">
        <f>IF(IO.CONTROL!$C$14&gt;$B80,0,(VLOOKUP($B80-IO.CONTROL!$C$14,STAND.PARAMS!$K$209:$U$264,8)*IO.CONTROL!$F$36+VLOOKUP($B80-IO.CONTROL!$C$14,STAND.PARAMS!$K$209:$U$264,9)*IO.CONTROL!$F$37+VLOOKUP($B80-IO.CONTROL!$C$14,STAND.PARAMS!$K$209:$U$264,10)*IO.CONTROL!$F$38+VLOOKUP($B80-IO.CONTROL!$C$14,STAND.PARAMS!$K$209:$U$264,11)*IO.CONTROL!$F$39))</f>
        <v>0</v>
      </c>
      <c r="L80" s="72">
        <f>IF(IO.CONTROL!$C$14&gt;$B80,0,(VLOOKUP($B80-IO.CONTROL!$C$14,STAND.PARAMS!$K$209:$U$264,2)*IO.CONTROL!$F$41+VLOOKUP($B80-IO.CONTROL!$C$14,STAND.PARAMS!$K$209:$U$264,3)*IO.CONTROL!$F$42+VLOOKUP($B80-IO.CONTROL!$C$14,STAND.PARAMS!$K$209:$U$264,4)*IO.CONTROL!$F$43+VLOOKUP($B80-IO.CONTROL!$C$14,STAND.PARAMS!$K$209:$U$264,5)*IO.CONTROL!$F$44+VLOOKUP($B80-IO.CONTROL!$C$14,STAND.PARAMS!$K$209:$U$264,6)*IO.CONTROL!$F$45))</f>
        <v>0</v>
      </c>
      <c r="M80" s="72">
        <f>IF(IO.CONTROL!$C$14&gt;$B80,0,((VLOOKUP($B80-IO.CONTROL!$C$14,STAND.PARAMS!$K$209:$U$264,7)*IO.CONTROL!$F$53*IO.CONTROL!$F$45+VLOOKUP($B80-IO.CONTROL!$C$14,STAND.PARAMS!$K$209:$U$264,8)*IO.CONTROL!$F$54*IO.CONTROL!$F$46+VLOOKUP($B80-IO.CONTROL!$C$14,STAND.PARAMS!$K$209:$U$264,9)*IO.CONTROL!$F$55*IO.CONTROL!$F$47+VLOOKUP($B80-IO.CONTROL!$C$14,STAND.PARAMS!$K$209:$U$264,10)*IO.CONTROL!$F$56*IO.CONTROL!$F$48+VLOOKUP($B80-IO.CONTROL!$C$14,STAND.PARAMS!$K$209:$U$264,11)*IO.CONTROL!$F$57*IO.CONTROL!$F$49)))</f>
        <v>0</v>
      </c>
      <c r="N80" s="72">
        <f>SUM(C80:M80)</f>
        <v>0</v>
      </c>
      <c r="O80" s="73">
        <f>IF(IO.CONTROL!$C$14&gt;$B80,0,((VLOOKUP($B80-IO.CONTROL!$C$14,STAND.PARAMS!$K$209:$U$264,7)*IO.CONTROL!$F$53+VLOOKUP($B80-IO.CONTROL!$C$14,STAND.PARAMS!$K$209:$U$264,8)*IO.CONTROL!$F$54+VLOOKUP($B80-IO.CONTROL!$C$14,STAND.PARAMS!$K$209:$U$264,9)*IO.CONTROL!$F$55+VLOOKUP($B80-IO.CONTROL!$C$14,STAND.PARAMS!$K$209:$U$264,10)*IO.CONTROL!$F$56+VLOOKUP($B80-IO.CONTROL!$C$14,STAND.PARAMS!$K$209:$U$264,11)*IO.CONTROL!$F$57)))</f>
        <v>0</v>
      </c>
      <c r="P80" s="72">
        <f>-IO.CONTROL!E64</f>
        <v>-1000000</v>
      </c>
      <c r="Q80" s="110">
        <f>IO.CONTROL!D64</f>
        <v>8000000</v>
      </c>
      <c r="R80" s="114">
        <f>-IO.CONTROL!D86</f>
        <v>0</v>
      </c>
      <c r="S80" s="72">
        <f>-IO.CONTROL!E86</f>
        <v>0</v>
      </c>
      <c r="T80" s="72">
        <f>-IO.CONTROL!F86</f>
        <v>0</v>
      </c>
      <c r="U80" s="72">
        <f>-IO.CONTROL!G86</f>
        <v>0</v>
      </c>
      <c r="V80" s="72">
        <f>-IO.CONTROL!H86</f>
        <v>0</v>
      </c>
      <c r="W80" s="72">
        <f>-IO.CONTROL!I86</f>
        <v>0</v>
      </c>
      <c r="X80" s="72">
        <f>-IO.CONTROL!D106</f>
        <v>0</v>
      </c>
      <c r="Y80" s="110">
        <f>SUM(R80:X80)</f>
        <v>0</v>
      </c>
      <c r="Z80" s="72">
        <f t="shared" si="1"/>
        <v>-1000000</v>
      </c>
      <c r="AA80" s="72">
        <f>Z80/(1+IO.CONTROL!$C$13)^AF80</f>
        <v>-1000000</v>
      </c>
      <c r="AB80" s="72">
        <f t="shared" si="2"/>
        <v>8000000</v>
      </c>
      <c r="AC80" s="72">
        <f>AB80/(1+IO.CONTROL!$C$13)^AF80</f>
        <v>8000000</v>
      </c>
      <c r="AD80" s="72">
        <f t="shared" si="3"/>
        <v>7000000</v>
      </c>
      <c r="AE80" s="72">
        <f>AD80/(1+IO.CONTROL!$C$13)^B80</f>
        <v>7000000</v>
      </c>
      <c r="AF80" s="10">
        <v>0</v>
      </c>
      <c r="AG80" s="122" t="s">
        <v>203</v>
      </c>
    </row>
    <row r="81" spans="1:33" x14ac:dyDescent="0.25">
      <c r="A81" s="80"/>
      <c r="B81" s="9">
        <v>1</v>
      </c>
      <c r="C81" s="72">
        <f>IF(IO.CONTROL!$C$14&gt;$B81,0,STAND.PARAMS!$K$166*IO.CONTROL!$F$19)</f>
        <v>0</v>
      </c>
      <c r="D81" s="72">
        <f>IF(IO.CONTROL!$C$14&gt;$B81,0,STAND.PARAMS!$K$166*IO.CONTROL!$F$20)</f>
        <v>0</v>
      </c>
      <c r="E81" s="72">
        <f>IF(IO.CONTROL!$C$14&gt;$B81,0,(VLOOKUP($B81-IO.CONTROL!$C$14,STAND.PARAMS!$K$209:$U$264,7)+VLOOKUP($B81-IO.CONTROL!$C$14,STAND.PARAMS!$K$209:$U$264,8)+VLOOKUP($B81-IO.CONTROL!$C$14,STAND.PARAMS!$K$209:$U$264,9)+VLOOKUP($B81-IO.CONTROL!$C$14,STAND.PARAMS!$K$209:$U$264,10)+VLOOKUP($B81-IO.CONTROL!$C$14,STAND.PARAMS!$K$209:$U$264,11))*IO.CONTROL!$F$21)</f>
        <v>0</v>
      </c>
      <c r="F81" s="72">
        <f>IF(IO.CONTROL!$C$14&gt;$B81,0,VLOOKUP($B81-IO.CONTROL!$C$14,STAND.PARAMS!$K$209:$U$264,6)*IO.CONTROL!$F$22)</f>
        <v>0</v>
      </c>
      <c r="G81" s="72">
        <f>IF(IO.CONTROL!$C$14&gt;$B81,0,(STAND.PARAMS!$C$19/IO.CONTROL!$C$10)*10*IO.CONTROL!$F$23)</f>
        <v>0</v>
      </c>
      <c r="H81" s="72">
        <f>IF(IO.CONTROL!$C$14&gt;$B81,0,(STAND.PARAMS!$C$19-(STAND.PARAMS!$C$19/IO.CONTROL!$C$10)*10)*IO.CONTROL!$F$24)</f>
        <v>0</v>
      </c>
      <c r="I81" s="72">
        <f>IF(IO.CONTROL!$C$14&gt;$B81,0,(VLOOKUP($B81-IO.CONTROL!$C$14,STAND.PARAMS!$K$209:$U$264,3)*IO.CONTROL!$F$26+VLOOKUP($B81-IO.CONTROL!$C$14,STAND.PARAMS!$K$209:$U$264,4)*IO.CONTROL!$F$27+VLOOKUP($B81-IO.CONTROL!$C$14,STAND.PARAMS!$K$209:$U$264,5)*IO.CONTROL!$F$28+VLOOKUP($B81-IO.CONTROL!$C$14,STAND.PARAMS!$K$209:$U$264,6)*IO.CONTROL!$F$29))</f>
        <v>0</v>
      </c>
      <c r="J81" s="72">
        <f>IF(IO.CONTROL!$C$14&gt;$B81,0,(VLOOKUP($B81-IO.CONTROL!$C$14,STAND.PARAMS!$K$209:$U$264,3)*IO.CONTROL!$F$31+VLOOKUP($B81-IO.CONTROL!$C$14,STAND.PARAMS!$K$209:$U$264,4)*IO.CONTROL!$F$32+VLOOKUP($B81-IO.CONTROL!$C$14,STAND.PARAMS!$K$209:$U$264,5)*IO.CONTROL!$F$33+VLOOKUP($B81-IO.CONTROL!$C$14,STAND.PARAMS!$K$209:$U$264,6)*IO.CONTROL!$F$34))</f>
        <v>0</v>
      </c>
      <c r="K81" s="72">
        <f>IF(IO.CONTROL!$C$14&gt;$B81,0,(VLOOKUP($B81-IO.CONTROL!$C$14,STAND.PARAMS!$K$209:$U$264,8)*IO.CONTROL!$F$36+VLOOKUP($B81-IO.CONTROL!$C$14,STAND.PARAMS!$K$209:$U$264,9)*IO.CONTROL!$F$37+VLOOKUP($B81-IO.CONTROL!$C$14,STAND.PARAMS!$K$209:$U$264,10)*IO.CONTROL!$F$38+VLOOKUP($B81-IO.CONTROL!$C$14,STAND.PARAMS!$K$209:$U$264,11)*IO.CONTROL!$F$39))</f>
        <v>0</v>
      </c>
      <c r="L81" s="72">
        <f>IF(IO.CONTROL!$C$14&gt;$B81,0,(VLOOKUP($B81-IO.CONTROL!$C$14,STAND.PARAMS!$K$209:$U$264,2)*IO.CONTROL!$F$41+VLOOKUP($B81-IO.CONTROL!$C$14,STAND.PARAMS!$K$209:$U$264,3)*IO.CONTROL!$F$42+VLOOKUP($B81-IO.CONTROL!$C$14,STAND.PARAMS!$K$209:$U$264,4)*IO.CONTROL!$F$43+VLOOKUP($B81-IO.CONTROL!$C$14,STAND.PARAMS!$K$209:$U$264,5)*IO.CONTROL!$F$44+VLOOKUP($B81-IO.CONTROL!$C$14,STAND.PARAMS!$K$209:$U$264,6)*IO.CONTROL!$F$45))</f>
        <v>0</v>
      </c>
      <c r="M81" s="72">
        <f>IF(IO.CONTROL!$C$14&gt;$B81,0,((VLOOKUP($B81-IO.CONTROL!$C$14,STAND.PARAMS!$K$209:$U$264,7)*IO.CONTROL!$F$53*IO.CONTROL!$F$45+VLOOKUP($B81-IO.CONTROL!$C$14,STAND.PARAMS!$K$209:$U$264,8)*IO.CONTROL!$F$54*IO.CONTROL!$F$46+VLOOKUP($B81-IO.CONTROL!$C$14,STAND.PARAMS!$K$209:$U$264,9)*IO.CONTROL!$F$55*IO.CONTROL!$F$47+VLOOKUP($B81-IO.CONTROL!$C$14,STAND.PARAMS!$K$209:$U$264,10)*IO.CONTROL!$F$56*IO.CONTROL!$F$48+VLOOKUP($B81-IO.CONTROL!$C$14,STAND.PARAMS!$K$209:$U$264,11)*IO.CONTROL!$F$57*IO.CONTROL!$F$49)))</f>
        <v>0</v>
      </c>
      <c r="N81" s="72">
        <f>SUM(C81:M81)</f>
        <v>0</v>
      </c>
      <c r="O81" s="73">
        <f>IF(IO.CONTROL!$C$14&gt;$B81,0,((VLOOKUP($B81-IO.CONTROL!$C$14,STAND.PARAMS!$K$209:$U$264,7)*IO.CONTROL!$F$53+VLOOKUP($B81-IO.CONTROL!$C$14,STAND.PARAMS!$K$209:$U$264,8)*IO.CONTROL!$F$54+VLOOKUP($B81-IO.CONTROL!$C$14,STAND.PARAMS!$K$209:$U$264,9)*IO.CONTROL!$F$55+VLOOKUP($B81-IO.CONTROL!$C$14,STAND.PARAMS!$K$209:$U$264,10)*IO.CONTROL!$F$56+VLOOKUP($B81-IO.CONTROL!$C$14,STAND.PARAMS!$K$209:$U$264,11)*IO.CONTROL!$F$57)))</f>
        <v>0</v>
      </c>
      <c r="P81" s="72">
        <f>-IO.CONTROL!E65</f>
        <v>-1000000</v>
      </c>
      <c r="Q81" s="110">
        <f>IO.CONTROL!D65</f>
        <v>8000000</v>
      </c>
      <c r="R81" s="114">
        <f>-IO.CONTROL!D87</f>
        <v>0</v>
      </c>
      <c r="S81" s="72">
        <f>-IO.CONTROL!E87</f>
        <v>0</v>
      </c>
      <c r="T81" s="72">
        <f>-IO.CONTROL!F87</f>
        <v>0</v>
      </c>
      <c r="U81" s="72">
        <f>-IO.CONTROL!G87</f>
        <v>0</v>
      </c>
      <c r="V81" s="72">
        <f>-IO.CONTROL!H87</f>
        <v>0</v>
      </c>
      <c r="W81" s="72">
        <f>-IO.CONTROL!I87</f>
        <v>0</v>
      </c>
      <c r="X81" s="72">
        <f>-IO.CONTROL!D107</f>
        <v>0</v>
      </c>
      <c r="Y81" s="110">
        <f>SUM(R81:X81)</f>
        <v>0</v>
      </c>
      <c r="Z81" s="72">
        <f t="shared" si="1"/>
        <v>-1000000</v>
      </c>
      <c r="AA81" s="72">
        <f>Z81/(1+IO.CONTROL!$C$13)^AF81</f>
        <v>-934579.43925233639</v>
      </c>
      <c r="AB81" s="72">
        <f t="shared" si="2"/>
        <v>8000000</v>
      </c>
      <c r="AC81" s="72">
        <f>AB81/(1+IO.CONTROL!$C$13)^AF81</f>
        <v>7476635.5140186911</v>
      </c>
      <c r="AD81" s="72">
        <f t="shared" si="3"/>
        <v>7000000</v>
      </c>
      <c r="AE81" s="72">
        <f>AD81/(1+IO.CONTROL!$C$13)^B81</f>
        <v>6542056.0747663546</v>
      </c>
      <c r="AF81" s="10">
        <v>1</v>
      </c>
      <c r="AG81" s="121"/>
    </row>
    <row r="82" spans="1:33" x14ac:dyDescent="0.25">
      <c r="A82" s="80"/>
      <c r="B82" s="9">
        <v>2</v>
      </c>
      <c r="C82" s="72">
        <f>IF(IO.CONTROL!$C$14&gt;$B82,0,STAND.PARAMS!$K$166*IO.CONTROL!$F$19)</f>
        <v>0</v>
      </c>
      <c r="D82" s="72">
        <f>IF(IO.CONTROL!$C$14&gt;$B82,0,STAND.PARAMS!$K$166*IO.CONTROL!$F$20)</f>
        <v>0</v>
      </c>
      <c r="E82" s="72">
        <f>IF(IO.CONTROL!$C$14&gt;$B82,0,(VLOOKUP($B82-IO.CONTROL!$C$14,STAND.PARAMS!$K$209:$U$264,7)+VLOOKUP($B82-IO.CONTROL!$C$14,STAND.PARAMS!$K$209:$U$264,8)+VLOOKUP($B82-IO.CONTROL!$C$14,STAND.PARAMS!$K$209:$U$264,9)+VLOOKUP($B82-IO.CONTROL!$C$14,STAND.PARAMS!$K$209:$U$264,10)+VLOOKUP($B82-IO.CONTROL!$C$14,STAND.PARAMS!$K$209:$U$264,11))*IO.CONTROL!$F$21)</f>
        <v>0</v>
      </c>
      <c r="F82" s="72">
        <f>IF(IO.CONTROL!$C$14&gt;$B82,0,VLOOKUP($B82-IO.CONTROL!$C$14,STAND.PARAMS!$K$209:$U$264,6)*IO.CONTROL!$F$22)</f>
        <v>0</v>
      </c>
      <c r="G82" s="72">
        <f>IF(IO.CONTROL!$C$14&gt;$B82,0,(STAND.PARAMS!$C$19/IO.CONTROL!$C$10)*10*IO.CONTROL!$F$23)</f>
        <v>0</v>
      </c>
      <c r="H82" s="72">
        <f>IF(IO.CONTROL!$C$14&gt;$B82,0,(STAND.PARAMS!$C$19-(STAND.PARAMS!$C$19/IO.CONTROL!$C$10)*10)*IO.CONTROL!$F$24)</f>
        <v>0</v>
      </c>
      <c r="I82" s="72">
        <f>IF(IO.CONTROL!$C$14&gt;$B82,0,(VLOOKUP($B82-IO.CONTROL!$C$14,STAND.PARAMS!$K$209:$U$264,3)*IO.CONTROL!$F$26+VLOOKUP($B82-IO.CONTROL!$C$14,STAND.PARAMS!$K$209:$U$264,4)*IO.CONTROL!$F$27+VLOOKUP($B82-IO.CONTROL!$C$14,STAND.PARAMS!$K$209:$U$264,5)*IO.CONTROL!$F$28+VLOOKUP($B82-IO.CONTROL!$C$14,STAND.PARAMS!$K$209:$U$264,6)*IO.CONTROL!$F$29))</f>
        <v>0</v>
      </c>
      <c r="J82" s="72">
        <f>IF(IO.CONTROL!$C$14&gt;$B82,0,(VLOOKUP($B82-IO.CONTROL!$C$14,STAND.PARAMS!$K$209:$U$264,3)*IO.CONTROL!$F$31+VLOOKUP($B82-IO.CONTROL!$C$14,STAND.PARAMS!$K$209:$U$264,4)*IO.CONTROL!$F$32+VLOOKUP($B82-IO.CONTROL!$C$14,STAND.PARAMS!$K$209:$U$264,5)*IO.CONTROL!$F$33+VLOOKUP($B82-IO.CONTROL!$C$14,STAND.PARAMS!$K$209:$U$264,6)*IO.CONTROL!$F$34))</f>
        <v>0</v>
      </c>
      <c r="K82" s="72">
        <f>IF(IO.CONTROL!$C$14&gt;$B82,0,(VLOOKUP($B82-IO.CONTROL!$C$14,STAND.PARAMS!$K$209:$U$264,8)*IO.CONTROL!$F$36+VLOOKUP($B82-IO.CONTROL!$C$14,STAND.PARAMS!$K$209:$U$264,9)*IO.CONTROL!$F$37+VLOOKUP($B82-IO.CONTROL!$C$14,STAND.PARAMS!$K$209:$U$264,10)*IO.CONTROL!$F$38+VLOOKUP($B82-IO.CONTROL!$C$14,STAND.PARAMS!$K$209:$U$264,11)*IO.CONTROL!$F$39))</f>
        <v>0</v>
      </c>
      <c r="L82" s="72">
        <f>IF(IO.CONTROL!$C$14&gt;$B82,0,(VLOOKUP($B82-IO.CONTROL!$C$14,STAND.PARAMS!$K$209:$U$264,2)*IO.CONTROL!$F$41+VLOOKUP($B82-IO.CONTROL!$C$14,STAND.PARAMS!$K$209:$U$264,3)*IO.CONTROL!$F$42+VLOOKUP($B82-IO.CONTROL!$C$14,STAND.PARAMS!$K$209:$U$264,4)*IO.CONTROL!$F$43+VLOOKUP($B82-IO.CONTROL!$C$14,STAND.PARAMS!$K$209:$U$264,5)*IO.CONTROL!$F$44+VLOOKUP($B82-IO.CONTROL!$C$14,STAND.PARAMS!$K$209:$U$264,6)*IO.CONTROL!$F$45))</f>
        <v>0</v>
      </c>
      <c r="M82" s="72">
        <f>IF(IO.CONTROL!$C$14&gt;$B82,0,((VLOOKUP($B82-IO.CONTROL!$C$14,STAND.PARAMS!$K$209:$U$264,7)*IO.CONTROL!$F$53*IO.CONTROL!$F$45+VLOOKUP($B82-IO.CONTROL!$C$14,STAND.PARAMS!$K$209:$U$264,8)*IO.CONTROL!$F$54*IO.CONTROL!$F$46+VLOOKUP($B82-IO.CONTROL!$C$14,STAND.PARAMS!$K$209:$U$264,9)*IO.CONTROL!$F$55*IO.CONTROL!$F$47+VLOOKUP($B82-IO.CONTROL!$C$14,STAND.PARAMS!$K$209:$U$264,10)*IO.CONTROL!$F$56*IO.CONTROL!$F$48+VLOOKUP($B82-IO.CONTROL!$C$14,STAND.PARAMS!$K$209:$U$264,11)*IO.CONTROL!$F$57*IO.CONTROL!$F$49)))</f>
        <v>0</v>
      </c>
      <c r="N82" s="72">
        <f>SUM(C82:M82)</f>
        <v>0</v>
      </c>
      <c r="O82" s="73">
        <f>IF(IO.CONTROL!$C$14&gt;$B82,0,((VLOOKUP($B82-IO.CONTROL!$C$14,STAND.PARAMS!$K$209:$U$264,7)*IO.CONTROL!$F$53+VLOOKUP($B82-IO.CONTROL!$C$14,STAND.PARAMS!$K$209:$U$264,8)*IO.CONTROL!$F$54+VLOOKUP($B82-IO.CONTROL!$C$14,STAND.PARAMS!$K$209:$U$264,9)*IO.CONTROL!$F$55+VLOOKUP($B82-IO.CONTROL!$C$14,STAND.PARAMS!$K$209:$U$264,10)*IO.CONTROL!$F$56+VLOOKUP($B82-IO.CONTROL!$C$14,STAND.PARAMS!$K$209:$U$264,11)*IO.CONTROL!$F$57)))</f>
        <v>0</v>
      </c>
      <c r="P82" s="72">
        <f>IF(IO.CONTROL!$C$14=2,N82,(((VLOOKUP(IO.CONTROL!$C$14,'CASH.FLOW'!$B$80:$AE$135,13)-$P$81)/(IO.CONTROL!$C$14-1))+P81))</f>
        <v>-2588463.3389091431</v>
      </c>
      <c r="Q82" s="110">
        <f>IF(IO.CONTROL!$C$14=2,O82,(((VLOOKUP(IO.CONTROL!$C$14,'CASH.FLOW'!$B$80:$AE$135,14)-$Q$81)/(IO.CONTROL!$C$14-1))+Q81))</f>
        <v>10843173.343214286</v>
      </c>
      <c r="R82" s="114">
        <f>-IO.CONTROL!D88</f>
        <v>0</v>
      </c>
      <c r="S82" s="72">
        <f>-IO.CONTROL!E88</f>
        <v>0</v>
      </c>
      <c r="T82" s="72">
        <f>-IO.CONTROL!F88</f>
        <v>0</v>
      </c>
      <c r="U82" s="72">
        <f>-IO.CONTROL!G88</f>
        <v>0</v>
      </c>
      <c r="V82" s="72">
        <f>-IO.CONTROL!H88</f>
        <v>0</v>
      </c>
      <c r="W82" s="72">
        <f>-IO.CONTROL!I88</f>
        <v>0</v>
      </c>
      <c r="X82" s="72">
        <f>-IO.CONTROL!D108</f>
        <v>0</v>
      </c>
      <c r="Y82" s="110">
        <f>SUM(R82:X82)</f>
        <v>0</v>
      </c>
      <c r="Z82" s="72">
        <f t="shared" si="1"/>
        <v>-2588463.3389091431</v>
      </c>
      <c r="AA82" s="72">
        <f>Z82/(1+IO.CONTROL!$C$13)^AF82</f>
        <v>-2260864.126918633</v>
      </c>
      <c r="AB82" s="72">
        <f t="shared" si="2"/>
        <v>10843173.343214286</v>
      </c>
      <c r="AC82" s="72">
        <f>AB82/(1+IO.CONTROL!$C$13)^AF82</f>
        <v>9470847.5353430752</v>
      </c>
      <c r="AD82" s="72">
        <f t="shared" si="3"/>
        <v>8254710.0043051429</v>
      </c>
      <c r="AE82" s="72">
        <f>AD82/(1+IO.CONTROL!$C$13)^B82</f>
        <v>7209983.4084244408</v>
      </c>
      <c r="AF82" s="10">
        <v>2</v>
      </c>
      <c r="AG82" s="121"/>
    </row>
    <row r="83" spans="1:33" x14ac:dyDescent="0.25">
      <c r="A83" s="80"/>
      <c r="B83" s="9">
        <v>3</v>
      </c>
      <c r="C83" s="72">
        <f>IF(IO.CONTROL!$C$14&gt;$B83,0,STAND.PARAMS!$K$166*IO.CONTROL!$F$19)</f>
        <v>0</v>
      </c>
      <c r="D83" s="72">
        <f>IF(IO.CONTROL!$C$14&gt;$B83,0,STAND.PARAMS!$K$166*IO.CONTROL!$F$20)</f>
        <v>0</v>
      </c>
      <c r="E83" s="72">
        <f>IF(IO.CONTROL!$C$14&gt;$B83,0,(VLOOKUP($B83-IO.CONTROL!$C$14,STAND.PARAMS!$K$209:$U$264,7)+VLOOKUP($B83-IO.CONTROL!$C$14,STAND.PARAMS!$K$209:$U$264,8)+VLOOKUP($B83-IO.CONTROL!$C$14,STAND.PARAMS!$K$209:$U$264,9)+VLOOKUP($B83-IO.CONTROL!$C$14,STAND.PARAMS!$K$209:$U$264,10)+VLOOKUP($B83-IO.CONTROL!$C$14,STAND.PARAMS!$K$209:$U$264,11))*IO.CONTROL!$F$21)</f>
        <v>0</v>
      </c>
      <c r="F83" s="72">
        <f>IF(IO.CONTROL!$C$14&gt;$B83,0,VLOOKUP($B83-IO.CONTROL!$C$14,STAND.PARAMS!$K$209:$U$264,6)*IO.CONTROL!$F$22)</f>
        <v>0</v>
      </c>
      <c r="G83" s="72">
        <f>IF(IO.CONTROL!$C$14&gt;$B83,0,(STAND.PARAMS!$C$19/IO.CONTROL!$C$10)*10*IO.CONTROL!$F$23)</f>
        <v>0</v>
      </c>
      <c r="H83" s="72">
        <f>IF(IO.CONTROL!$C$14&gt;$B83,0,(STAND.PARAMS!$C$19-(STAND.PARAMS!$C$19/IO.CONTROL!$C$10)*10)*IO.CONTROL!$F$24)</f>
        <v>0</v>
      </c>
      <c r="I83" s="72">
        <f>IF(IO.CONTROL!$C$14&gt;$B83,0,(VLOOKUP($B83-IO.CONTROL!$C$14,STAND.PARAMS!$K$209:$U$264,3)*IO.CONTROL!$F$26+VLOOKUP($B83-IO.CONTROL!$C$14,STAND.PARAMS!$K$209:$U$264,4)*IO.CONTROL!$F$27+VLOOKUP($B83-IO.CONTROL!$C$14,STAND.PARAMS!$K$209:$U$264,5)*IO.CONTROL!$F$28+VLOOKUP($B83-IO.CONTROL!$C$14,STAND.PARAMS!$K$209:$U$264,6)*IO.CONTROL!$F$29))</f>
        <v>0</v>
      </c>
      <c r="J83" s="72">
        <f>IF(IO.CONTROL!$C$14&gt;$B83,0,(VLOOKUP($B83-IO.CONTROL!$C$14,STAND.PARAMS!$K$209:$U$264,3)*IO.CONTROL!$F$31+VLOOKUP($B83-IO.CONTROL!$C$14,STAND.PARAMS!$K$209:$U$264,4)*IO.CONTROL!$F$32+VLOOKUP($B83-IO.CONTROL!$C$14,STAND.PARAMS!$K$209:$U$264,5)*IO.CONTROL!$F$33+VLOOKUP($B83-IO.CONTROL!$C$14,STAND.PARAMS!$K$209:$U$264,6)*IO.CONTROL!$F$34))</f>
        <v>0</v>
      </c>
      <c r="K83" s="72">
        <f>IF(IO.CONTROL!$C$14&gt;$B83,0,(VLOOKUP($B83-IO.CONTROL!$C$14,STAND.PARAMS!$K$209:$U$264,8)*IO.CONTROL!$F$36+VLOOKUP($B83-IO.CONTROL!$C$14,STAND.PARAMS!$K$209:$U$264,9)*IO.CONTROL!$F$37+VLOOKUP($B83-IO.CONTROL!$C$14,STAND.PARAMS!$K$209:$U$264,10)*IO.CONTROL!$F$38+VLOOKUP($B83-IO.CONTROL!$C$14,STAND.PARAMS!$K$209:$U$264,11)*IO.CONTROL!$F$39))</f>
        <v>0</v>
      </c>
      <c r="L83" s="72">
        <f>IF(IO.CONTROL!$C$14&gt;$B83,0,(VLOOKUP($B83-IO.CONTROL!$C$14,STAND.PARAMS!$K$209:$U$264,2)*IO.CONTROL!$F$41+VLOOKUP($B83-IO.CONTROL!$C$14,STAND.PARAMS!$K$209:$U$264,3)*IO.CONTROL!$F$42+VLOOKUP($B83-IO.CONTROL!$C$14,STAND.PARAMS!$K$209:$U$264,4)*IO.CONTROL!$F$43+VLOOKUP($B83-IO.CONTROL!$C$14,STAND.PARAMS!$K$209:$U$264,5)*IO.CONTROL!$F$44+VLOOKUP($B83-IO.CONTROL!$C$14,STAND.PARAMS!$K$209:$U$264,6)*IO.CONTROL!$F$45))</f>
        <v>0</v>
      </c>
      <c r="M83" s="72">
        <f>IF(IO.CONTROL!$C$14&gt;$B83,0,((VLOOKUP($B83-IO.CONTROL!$C$14,STAND.PARAMS!$K$209:$U$264,7)*IO.CONTROL!$F$53*IO.CONTROL!$F$45+VLOOKUP($B83-IO.CONTROL!$C$14,STAND.PARAMS!$K$209:$U$264,8)*IO.CONTROL!$F$54*IO.CONTROL!$F$46+VLOOKUP($B83-IO.CONTROL!$C$14,STAND.PARAMS!$K$209:$U$264,9)*IO.CONTROL!$F$55*IO.CONTROL!$F$47+VLOOKUP($B83-IO.CONTROL!$C$14,STAND.PARAMS!$K$209:$U$264,10)*IO.CONTROL!$F$56*IO.CONTROL!$F$48+VLOOKUP($B83-IO.CONTROL!$C$14,STAND.PARAMS!$K$209:$U$264,11)*IO.CONTROL!$F$57*IO.CONTROL!$F$49)))</f>
        <v>0</v>
      </c>
      <c r="N83" s="72">
        <f t="shared" si="0"/>
        <v>0</v>
      </c>
      <c r="O83" s="73">
        <f>IF(IO.CONTROL!$C$14&gt;$B83,0,((VLOOKUP($B83-IO.CONTROL!$C$14,STAND.PARAMS!$K$209:$U$264,7)*IO.CONTROL!$F$53+VLOOKUP($B83-IO.CONTROL!$C$14,STAND.PARAMS!$K$209:$U$264,8)*IO.CONTROL!$F$54+VLOOKUP($B83-IO.CONTROL!$C$14,STAND.PARAMS!$K$209:$U$264,9)*IO.CONTROL!$F$55+VLOOKUP($B83-IO.CONTROL!$C$14,STAND.PARAMS!$K$209:$U$264,10)*IO.CONTROL!$F$56+VLOOKUP($B83-IO.CONTROL!$C$14,STAND.PARAMS!$K$209:$U$264,11)*IO.CONTROL!$F$57)))</f>
        <v>0</v>
      </c>
      <c r="P83" s="72">
        <f>IF(IO.CONTROL!$C$14&lt;=3,N83,(((VLOOKUP(IO.CONTROL!$C$14,'CASH.FLOW'!$B$80:$AE$135,13)-$P$81)/(IO.CONTROL!$C$14-1))+P82))</f>
        <v>-4176926.6778182862</v>
      </c>
      <c r="Q83" s="110">
        <f>IF(IO.CONTROL!$C$14&lt;=3,O83,(((VLOOKUP(IO.CONTROL!$C$14,'CASH.FLOW'!$B$80:$AE$135,14)-$Q$81)/(IO.CONTROL!$C$14-1))+Q82))</f>
        <v>13686346.686428573</v>
      </c>
      <c r="R83" s="114"/>
      <c r="S83" s="72"/>
      <c r="T83" s="72"/>
      <c r="U83" s="72"/>
      <c r="V83" s="72"/>
      <c r="W83" s="72"/>
      <c r="X83" s="72"/>
      <c r="Y83" s="110"/>
      <c r="Z83" s="72">
        <f t="shared" si="1"/>
        <v>-4176926.6778182862</v>
      </c>
      <c r="AA83" s="72">
        <f>Z83/(1+IO.CONTROL!$C$13)^AF83</f>
        <v>-3409616.3790318267</v>
      </c>
      <c r="AB83" s="72">
        <f t="shared" si="2"/>
        <v>13686346.686428573</v>
      </c>
      <c r="AC83" s="72">
        <f>AB83/(1+IO.CONTROL!$C$13)^AF83</f>
        <v>11172135.742523791</v>
      </c>
      <c r="AD83" s="72">
        <f t="shared" si="3"/>
        <v>9509420.0086102858</v>
      </c>
      <c r="AE83" s="72">
        <f>AD83/(1+IO.CONTROL!$C$13)^B83</f>
        <v>7762519.3634919636</v>
      </c>
      <c r="AF83" s="10">
        <v>3</v>
      </c>
      <c r="AG83" s="121"/>
    </row>
    <row r="84" spans="1:33" x14ac:dyDescent="0.25">
      <c r="A84" s="80"/>
      <c r="B84" s="9">
        <v>4</v>
      </c>
      <c r="C84" s="72">
        <f>IF(IO.CONTROL!$C$14&gt;$B84,0,STAND.PARAMS!$K$166*IO.CONTROL!$F$19)</f>
        <v>0</v>
      </c>
      <c r="D84" s="72">
        <f>IF(IO.CONTROL!$C$14&gt;$B84,0,STAND.PARAMS!$K$166*IO.CONTROL!$F$20)</f>
        <v>0</v>
      </c>
      <c r="E84" s="72">
        <f>IF(IO.CONTROL!$C$14&gt;$B84,0,(VLOOKUP($B84-IO.CONTROL!$C$14,STAND.PARAMS!$K$209:$U$264,7)+VLOOKUP($B84-IO.CONTROL!$C$14,STAND.PARAMS!$K$209:$U$264,8)+VLOOKUP($B84-IO.CONTROL!$C$14,STAND.PARAMS!$K$209:$U$264,9)+VLOOKUP($B84-IO.CONTROL!$C$14,STAND.PARAMS!$K$209:$U$264,10)+VLOOKUP($B84-IO.CONTROL!$C$14,STAND.PARAMS!$K$209:$U$264,11))*IO.CONTROL!$F$21)</f>
        <v>0</v>
      </c>
      <c r="F84" s="72">
        <f>IF(IO.CONTROL!$C$14&gt;$B84,0,VLOOKUP($B84-IO.CONTROL!$C$14,STAND.PARAMS!$K$209:$U$264,6)*IO.CONTROL!$F$22)</f>
        <v>0</v>
      </c>
      <c r="G84" s="72">
        <f>IF(IO.CONTROL!$C$14&gt;$B84,0,(STAND.PARAMS!$C$19/IO.CONTROL!$C$10)*10*IO.CONTROL!$F$23)</f>
        <v>0</v>
      </c>
      <c r="H84" s="72">
        <f>IF(IO.CONTROL!$C$14&gt;$B84,0,(STAND.PARAMS!$C$19-(STAND.PARAMS!$C$19/IO.CONTROL!$C$10)*10)*IO.CONTROL!$F$24)</f>
        <v>0</v>
      </c>
      <c r="I84" s="72">
        <f>IF(IO.CONTROL!$C$14&gt;$B84,0,(VLOOKUP($B84-IO.CONTROL!$C$14,STAND.PARAMS!$K$209:$U$264,3)*IO.CONTROL!$F$26+VLOOKUP($B84-IO.CONTROL!$C$14,STAND.PARAMS!$K$209:$U$264,4)*IO.CONTROL!$F$27+VLOOKUP($B84-IO.CONTROL!$C$14,STAND.PARAMS!$K$209:$U$264,5)*IO.CONTROL!$F$28+VLOOKUP($B84-IO.CONTROL!$C$14,STAND.PARAMS!$K$209:$U$264,6)*IO.CONTROL!$F$29))</f>
        <v>0</v>
      </c>
      <c r="J84" s="72">
        <f>IF(IO.CONTROL!$C$14&gt;$B84,0,(VLOOKUP($B84-IO.CONTROL!$C$14,STAND.PARAMS!$K$209:$U$264,3)*IO.CONTROL!$F$31+VLOOKUP($B84-IO.CONTROL!$C$14,STAND.PARAMS!$K$209:$U$264,4)*IO.CONTROL!$F$32+VLOOKUP($B84-IO.CONTROL!$C$14,STAND.PARAMS!$K$209:$U$264,5)*IO.CONTROL!$F$33+VLOOKUP($B84-IO.CONTROL!$C$14,STAND.PARAMS!$K$209:$U$264,6)*IO.CONTROL!$F$34))</f>
        <v>0</v>
      </c>
      <c r="K84" s="72">
        <f>IF(IO.CONTROL!$C$14&gt;$B84,0,(VLOOKUP($B84-IO.CONTROL!$C$14,STAND.PARAMS!$K$209:$U$264,8)*IO.CONTROL!$F$36+VLOOKUP($B84-IO.CONTROL!$C$14,STAND.PARAMS!$K$209:$U$264,9)*IO.CONTROL!$F$37+VLOOKUP($B84-IO.CONTROL!$C$14,STAND.PARAMS!$K$209:$U$264,10)*IO.CONTROL!$F$38+VLOOKUP($B84-IO.CONTROL!$C$14,STAND.PARAMS!$K$209:$U$264,11)*IO.CONTROL!$F$39))</f>
        <v>0</v>
      </c>
      <c r="L84" s="72">
        <f>IF(IO.CONTROL!$C$14&gt;$B84,0,(VLOOKUP($B84-IO.CONTROL!$C$14,STAND.PARAMS!$K$209:$U$264,2)*IO.CONTROL!$F$41+VLOOKUP($B84-IO.CONTROL!$C$14,STAND.PARAMS!$K$209:$U$264,3)*IO.CONTROL!$F$42+VLOOKUP($B84-IO.CONTROL!$C$14,STAND.PARAMS!$K$209:$U$264,4)*IO.CONTROL!$F$43+VLOOKUP($B84-IO.CONTROL!$C$14,STAND.PARAMS!$K$209:$U$264,5)*IO.CONTROL!$F$44+VLOOKUP($B84-IO.CONTROL!$C$14,STAND.PARAMS!$K$209:$U$264,6)*IO.CONTROL!$F$45))</f>
        <v>0</v>
      </c>
      <c r="M84" s="72">
        <f>IF(IO.CONTROL!$C$14&gt;$B84,0,((VLOOKUP($B84-IO.CONTROL!$C$14,STAND.PARAMS!$K$209:$U$264,7)*IO.CONTROL!$F$53*IO.CONTROL!$F$45+VLOOKUP($B84-IO.CONTROL!$C$14,STAND.PARAMS!$K$209:$U$264,8)*IO.CONTROL!$F$54*IO.CONTROL!$F$46+VLOOKUP($B84-IO.CONTROL!$C$14,STAND.PARAMS!$K$209:$U$264,9)*IO.CONTROL!$F$55*IO.CONTROL!$F$47+VLOOKUP($B84-IO.CONTROL!$C$14,STAND.PARAMS!$K$209:$U$264,10)*IO.CONTROL!$F$56*IO.CONTROL!$F$48+VLOOKUP($B84-IO.CONTROL!$C$14,STAND.PARAMS!$K$209:$U$264,11)*IO.CONTROL!$F$57*IO.CONTROL!$F$49)))</f>
        <v>0</v>
      </c>
      <c r="N84" s="72">
        <f t="shared" si="0"/>
        <v>0</v>
      </c>
      <c r="O84" s="73">
        <f>IF(IO.CONTROL!$C$14&gt;$B84,0,((VLOOKUP($B84-IO.CONTROL!$C$14,STAND.PARAMS!$K$209:$U$264,7)*IO.CONTROL!$F$53+VLOOKUP($B84-IO.CONTROL!$C$14,STAND.PARAMS!$K$209:$U$264,8)*IO.CONTROL!$F$54+VLOOKUP($B84-IO.CONTROL!$C$14,STAND.PARAMS!$K$209:$U$264,9)*IO.CONTROL!$F$55+VLOOKUP($B84-IO.CONTROL!$C$14,STAND.PARAMS!$K$209:$U$264,10)*IO.CONTROL!$F$56+VLOOKUP($B84-IO.CONTROL!$C$14,STAND.PARAMS!$K$209:$U$264,11)*IO.CONTROL!$F$57)))</f>
        <v>0</v>
      </c>
      <c r="P84" s="72">
        <f>IF(IO.CONTROL!$C$14&lt;=4,N84,(((VLOOKUP(IO.CONTROL!$C$14,'CASH.FLOW'!$B$80:$AE$135,13)-$P$81)/(IO.CONTROL!$C$14-1))+P83))</f>
        <v>-5765390.0167274289</v>
      </c>
      <c r="Q84" s="110">
        <f>IF(IO.CONTROL!$C$14&lt;=4,O84,(((VLOOKUP(IO.CONTROL!$C$14,'CASH.FLOW'!$B$80:$AE$135,14)-$Q$81)/(IO.CONTROL!$C$14-1))+Q83))</f>
        <v>16529520.029642859</v>
      </c>
      <c r="R84" s="114"/>
      <c r="S84" s="72"/>
      <c r="T84" s="72"/>
      <c r="U84" s="72"/>
      <c r="V84" s="72"/>
      <c r="W84" s="72"/>
      <c r="X84" s="72"/>
      <c r="Y84" s="110"/>
      <c r="Z84" s="72">
        <f t="shared" si="1"/>
        <v>-5765390.0167274289</v>
      </c>
      <c r="AA84" s="72">
        <f>Z84/(1+IO.CONTROL!$C$13)^AF84</f>
        <v>-4398388.4393479573</v>
      </c>
      <c r="AB84" s="72">
        <f t="shared" si="2"/>
        <v>16529520.029642859</v>
      </c>
      <c r="AC84" s="72">
        <f>AB84/(1+IO.CONTROL!$C$13)^AF84</f>
        <v>12610291.688058205</v>
      </c>
      <c r="AD84" s="72">
        <f t="shared" si="3"/>
        <v>10764130.012915431</v>
      </c>
      <c r="AE84" s="72">
        <f>AD84/(1+IO.CONTROL!$C$13)^B84</f>
        <v>8211903.2487102477</v>
      </c>
      <c r="AF84" s="10">
        <v>4</v>
      </c>
      <c r="AG84" s="121"/>
    </row>
    <row r="85" spans="1:33" x14ac:dyDescent="0.25">
      <c r="A85" s="81"/>
      <c r="B85" s="9">
        <v>5</v>
      </c>
      <c r="C85" s="72">
        <f>IF(IO.CONTROL!$C$14&gt;$B85,0,STAND.PARAMS!$K$166*IO.CONTROL!$F$19)</f>
        <v>0</v>
      </c>
      <c r="D85" s="72">
        <f>IF(IO.CONTROL!$C$14&gt;$B85,0,STAND.PARAMS!$K$166*IO.CONTROL!$F$20)</f>
        <v>0</v>
      </c>
      <c r="E85" s="72">
        <f>IF(IO.CONTROL!$C$14&gt;$B85,0,(VLOOKUP($B85-IO.CONTROL!$C$14,STAND.PARAMS!$K$209:$U$264,7)+VLOOKUP($B85-IO.CONTROL!$C$14,STAND.PARAMS!$K$209:$U$264,8)+VLOOKUP($B85-IO.CONTROL!$C$14,STAND.PARAMS!$K$209:$U$264,9)+VLOOKUP($B85-IO.CONTROL!$C$14,STAND.PARAMS!$K$209:$U$264,10)+VLOOKUP($B85-IO.CONTROL!$C$14,STAND.PARAMS!$K$209:$U$264,11))*IO.CONTROL!$F$21)</f>
        <v>0</v>
      </c>
      <c r="F85" s="72">
        <f>IF(IO.CONTROL!$C$14&gt;$B85,0,VLOOKUP($B85-IO.CONTROL!$C$14,STAND.PARAMS!$K$209:$U$264,6)*IO.CONTROL!$F$22)</f>
        <v>0</v>
      </c>
      <c r="G85" s="72">
        <f>IF(IO.CONTROL!$C$14&gt;$B85,0,(STAND.PARAMS!$C$19/IO.CONTROL!$C$10)*10*IO.CONTROL!$F$23)</f>
        <v>0</v>
      </c>
      <c r="H85" s="72">
        <f>IF(IO.CONTROL!$C$14&gt;$B85,0,(STAND.PARAMS!$C$19-(STAND.PARAMS!$C$19/IO.CONTROL!$C$10)*10)*IO.CONTROL!$F$24)</f>
        <v>0</v>
      </c>
      <c r="I85" s="72">
        <f>IF(IO.CONTROL!$C$14&gt;$B85,0,(VLOOKUP($B85-IO.CONTROL!$C$14,STAND.PARAMS!$K$209:$U$264,3)*IO.CONTROL!$F$26+VLOOKUP($B85-IO.CONTROL!$C$14,STAND.PARAMS!$K$209:$U$264,4)*IO.CONTROL!$F$27+VLOOKUP($B85-IO.CONTROL!$C$14,STAND.PARAMS!$K$209:$U$264,5)*IO.CONTROL!$F$28+VLOOKUP($B85-IO.CONTROL!$C$14,STAND.PARAMS!$K$209:$U$264,6)*IO.CONTROL!$F$29))</f>
        <v>0</v>
      </c>
      <c r="J85" s="72">
        <f>IF(IO.CONTROL!$C$14&gt;$B85,0,(VLOOKUP($B85-IO.CONTROL!$C$14,STAND.PARAMS!$K$209:$U$264,3)*IO.CONTROL!$F$31+VLOOKUP($B85-IO.CONTROL!$C$14,STAND.PARAMS!$K$209:$U$264,4)*IO.CONTROL!$F$32+VLOOKUP($B85-IO.CONTROL!$C$14,STAND.PARAMS!$K$209:$U$264,5)*IO.CONTROL!$F$33+VLOOKUP($B85-IO.CONTROL!$C$14,STAND.PARAMS!$K$209:$U$264,6)*IO.CONTROL!$F$34))</f>
        <v>0</v>
      </c>
      <c r="K85" s="72">
        <f>IF(IO.CONTROL!$C$14&gt;$B85,0,(VLOOKUP($B85-IO.CONTROL!$C$14,STAND.PARAMS!$K$209:$U$264,8)*IO.CONTROL!$F$36+VLOOKUP($B85-IO.CONTROL!$C$14,STAND.PARAMS!$K$209:$U$264,9)*IO.CONTROL!$F$37+VLOOKUP($B85-IO.CONTROL!$C$14,STAND.PARAMS!$K$209:$U$264,10)*IO.CONTROL!$F$38+VLOOKUP($B85-IO.CONTROL!$C$14,STAND.PARAMS!$K$209:$U$264,11)*IO.CONTROL!$F$39))</f>
        <v>0</v>
      </c>
      <c r="L85" s="72">
        <f>IF(IO.CONTROL!$C$14&gt;$B85,0,(VLOOKUP($B85-IO.CONTROL!$C$14,STAND.PARAMS!$K$209:$U$264,2)*IO.CONTROL!$F$41+VLOOKUP($B85-IO.CONTROL!$C$14,STAND.PARAMS!$K$209:$U$264,3)*IO.CONTROL!$F$42+VLOOKUP($B85-IO.CONTROL!$C$14,STAND.PARAMS!$K$209:$U$264,4)*IO.CONTROL!$F$43+VLOOKUP($B85-IO.CONTROL!$C$14,STAND.PARAMS!$K$209:$U$264,5)*IO.CONTROL!$F$44+VLOOKUP($B85-IO.CONTROL!$C$14,STAND.PARAMS!$K$209:$U$264,6)*IO.CONTROL!$F$45))</f>
        <v>0</v>
      </c>
      <c r="M85" s="72">
        <f>IF(IO.CONTROL!$C$14&gt;$B85,0,((VLOOKUP($B85-IO.CONTROL!$C$14,STAND.PARAMS!$K$209:$U$264,7)*IO.CONTROL!$F$53*IO.CONTROL!$F$45+VLOOKUP($B85-IO.CONTROL!$C$14,STAND.PARAMS!$K$209:$U$264,8)*IO.CONTROL!$F$54*IO.CONTROL!$F$46+VLOOKUP($B85-IO.CONTROL!$C$14,STAND.PARAMS!$K$209:$U$264,9)*IO.CONTROL!$F$55*IO.CONTROL!$F$47+VLOOKUP($B85-IO.CONTROL!$C$14,STAND.PARAMS!$K$209:$U$264,10)*IO.CONTROL!$F$56*IO.CONTROL!$F$48+VLOOKUP($B85-IO.CONTROL!$C$14,STAND.PARAMS!$K$209:$U$264,11)*IO.CONTROL!$F$57*IO.CONTROL!$F$49)))</f>
        <v>0</v>
      </c>
      <c r="N85" s="72">
        <f t="shared" si="0"/>
        <v>0</v>
      </c>
      <c r="O85" s="73">
        <f>IF(IO.CONTROL!$C$14&gt;$B85,0,((VLOOKUP($B85-IO.CONTROL!$C$14,STAND.PARAMS!$K$209:$U$264,7)*IO.CONTROL!$F$53+VLOOKUP($B85-IO.CONTROL!$C$14,STAND.PARAMS!$K$209:$U$264,8)*IO.CONTROL!$F$54+VLOOKUP($B85-IO.CONTROL!$C$14,STAND.PARAMS!$K$209:$U$264,9)*IO.CONTROL!$F$55+VLOOKUP($B85-IO.CONTROL!$C$14,STAND.PARAMS!$K$209:$U$264,10)*IO.CONTROL!$F$56+VLOOKUP($B85-IO.CONTROL!$C$14,STAND.PARAMS!$K$209:$U$264,11)*IO.CONTROL!$F$57)))</f>
        <v>0</v>
      </c>
      <c r="P85" s="72">
        <f>IF(IO.CONTROL!$C$14&lt;=5,N85,(((VLOOKUP(IO.CONTROL!$C$14,'CASH.FLOW'!$B$80:$AE$135,13)-$P$81)/(IO.CONTROL!$C$14-1))+P84))</f>
        <v>-7353853.3556365725</v>
      </c>
      <c r="Q85" s="110">
        <f>IF(IO.CONTROL!$C$14&lt;=5,O85,(((VLOOKUP(IO.CONTROL!$C$14,'CASH.FLOW'!$B$80:$AE$135,14)-$Q$81)/(IO.CONTROL!$C$14-1))+Q84))</f>
        <v>19372693.372857146</v>
      </c>
      <c r="R85" s="114"/>
      <c r="S85" s="72"/>
      <c r="T85" s="72"/>
      <c r="U85" s="72"/>
      <c r="V85" s="72"/>
      <c r="W85" s="72"/>
      <c r="X85" s="72"/>
      <c r="Y85" s="110"/>
      <c r="Z85" s="72">
        <f t="shared" si="1"/>
        <v>-7353853.3556365725</v>
      </c>
      <c r="AA85" s="72">
        <f>Z85/(1+IO.CONTROL!$C$13)^AF85</f>
        <v>-5243195.808518474</v>
      </c>
      <c r="AB85" s="72">
        <f t="shared" si="2"/>
        <v>19372693.372857146</v>
      </c>
      <c r="AC85" s="72">
        <f>AB85/(1+IO.CONTROL!$C$13)^AF85</f>
        <v>13812462.634221997</v>
      </c>
      <c r="AD85" s="72">
        <f t="shared" si="3"/>
        <v>12018840.017220573</v>
      </c>
      <c r="AE85" s="72">
        <f>AD85/(1+IO.CONTROL!$C$13)^B85</f>
        <v>8569266.8257035241</v>
      </c>
      <c r="AF85" s="10">
        <v>5</v>
      </c>
      <c r="AG85" s="121"/>
    </row>
    <row r="86" spans="1:33" x14ac:dyDescent="0.25">
      <c r="B86" s="9">
        <v>6</v>
      </c>
      <c r="C86" s="72">
        <f>IF(IO.CONTROL!$C$14&gt;$B86,0,STAND.PARAMS!$K$166*IO.CONTROL!$F$19)</f>
        <v>0</v>
      </c>
      <c r="D86" s="72">
        <f>IF(IO.CONTROL!$C$14&gt;$B86,0,STAND.PARAMS!$K$166*IO.CONTROL!$F$20)</f>
        <v>0</v>
      </c>
      <c r="E86" s="72">
        <f>IF(IO.CONTROL!$C$14&gt;$B86,0,(VLOOKUP($B86-IO.CONTROL!$C$14,STAND.PARAMS!$K$209:$U$264,7)+VLOOKUP($B86-IO.CONTROL!$C$14,STAND.PARAMS!$K$209:$U$264,8)+VLOOKUP($B86-IO.CONTROL!$C$14,STAND.PARAMS!$K$209:$U$264,9)+VLOOKUP($B86-IO.CONTROL!$C$14,STAND.PARAMS!$K$209:$U$264,10)+VLOOKUP($B86-IO.CONTROL!$C$14,STAND.PARAMS!$K$209:$U$264,11))*IO.CONTROL!$F$21)</f>
        <v>0</v>
      </c>
      <c r="F86" s="72">
        <f>IF(IO.CONTROL!$C$14&gt;$B86,0,VLOOKUP($B86-IO.CONTROL!$C$14,STAND.PARAMS!$K$209:$U$264,6)*IO.CONTROL!$F$22)</f>
        <v>0</v>
      </c>
      <c r="G86" s="72">
        <f>IF(IO.CONTROL!$C$14&gt;$B86,0,(STAND.PARAMS!$C$19/IO.CONTROL!$C$10)*10*IO.CONTROL!$F$23)</f>
        <v>0</v>
      </c>
      <c r="H86" s="72">
        <f>IF(IO.CONTROL!$C$14&gt;$B86,0,(STAND.PARAMS!$C$19-(STAND.PARAMS!$C$19/IO.CONTROL!$C$10)*10)*IO.CONTROL!$F$24)</f>
        <v>0</v>
      </c>
      <c r="I86" s="72">
        <f>IF(IO.CONTROL!$C$14&gt;$B86,0,(VLOOKUP($B86-IO.CONTROL!$C$14,STAND.PARAMS!$K$209:$U$264,3)*IO.CONTROL!$F$26+VLOOKUP($B86-IO.CONTROL!$C$14,STAND.PARAMS!$K$209:$U$264,4)*IO.CONTROL!$F$27+VLOOKUP($B86-IO.CONTROL!$C$14,STAND.PARAMS!$K$209:$U$264,5)*IO.CONTROL!$F$28+VLOOKUP($B86-IO.CONTROL!$C$14,STAND.PARAMS!$K$209:$U$264,6)*IO.CONTROL!$F$29))</f>
        <v>0</v>
      </c>
      <c r="J86" s="72">
        <f>IF(IO.CONTROL!$C$14&gt;$B86,0,(VLOOKUP($B86-IO.CONTROL!$C$14,STAND.PARAMS!$K$209:$U$264,3)*IO.CONTROL!$F$31+VLOOKUP($B86-IO.CONTROL!$C$14,STAND.PARAMS!$K$209:$U$264,4)*IO.CONTROL!$F$32+VLOOKUP($B86-IO.CONTROL!$C$14,STAND.PARAMS!$K$209:$U$264,5)*IO.CONTROL!$F$33+VLOOKUP($B86-IO.CONTROL!$C$14,STAND.PARAMS!$K$209:$U$264,6)*IO.CONTROL!$F$34))</f>
        <v>0</v>
      </c>
      <c r="K86" s="72">
        <f>IF(IO.CONTROL!$C$14&gt;$B86,0,(VLOOKUP($B86-IO.CONTROL!$C$14,STAND.PARAMS!$K$209:$U$264,8)*IO.CONTROL!$F$36+VLOOKUP($B86-IO.CONTROL!$C$14,STAND.PARAMS!$K$209:$U$264,9)*IO.CONTROL!$F$37+VLOOKUP($B86-IO.CONTROL!$C$14,STAND.PARAMS!$K$209:$U$264,10)*IO.CONTROL!$F$38+VLOOKUP($B86-IO.CONTROL!$C$14,STAND.PARAMS!$K$209:$U$264,11)*IO.CONTROL!$F$39))</f>
        <v>0</v>
      </c>
      <c r="L86" s="72">
        <f>IF(IO.CONTROL!$C$14&gt;$B86,0,(VLOOKUP($B86-IO.CONTROL!$C$14,STAND.PARAMS!$K$209:$U$264,2)*IO.CONTROL!$F$41+VLOOKUP($B86-IO.CONTROL!$C$14,STAND.PARAMS!$K$209:$U$264,3)*IO.CONTROL!$F$42+VLOOKUP($B86-IO.CONTROL!$C$14,STAND.PARAMS!$K$209:$U$264,4)*IO.CONTROL!$F$43+VLOOKUP($B86-IO.CONTROL!$C$14,STAND.PARAMS!$K$209:$U$264,5)*IO.CONTROL!$F$44+VLOOKUP($B86-IO.CONTROL!$C$14,STAND.PARAMS!$K$209:$U$264,6)*IO.CONTROL!$F$45))</f>
        <v>0</v>
      </c>
      <c r="M86" s="72">
        <f>IF(IO.CONTROL!$C$14&gt;$B86,0,((VLOOKUP($B86-IO.CONTROL!$C$14,STAND.PARAMS!$K$209:$U$264,7)*IO.CONTROL!$F$53*IO.CONTROL!$F$45+VLOOKUP($B86-IO.CONTROL!$C$14,STAND.PARAMS!$K$209:$U$264,8)*IO.CONTROL!$F$54*IO.CONTROL!$F$46+VLOOKUP($B86-IO.CONTROL!$C$14,STAND.PARAMS!$K$209:$U$264,9)*IO.CONTROL!$F$55*IO.CONTROL!$F$47+VLOOKUP($B86-IO.CONTROL!$C$14,STAND.PARAMS!$K$209:$U$264,10)*IO.CONTROL!$F$56*IO.CONTROL!$F$48+VLOOKUP($B86-IO.CONTROL!$C$14,STAND.PARAMS!$K$209:$U$264,11)*IO.CONTROL!$F$57*IO.CONTROL!$F$49)))</f>
        <v>0</v>
      </c>
      <c r="N86" s="72">
        <f t="shared" si="0"/>
        <v>0</v>
      </c>
      <c r="O86" s="73">
        <f>IF(IO.CONTROL!$C$14&gt;$B86,0,((VLOOKUP($B86-IO.CONTROL!$C$14,STAND.PARAMS!$K$209:$U$264,7)*IO.CONTROL!$F$53+VLOOKUP($B86-IO.CONTROL!$C$14,STAND.PARAMS!$K$209:$U$264,8)*IO.CONTROL!$F$54+VLOOKUP($B86-IO.CONTROL!$C$14,STAND.PARAMS!$K$209:$U$264,9)*IO.CONTROL!$F$55+VLOOKUP($B86-IO.CONTROL!$C$14,STAND.PARAMS!$K$209:$U$264,10)*IO.CONTROL!$F$56+VLOOKUP($B86-IO.CONTROL!$C$14,STAND.PARAMS!$K$209:$U$264,11)*IO.CONTROL!$F$57)))</f>
        <v>0</v>
      </c>
      <c r="P86" s="72">
        <f>IF(IO.CONTROL!$C$14&lt;=6,N86,(((VLOOKUP(IO.CONTROL!$C$14,'CASH.FLOW'!$B$80:$AE$135,13)-$P$81)/(IO.CONTROL!$C$14-1))+P85))</f>
        <v>-8942316.694545716</v>
      </c>
      <c r="Q86" s="110">
        <f>IF(IO.CONTROL!$C$14&lt;=6,O86,(((VLOOKUP(IO.CONTROL!$C$14,'CASH.FLOW'!$B$80:$AE$135,14)-$Q$81)/(IO.CONTROL!$C$14-1))+Q85))</f>
        <v>22215866.716071431</v>
      </c>
      <c r="R86" s="114"/>
      <c r="S86" s="72"/>
      <c r="T86" s="72"/>
      <c r="U86" s="72"/>
      <c r="V86" s="72"/>
      <c r="W86" s="72"/>
      <c r="X86" s="72"/>
      <c r="Y86" s="110"/>
      <c r="Z86" s="72">
        <f t="shared" si="1"/>
        <v>-8942316.694545716</v>
      </c>
      <c r="AA86" s="72">
        <f>Z86/(1+IO.CONTROL!$C$13)^AF86</f>
        <v>-5958643.1923151184</v>
      </c>
      <c r="AB86" s="72">
        <f t="shared" si="2"/>
        <v>22215866.716071431</v>
      </c>
      <c r="AC86" s="72">
        <f>AB86/(1+IO.CONTROL!$C$13)^AF86</f>
        <v>14803370.031598281</v>
      </c>
      <c r="AD86" s="72">
        <f t="shared" si="3"/>
        <v>13273550.021525715</v>
      </c>
      <c r="AE86" s="72">
        <f>AD86/(1+IO.CONTROL!$C$13)^B86</f>
        <v>8844726.8392831627</v>
      </c>
      <c r="AF86" s="10">
        <v>6</v>
      </c>
      <c r="AG86" s="121"/>
    </row>
    <row r="87" spans="1:33" x14ac:dyDescent="0.25">
      <c r="B87" s="9">
        <v>7</v>
      </c>
      <c r="C87" s="72">
        <f>IF(IO.CONTROL!$C$14&gt;$B87,0,STAND.PARAMS!$K$166*IO.CONTROL!$F$19)</f>
        <v>0</v>
      </c>
      <c r="D87" s="72">
        <f>IF(IO.CONTROL!$C$14&gt;$B87,0,STAND.PARAMS!$K$166*IO.CONTROL!$F$20)</f>
        <v>0</v>
      </c>
      <c r="E87" s="72">
        <f>IF(IO.CONTROL!$C$14&gt;$B87,0,(VLOOKUP($B87-IO.CONTROL!$C$14,STAND.PARAMS!$K$209:$U$264,7)+VLOOKUP($B87-IO.CONTROL!$C$14,STAND.PARAMS!$K$209:$U$264,8)+VLOOKUP($B87-IO.CONTROL!$C$14,STAND.PARAMS!$K$209:$U$264,9)+VLOOKUP($B87-IO.CONTROL!$C$14,STAND.PARAMS!$K$209:$U$264,10)+VLOOKUP($B87-IO.CONTROL!$C$14,STAND.PARAMS!$K$209:$U$264,11))*IO.CONTROL!$F$21)</f>
        <v>0</v>
      </c>
      <c r="F87" s="72">
        <f>IF(IO.CONTROL!$C$14&gt;$B87,0,VLOOKUP($B87-IO.CONTROL!$C$14,STAND.PARAMS!$K$209:$U$264,6)*IO.CONTROL!$F$22)</f>
        <v>0</v>
      </c>
      <c r="G87" s="72">
        <f>IF(IO.CONTROL!$C$14&gt;$B87,0,(STAND.PARAMS!$C$19/IO.CONTROL!$C$10)*10*IO.CONTROL!$F$23)</f>
        <v>0</v>
      </c>
      <c r="H87" s="72">
        <f>IF(IO.CONTROL!$C$14&gt;$B87,0,(STAND.PARAMS!$C$19-(STAND.PARAMS!$C$19/IO.CONTROL!$C$10)*10)*IO.CONTROL!$F$24)</f>
        <v>0</v>
      </c>
      <c r="I87" s="72">
        <f>IF(IO.CONTROL!$C$14&gt;$B87,0,(VLOOKUP($B87-IO.CONTROL!$C$14,STAND.PARAMS!$K$209:$U$264,3)*IO.CONTROL!$F$26+VLOOKUP($B87-IO.CONTROL!$C$14,STAND.PARAMS!$K$209:$U$264,4)*IO.CONTROL!$F$27+VLOOKUP($B87-IO.CONTROL!$C$14,STAND.PARAMS!$K$209:$U$264,5)*IO.CONTROL!$F$28+VLOOKUP($B87-IO.CONTROL!$C$14,STAND.PARAMS!$K$209:$U$264,6)*IO.CONTROL!$F$29))</f>
        <v>0</v>
      </c>
      <c r="J87" s="72">
        <f>IF(IO.CONTROL!$C$14&gt;$B87,0,(VLOOKUP($B87-IO.CONTROL!$C$14,STAND.PARAMS!$K$209:$U$264,3)*IO.CONTROL!$F$31+VLOOKUP($B87-IO.CONTROL!$C$14,STAND.PARAMS!$K$209:$U$264,4)*IO.CONTROL!$F$32+VLOOKUP($B87-IO.CONTROL!$C$14,STAND.PARAMS!$K$209:$U$264,5)*IO.CONTROL!$F$33+VLOOKUP($B87-IO.CONTROL!$C$14,STAND.PARAMS!$K$209:$U$264,6)*IO.CONTROL!$F$34))</f>
        <v>0</v>
      </c>
      <c r="K87" s="72">
        <f>IF(IO.CONTROL!$C$14&gt;$B87,0,(VLOOKUP($B87-IO.CONTROL!$C$14,STAND.PARAMS!$K$209:$U$264,8)*IO.CONTROL!$F$36+VLOOKUP($B87-IO.CONTROL!$C$14,STAND.PARAMS!$K$209:$U$264,9)*IO.CONTROL!$F$37+VLOOKUP($B87-IO.CONTROL!$C$14,STAND.PARAMS!$K$209:$U$264,10)*IO.CONTROL!$F$38+VLOOKUP($B87-IO.CONTROL!$C$14,STAND.PARAMS!$K$209:$U$264,11)*IO.CONTROL!$F$39))</f>
        <v>0</v>
      </c>
      <c r="L87" s="72">
        <f>IF(IO.CONTROL!$C$14&gt;$B87,0,(VLOOKUP($B87-IO.CONTROL!$C$14,STAND.PARAMS!$K$209:$U$264,2)*IO.CONTROL!$F$41+VLOOKUP($B87-IO.CONTROL!$C$14,STAND.PARAMS!$K$209:$U$264,3)*IO.CONTROL!$F$42+VLOOKUP($B87-IO.CONTROL!$C$14,STAND.PARAMS!$K$209:$U$264,4)*IO.CONTROL!$F$43+VLOOKUP($B87-IO.CONTROL!$C$14,STAND.PARAMS!$K$209:$U$264,5)*IO.CONTROL!$F$44+VLOOKUP($B87-IO.CONTROL!$C$14,STAND.PARAMS!$K$209:$U$264,6)*IO.CONTROL!$F$45))</f>
        <v>0</v>
      </c>
      <c r="M87" s="72">
        <f>IF(IO.CONTROL!$C$14&gt;$B87,0,((VLOOKUP($B87-IO.CONTROL!$C$14,STAND.PARAMS!$K$209:$U$264,7)*IO.CONTROL!$F$53*IO.CONTROL!$F$45+VLOOKUP($B87-IO.CONTROL!$C$14,STAND.PARAMS!$K$209:$U$264,8)*IO.CONTROL!$F$54*IO.CONTROL!$F$46+VLOOKUP($B87-IO.CONTROL!$C$14,STAND.PARAMS!$K$209:$U$264,9)*IO.CONTROL!$F$55*IO.CONTROL!$F$47+VLOOKUP($B87-IO.CONTROL!$C$14,STAND.PARAMS!$K$209:$U$264,10)*IO.CONTROL!$F$56*IO.CONTROL!$F$48+VLOOKUP($B87-IO.CONTROL!$C$14,STAND.PARAMS!$K$209:$U$264,11)*IO.CONTROL!$F$57*IO.CONTROL!$F$49)))</f>
        <v>0</v>
      </c>
      <c r="N87" s="72">
        <f t="shared" si="0"/>
        <v>0</v>
      </c>
      <c r="O87" s="73">
        <f>IF(IO.CONTROL!$C$14&gt;$B87,0,((VLOOKUP($B87-IO.CONTROL!$C$14,STAND.PARAMS!$K$209:$U$264,7)*IO.CONTROL!$F$53+VLOOKUP($B87-IO.CONTROL!$C$14,STAND.PARAMS!$K$209:$U$264,8)*IO.CONTROL!$F$54+VLOOKUP($B87-IO.CONTROL!$C$14,STAND.PARAMS!$K$209:$U$264,9)*IO.CONTROL!$F$55+VLOOKUP($B87-IO.CONTROL!$C$14,STAND.PARAMS!$K$209:$U$264,10)*IO.CONTROL!$F$56+VLOOKUP($B87-IO.CONTROL!$C$14,STAND.PARAMS!$K$209:$U$264,11)*IO.CONTROL!$F$57)))</f>
        <v>0</v>
      </c>
      <c r="P87" s="72">
        <f>IF(IO.CONTROL!$C$14&lt;=7,N87,(((VLOOKUP(IO.CONTROL!$C$14,'CASH.FLOW'!$B$80:$AE$135,13)-$P$81)/(IO.CONTROL!$C$14-1))+P86))</f>
        <v>-10530780.03345486</v>
      </c>
      <c r="Q87" s="110">
        <f>IF(IO.CONTROL!$C$14&lt;=7,O87,(((VLOOKUP(IO.CONTROL!$C$14,'CASH.FLOW'!$B$80:$AE$135,14)-$Q$81)/(IO.CONTROL!$C$14-1))+Q86))</f>
        <v>25059040.059285715</v>
      </c>
      <c r="R87" s="114"/>
      <c r="S87" s="72"/>
      <c r="T87" s="72"/>
      <c r="U87" s="72"/>
      <c r="V87" s="72"/>
      <c r="W87" s="72"/>
      <c r="X87" s="72"/>
      <c r="Y87" s="110"/>
      <c r="Z87" s="72">
        <f t="shared" si="1"/>
        <v>-10530780.03345486</v>
      </c>
      <c r="AA87" s="72">
        <f>Z87/(1+IO.CONTROL!$C$13)^AF87</f>
        <v>-6558040.5476774191</v>
      </c>
      <c r="AB87" s="72">
        <f t="shared" si="2"/>
        <v>25059040.059285715</v>
      </c>
      <c r="AC87" s="72">
        <f>AB87/(1+IO.CONTROL!$C$13)^AF87</f>
        <v>15605510.728795808</v>
      </c>
      <c r="AD87" s="72">
        <f t="shared" si="3"/>
        <v>14528260.025830856</v>
      </c>
      <c r="AE87" s="72">
        <f>AD87/(1+IO.CONTROL!$C$13)^B87</f>
        <v>9047470.1811183877</v>
      </c>
      <c r="AF87" s="10">
        <v>7</v>
      </c>
      <c r="AG87" s="121"/>
    </row>
    <row r="88" spans="1:33" x14ac:dyDescent="0.25">
      <c r="B88" s="9">
        <v>8</v>
      </c>
      <c r="C88" s="72">
        <f>IF(IO.CONTROL!$C$14&gt;$B88,0,STAND.PARAMS!$K$166*IO.CONTROL!$F$19)</f>
        <v>-83884.455000000002</v>
      </c>
      <c r="D88" s="72">
        <f>IF(IO.CONTROL!$C$14&gt;$B88,0,STAND.PARAMS!$K$166*IO.CONTROL!$F$20)</f>
        <v>-128622.83099999999</v>
      </c>
      <c r="E88" s="72">
        <f>IF(IO.CONTROL!$C$14&gt;$B88,0,(VLOOKUP($B88-IO.CONTROL!$C$14,STAND.PARAMS!$K$209:$U$264,7)+VLOOKUP($B88-IO.CONTROL!$C$14,STAND.PARAMS!$K$209:$U$264,8)+VLOOKUP($B88-IO.CONTROL!$C$14,STAND.PARAMS!$K$209:$U$264,9)+VLOOKUP($B88-IO.CONTROL!$C$14,STAND.PARAMS!$K$209:$U$264,10)+VLOOKUP($B88-IO.CONTROL!$C$14,STAND.PARAMS!$K$209:$U$264,11))*IO.CONTROL!$F$21)</f>
        <v>-3875543.1165540004</v>
      </c>
      <c r="F88" s="72">
        <f>IF(IO.CONTROL!$C$14&gt;$B88,0,VLOOKUP($B88-IO.CONTROL!$C$14,STAND.PARAMS!$K$209:$U$264,6)*IO.CONTROL!$F$22)</f>
        <v>-3437864.5807500002</v>
      </c>
      <c r="G88" s="72">
        <f>IF(IO.CONTROL!$C$14&gt;$B88,0,(STAND.PARAMS!$C$19/IO.CONTROL!$C$10)*10*IO.CONTROL!$F$23)</f>
        <v>-209711.13749999998</v>
      </c>
      <c r="H88" s="72">
        <f>IF(IO.CONTROL!$C$14&gt;$B88,0,(STAND.PARAMS!$C$19-(STAND.PARAMS!$C$19/IO.CONTROL!$C$10)*10)*IO.CONTROL!$F$24)</f>
        <v>-310372.48350000003</v>
      </c>
      <c r="I88" s="72">
        <f>IF(IO.CONTROL!$C$14&gt;$B88,0,(VLOOKUP($B88-IO.CONTROL!$C$14,STAND.PARAMS!$K$209:$U$264,3)*IO.CONTROL!$F$26+VLOOKUP($B88-IO.CONTROL!$C$14,STAND.PARAMS!$K$209:$U$264,4)*IO.CONTROL!$F$27+VLOOKUP($B88-IO.CONTROL!$C$14,STAND.PARAMS!$K$209:$U$264,5)*IO.CONTROL!$F$28+VLOOKUP($B88-IO.CONTROL!$C$14,STAND.PARAMS!$K$209:$U$264,6)*IO.CONTROL!$F$29))</f>
        <v>-57616.150050000004</v>
      </c>
      <c r="J88" s="72">
        <f>IF(IO.CONTROL!$C$14&gt;$B88,0,(VLOOKUP($B88-IO.CONTROL!$C$14,STAND.PARAMS!$K$209:$U$264,3)*IO.CONTROL!$F$31+VLOOKUP($B88-IO.CONTROL!$C$14,STAND.PARAMS!$K$209:$U$264,4)*IO.CONTROL!$F$32+VLOOKUP($B88-IO.CONTROL!$C$14,STAND.PARAMS!$K$209:$U$264,5)*IO.CONTROL!$F$33+VLOOKUP($B88-IO.CONTROL!$C$14,STAND.PARAMS!$K$209:$U$264,6)*IO.CONTROL!$F$34))</f>
        <v>-771753.16777499986</v>
      </c>
      <c r="K88" s="72">
        <f>IF(IO.CONTROL!$C$14&gt;$B88,0,(VLOOKUP($B88-IO.CONTROL!$C$14,STAND.PARAMS!$K$209:$U$264,8)*IO.CONTROL!$F$36+VLOOKUP($B88-IO.CONTROL!$C$14,STAND.PARAMS!$K$209:$U$264,9)*IO.CONTROL!$F$37+VLOOKUP($B88-IO.CONTROL!$C$14,STAND.PARAMS!$K$209:$U$264,10)*IO.CONTROL!$F$38+VLOOKUP($B88-IO.CONTROL!$C$14,STAND.PARAMS!$K$209:$U$264,11)*IO.CONTROL!$F$39))</f>
        <v>-367896.02090999996</v>
      </c>
      <c r="L88" s="72">
        <f>IF(IO.CONTROL!$C$14&gt;$B88,0,(VLOOKUP($B88-IO.CONTROL!$C$14,STAND.PARAMS!$K$209:$U$264,2)*IO.CONTROL!$F$41+VLOOKUP($B88-IO.CONTROL!$C$14,STAND.PARAMS!$K$209:$U$264,3)*IO.CONTROL!$F$42+VLOOKUP($B88-IO.CONTROL!$C$14,STAND.PARAMS!$K$209:$U$264,4)*IO.CONTROL!$F$43+VLOOKUP($B88-IO.CONTROL!$C$14,STAND.PARAMS!$K$209:$U$264,5)*IO.CONTROL!$F$44+VLOOKUP($B88-IO.CONTROL!$C$14,STAND.PARAMS!$K$209:$U$264,6)*IO.CONTROL!$F$45))</f>
        <v>-2038913.02725</v>
      </c>
      <c r="M88" s="72">
        <f>IF(IO.CONTROL!$C$14&gt;$B88,0,((VLOOKUP($B88-IO.CONTROL!$C$14,STAND.PARAMS!$K$209:$U$264,7)*IO.CONTROL!$F$53*IO.CONTROL!$F$45+VLOOKUP($B88-IO.CONTROL!$C$14,STAND.PARAMS!$K$209:$U$264,8)*IO.CONTROL!$F$54*IO.CONTROL!$F$46+VLOOKUP($B88-IO.CONTROL!$C$14,STAND.PARAMS!$K$209:$U$264,9)*IO.CONTROL!$F$55*IO.CONTROL!$F$47+VLOOKUP($B88-IO.CONTROL!$C$14,STAND.PARAMS!$K$209:$U$264,10)*IO.CONTROL!$F$56*IO.CONTROL!$F$48+VLOOKUP($B88-IO.CONTROL!$C$14,STAND.PARAMS!$K$209:$U$264,11)*IO.CONTROL!$F$57*IO.CONTROL!$F$49)))</f>
        <v>-837066.40207500011</v>
      </c>
      <c r="N88" s="72">
        <f t="shared" si="0"/>
        <v>-12119243.372364001</v>
      </c>
      <c r="O88" s="73">
        <f>IF(IO.CONTROL!$C$14&gt;$B88,0,((VLOOKUP($B88-IO.CONTROL!$C$14,STAND.PARAMS!$K$209:$U$264,7)*IO.CONTROL!$F$53+VLOOKUP($B88-IO.CONTROL!$C$14,STAND.PARAMS!$K$209:$U$264,8)*IO.CONTROL!$F$54+VLOOKUP($B88-IO.CONTROL!$C$14,STAND.PARAMS!$K$209:$U$264,9)*IO.CONTROL!$F$55+VLOOKUP($B88-IO.CONTROL!$C$14,STAND.PARAMS!$K$209:$U$264,10)*IO.CONTROL!$F$56+VLOOKUP($B88-IO.CONTROL!$C$14,STAND.PARAMS!$K$209:$U$264,11)*IO.CONTROL!$F$57)))</f>
        <v>27902213.402500004</v>
      </c>
      <c r="P88" s="72">
        <f>IF(IO.CONTROL!$C$14&lt;=8,N88,(((VLOOKUP(IO.CONTROL!$C$14,'CASH.FLOW'!$B$80:$AE$135,13)-$P$81)/(IO.CONTROL!$C$14-1))+P87))</f>
        <v>-12119243.372364001</v>
      </c>
      <c r="Q88" s="110">
        <f>IF(IO.CONTROL!$C$14&lt;=8,O88,(((VLOOKUP(IO.CONTROL!$C$14,'CASH.FLOW'!$B$80:$AE$135,14)-$Q$81)/(IO.CONTROL!$C$14-1))+Q87))</f>
        <v>27902213.402500004</v>
      </c>
      <c r="R88" s="114"/>
      <c r="S88" s="72"/>
      <c r="T88" s="72"/>
      <c r="U88" s="72"/>
      <c r="V88" s="72"/>
      <c r="W88" s="72"/>
      <c r="X88" s="72"/>
      <c r="Y88" s="110"/>
      <c r="Z88" s="72">
        <f t="shared" si="1"/>
        <v>-12119243.372364001</v>
      </c>
      <c r="AA88" s="72">
        <f>Z88/(1+IO.CONTROL!$C$13)^AF88</f>
        <v>-7053509.9831553493</v>
      </c>
      <c r="AB88" s="72">
        <f t="shared" si="2"/>
        <v>27902213.402500004</v>
      </c>
      <c r="AC88" s="72">
        <f>AB88/(1+IO.CONTROL!$C$13)^AF88</f>
        <v>16239342.237771641</v>
      </c>
      <c r="AD88" s="72">
        <f t="shared" si="3"/>
        <v>15782970.030136002</v>
      </c>
      <c r="AE88" s="72">
        <f>AD88/(1+IO.CONTROL!$C$13)^B88</f>
        <v>9185832.2546162922</v>
      </c>
      <c r="AF88" s="10">
        <v>8</v>
      </c>
      <c r="AG88" s="121"/>
    </row>
    <row r="89" spans="1:33" x14ac:dyDescent="0.25">
      <c r="B89" s="9">
        <v>9</v>
      </c>
      <c r="C89" s="72">
        <f>IF(IO.CONTROL!$C$14&gt;$B89,0,STAND.PARAMS!$K$166*IO.CONTROL!$F$19)</f>
        <v>-83884.455000000002</v>
      </c>
      <c r="D89" s="72">
        <f>IF(IO.CONTROL!$C$14&gt;$B89,0,STAND.PARAMS!$K$166*IO.CONTROL!$F$20)</f>
        <v>-128622.83099999999</v>
      </c>
      <c r="E89" s="72">
        <f>IF(IO.CONTROL!$C$14&gt;$B89,0,(VLOOKUP($B89-IO.CONTROL!$C$14,STAND.PARAMS!$K$209:$U$264,7)+VLOOKUP($B89-IO.CONTROL!$C$14,STAND.PARAMS!$K$209:$U$264,8)+VLOOKUP($B89-IO.CONTROL!$C$14,STAND.PARAMS!$K$209:$U$264,9)+VLOOKUP($B89-IO.CONTROL!$C$14,STAND.PARAMS!$K$209:$U$264,10)+VLOOKUP($B89-IO.CONTROL!$C$14,STAND.PARAMS!$K$209:$U$264,11))*IO.CONTROL!$F$21)</f>
        <v>-3875543.1165540004</v>
      </c>
      <c r="F89" s="72">
        <f>IF(IO.CONTROL!$C$14&gt;$B89,0,VLOOKUP($B89-IO.CONTROL!$C$14,STAND.PARAMS!$K$209:$U$264,6)*IO.CONTROL!$F$22)</f>
        <v>-3437864.5807500002</v>
      </c>
      <c r="G89" s="72">
        <f>IF(IO.CONTROL!$C$14&gt;$B89,0,(STAND.PARAMS!$C$19/IO.CONTROL!$C$10)*10*IO.CONTROL!$F$23)</f>
        <v>-209711.13749999998</v>
      </c>
      <c r="H89" s="72">
        <f>IF(IO.CONTROL!$C$14&gt;$B89,0,(STAND.PARAMS!$C$19-(STAND.PARAMS!$C$19/IO.CONTROL!$C$10)*10)*IO.CONTROL!$F$24)</f>
        <v>-310372.48350000003</v>
      </c>
      <c r="I89" s="72">
        <f>IF(IO.CONTROL!$C$14&gt;$B89,0,(VLOOKUP($B89-IO.CONTROL!$C$14,STAND.PARAMS!$K$209:$U$264,3)*IO.CONTROL!$F$26+VLOOKUP($B89-IO.CONTROL!$C$14,STAND.PARAMS!$K$209:$U$264,4)*IO.CONTROL!$F$27+VLOOKUP($B89-IO.CONTROL!$C$14,STAND.PARAMS!$K$209:$U$264,5)*IO.CONTROL!$F$28+VLOOKUP($B89-IO.CONTROL!$C$14,STAND.PARAMS!$K$209:$U$264,6)*IO.CONTROL!$F$29))</f>
        <v>-57616.150050000004</v>
      </c>
      <c r="J89" s="72">
        <f>IF(IO.CONTROL!$C$14&gt;$B89,0,(VLOOKUP($B89-IO.CONTROL!$C$14,STAND.PARAMS!$K$209:$U$264,3)*IO.CONTROL!$F$31+VLOOKUP($B89-IO.CONTROL!$C$14,STAND.PARAMS!$K$209:$U$264,4)*IO.CONTROL!$F$32+VLOOKUP($B89-IO.CONTROL!$C$14,STAND.PARAMS!$K$209:$U$264,5)*IO.CONTROL!$F$33+VLOOKUP($B89-IO.CONTROL!$C$14,STAND.PARAMS!$K$209:$U$264,6)*IO.CONTROL!$F$34))</f>
        <v>-771753.16777499986</v>
      </c>
      <c r="K89" s="72">
        <f>IF(IO.CONTROL!$C$14&gt;$B89,0,(VLOOKUP($B89-IO.CONTROL!$C$14,STAND.PARAMS!$K$209:$U$264,8)*IO.CONTROL!$F$36+VLOOKUP($B89-IO.CONTROL!$C$14,STAND.PARAMS!$K$209:$U$264,9)*IO.CONTROL!$F$37+VLOOKUP($B89-IO.CONTROL!$C$14,STAND.PARAMS!$K$209:$U$264,10)*IO.CONTROL!$F$38+VLOOKUP($B89-IO.CONTROL!$C$14,STAND.PARAMS!$K$209:$U$264,11)*IO.CONTROL!$F$39))</f>
        <v>-367896.02090999996</v>
      </c>
      <c r="L89" s="72">
        <f>IF(IO.CONTROL!$C$14&gt;$B89,0,(VLOOKUP($B89-IO.CONTROL!$C$14,STAND.PARAMS!$K$209:$U$264,2)*IO.CONTROL!$F$41+VLOOKUP($B89-IO.CONTROL!$C$14,STAND.PARAMS!$K$209:$U$264,3)*IO.CONTROL!$F$42+VLOOKUP($B89-IO.CONTROL!$C$14,STAND.PARAMS!$K$209:$U$264,4)*IO.CONTROL!$F$43+VLOOKUP($B89-IO.CONTROL!$C$14,STAND.PARAMS!$K$209:$U$264,5)*IO.CONTROL!$F$44+VLOOKUP($B89-IO.CONTROL!$C$14,STAND.PARAMS!$K$209:$U$264,6)*IO.CONTROL!$F$45))</f>
        <v>-2038913.02725</v>
      </c>
      <c r="M89" s="72">
        <f>IF(IO.CONTROL!$C$14&gt;$B89,0,((VLOOKUP($B89-IO.CONTROL!$C$14,STAND.PARAMS!$K$209:$U$264,7)*IO.CONTROL!$F$53*IO.CONTROL!$F$45+VLOOKUP($B89-IO.CONTROL!$C$14,STAND.PARAMS!$K$209:$U$264,8)*IO.CONTROL!$F$54*IO.CONTROL!$F$46+VLOOKUP($B89-IO.CONTROL!$C$14,STAND.PARAMS!$K$209:$U$264,9)*IO.CONTROL!$F$55*IO.CONTROL!$F$47+VLOOKUP($B89-IO.CONTROL!$C$14,STAND.PARAMS!$K$209:$U$264,10)*IO.CONTROL!$F$56*IO.CONTROL!$F$48+VLOOKUP($B89-IO.CONTROL!$C$14,STAND.PARAMS!$K$209:$U$264,11)*IO.CONTROL!$F$57*IO.CONTROL!$F$49)))</f>
        <v>-837066.40207500011</v>
      </c>
      <c r="N89" s="72">
        <f t="shared" si="0"/>
        <v>-12119243.372364001</v>
      </c>
      <c r="O89" s="73">
        <f>IF(IO.CONTROL!$C$14&gt;$B89,0,((VLOOKUP($B89-IO.CONTROL!$C$14,STAND.PARAMS!$K$209:$U$264,7)*IO.CONTROL!$F$53+VLOOKUP($B89-IO.CONTROL!$C$14,STAND.PARAMS!$K$209:$U$264,8)*IO.CONTROL!$F$54+VLOOKUP($B89-IO.CONTROL!$C$14,STAND.PARAMS!$K$209:$U$264,9)*IO.CONTROL!$F$55+VLOOKUP($B89-IO.CONTROL!$C$14,STAND.PARAMS!$K$209:$U$264,10)*IO.CONTROL!$F$56+VLOOKUP($B89-IO.CONTROL!$C$14,STAND.PARAMS!$K$209:$U$264,11)*IO.CONTROL!$F$57)))</f>
        <v>27902213.402500004</v>
      </c>
      <c r="P89" s="72">
        <f>IF(IO.CONTROL!$C$14&lt;=9,N89,(((VLOOKUP(IO.CONTROL!$C$14,'CASH.FLOW'!$B$80:$AE$135,13)-$P$81)/(IO.CONTROL!$C$14-1))+P88))</f>
        <v>-12119243.372364001</v>
      </c>
      <c r="Q89" s="110">
        <f>IF(IO.CONTROL!$C$14&lt;=9,O89,(((VLOOKUP(IO.CONTROL!$C$14,'CASH.FLOW'!$B$80:$AE$135,14)-$Q$81)/(IO.CONTROL!$C$14-1))+Q88))</f>
        <v>27902213.402500004</v>
      </c>
      <c r="R89" s="114"/>
      <c r="S89" s="72"/>
      <c r="T89" s="72"/>
      <c r="U89" s="72"/>
      <c r="V89" s="72"/>
      <c r="W89" s="72"/>
      <c r="X89" s="72"/>
      <c r="Y89" s="110"/>
      <c r="Z89" s="72">
        <f t="shared" si="1"/>
        <v>-12119243.372364001</v>
      </c>
      <c r="AA89" s="72">
        <f>Z89/(1+IO.CONTROL!$C$13)^AF89</f>
        <v>-6592065.4048180822</v>
      </c>
      <c r="AB89" s="72">
        <f t="shared" si="2"/>
        <v>27902213.402500004</v>
      </c>
      <c r="AC89" s="72">
        <f>AB89/(1+IO.CONTROL!$C$13)^AF89</f>
        <v>15176955.362403402</v>
      </c>
      <c r="AD89" s="72">
        <f t="shared" si="3"/>
        <v>15782970.030136002</v>
      </c>
      <c r="AE89" s="72">
        <f>AD89/(1+IO.CONTROL!$C$13)^B89</f>
        <v>8584889.9575853199</v>
      </c>
      <c r="AF89" s="10">
        <v>9</v>
      </c>
      <c r="AG89" s="121"/>
    </row>
    <row r="90" spans="1:33" x14ac:dyDescent="0.25">
      <c r="B90" s="9">
        <v>10</v>
      </c>
      <c r="C90" s="72">
        <f>IF(IO.CONTROL!$C$14&gt;$B90,0,STAND.PARAMS!$K$166*IO.CONTROL!$F$19)</f>
        <v>-83884.455000000002</v>
      </c>
      <c r="D90" s="72">
        <f>IF(IO.CONTROL!$C$14&gt;$B90,0,STAND.PARAMS!$K$166*IO.CONTROL!$F$20)</f>
        <v>-128622.83099999999</v>
      </c>
      <c r="E90" s="72">
        <f>IF(IO.CONTROL!$C$14&gt;$B90,0,(VLOOKUP($B90-IO.CONTROL!$C$14,STAND.PARAMS!$K$209:$U$264,7)+VLOOKUP($B90-IO.CONTROL!$C$14,STAND.PARAMS!$K$209:$U$264,8)+VLOOKUP($B90-IO.CONTROL!$C$14,STAND.PARAMS!$K$209:$U$264,9)+VLOOKUP($B90-IO.CONTROL!$C$14,STAND.PARAMS!$K$209:$U$264,10)+VLOOKUP($B90-IO.CONTROL!$C$14,STAND.PARAMS!$K$209:$U$264,11))*IO.CONTROL!$F$21)</f>
        <v>-3875543.1165540004</v>
      </c>
      <c r="F90" s="72">
        <f>IF(IO.CONTROL!$C$14&gt;$B90,0,VLOOKUP($B90-IO.CONTROL!$C$14,STAND.PARAMS!$K$209:$U$264,6)*IO.CONTROL!$F$22)</f>
        <v>-3437864.5807500002</v>
      </c>
      <c r="G90" s="72">
        <f>IF(IO.CONTROL!$C$14&gt;$B90,0,(STAND.PARAMS!$C$19/IO.CONTROL!$C$10)*10*IO.CONTROL!$F$23)</f>
        <v>-209711.13749999998</v>
      </c>
      <c r="H90" s="72">
        <f>IF(IO.CONTROL!$C$14&gt;$B90,0,(STAND.PARAMS!$C$19-(STAND.PARAMS!$C$19/IO.CONTROL!$C$10)*10)*IO.CONTROL!$F$24)</f>
        <v>-310372.48350000003</v>
      </c>
      <c r="I90" s="72">
        <f>IF(IO.CONTROL!$C$14&gt;$B90,0,(VLOOKUP($B90-IO.CONTROL!$C$14,STAND.PARAMS!$K$209:$U$264,3)*IO.CONTROL!$F$26+VLOOKUP($B90-IO.CONTROL!$C$14,STAND.PARAMS!$K$209:$U$264,4)*IO.CONTROL!$F$27+VLOOKUP($B90-IO.CONTROL!$C$14,STAND.PARAMS!$K$209:$U$264,5)*IO.CONTROL!$F$28+VLOOKUP($B90-IO.CONTROL!$C$14,STAND.PARAMS!$K$209:$U$264,6)*IO.CONTROL!$F$29))</f>
        <v>-57616.150050000004</v>
      </c>
      <c r="J90" s="72">
        <f>IF(IO.CONTROL!$C$14&gt;$B90,0,(VLOOKUP($B90-IO.CONTROL!$C$14,STAND.PARAMS!$K$209:$U$264,3)*IO.CONTROL!$F$31+VLOOKUP($B90-IO.CONTROL!$C$14,STAND.PARAMS!$K$209:$U$264,4)*IO.CONTROL!$F$32+VLOOKUP($B90-IO.CONTROL!$C$14,STAND.PARAMS!$K$209:$U$264,5)*IO.CONTROL!$F$33+VLOOKUP($B90-IO.CONTROL!$C$14,STAND.PARAMS!$K$209:$U$264,6)*IO.CONTROL!$F$34))</f>
        <v>-771753.16777499986</v>
      </c>
      <c r="K90" s="72">
        <f>IF(IO.CONTROL!$C$14&gt;$B90,0,(VLOOKUP($B90-IO.CONTROL!$C$14,STAND.PARAMS!$K$209:$U$264,8)*IO.CONTROL!$F$36+VLOOKUP($B90-IO.CONTROL!$C$14,STAND.PARAMS!$K$209:$U$264,9)*IO.CONTROL!$F$37+VLOOKUP($B90-IO.CONTROL!$C$14,STAND.PARAMS!$K$209:$U$264,10)*IO.CONTROL!$F$38+VLOOKUP($B90-IO.CONTROL!$C$14,STAND.PARAMS!$K$209:$U$264,11)*IO.CONTROL!$F$39))</f>
        <v>-367896.02090999996</v>
      </c>
      <c r="L90" s="72">
        <f>IF(IO.CONTROL!$C$14&gt;$B90,0,(VLOOKUP($B90-IO.CONTROL!$C$14,STAND.PARAMS!$K$209:$U$264,2)*IO.CONTROL!$F$41+VLOOKUP($B90-IO.CONTROL!$C$14,STAND.PARAMS!$K$209:$U$264,3)*IO.CONTROL!$F$42+VLOOKUP($B90-IO.CONTROL!$C$14,STAND.PARAMS!$K$209:$U$264,4)*IO.CONTROL!$F$43+VLOOKUP($B90-IO.CONTROL!$C$14,STAND.PARAMS!$K$209:$U$264,5)*IO.CONTROL!$F$44+VLOOKUP($B90-IO.CONTROL!$C$14,STAND.PARAMS!$K$209:$U$264,6)*IO.CONTROL!$F$45))</f>
        <v>-2038913.02725</v>
      </c>
      <c r="M90" s="72">
        <f>IF(IO.CONTROL!$C$14&gt;$B90,0,((VLOOKUP($B90-IO.CONTROL!$C$14,STAND.PARAMS!$K$209:$U$264,7)*IO.CONTROL!$F$53*IO.CONTROL!$F$45+VLOOKUP($B90-IO.CONTROL!$C$14,STAND.PARAMS!$K$209:$U$264,8)*IO.CONTROL!$F$54*IO.CONTROL!$F$46+VLOOKUP($B90-IO.CONTROL!$C$14,STAND.PARAMS!$K$209:$U$264,9)*IO.CONTROL!$F$55*IO.CONTROL!$F$47+VLOOKUP($B90-IO.CONTROL!$C$14,STAND.PARAMS!$K$209:$U$264,10)*IO.CONTROL!$F$56*IO.CONTROL!$F$48+VLOOKUP($B90-IO.CONTROL!$C$14,STAND.PARAMS!$K$209:$U$264,11)*IO.CONTROL!$F$57*IO.CONTROL!$F$49)))</f>
        <v>-837066.40207500011</v>
      </c>
      <c r="N90" s="72">
        <f t="shared" si="0"/>
        <v>-12119243.372364001</v>
      </c>
      <c r="O90" s="73">
        <f>IF(IO.CONTROL!$C$14&gt;$B90,0,((VLOOKUP($B90-IO.CONTROL!$C$14,STAND.PARAMS!$K$209:$U$264,7)*IO.CONTROL!$F$53+VLOOKUP($B90-IO.CONTROL!$C$14,STAND.PARAMS!$K$209:$U$264,8)*IO.CONTROL!$F$54+VLOOKUP($B90-IO.CONTROL!$C$14,STAND.PARAMS!$K$209:$U$264,9)*IO.CONTROL!$F$55+VLOOKUP($B90-IO.CONTROL!$C$14,STAND.PARAMS!$K$209:$U$264,10)*IO.CONTROL!$F$56+VLOOKUP($B90-IO.CONTROL!$C$14,STAND.PARAMS!$K$209:$U$264,11)*IO.CONTROL!$F$57)))</f>
        <v>27902213.402500004</v>
      </c>
      <c r="P90" s="72">
        <f>IF(IO.CONTROL!$C$14&lt;=10,N90,(((VLOOKUP(IO.CONTROL!$C$14,'CASH.FLOW'!$B$80:$AE$135,13)-$P$81)/(IO.CONTROL!$C$14-1))+P89))</f>
        <v>-12119243.372364001</v>
      </c>
      <c r="Q90" s="110">
        <f>IF(IO.CONTROL!$C$14&lt;=10,O90,(((VLOOKUP(IO.CONTROL!$C$14,'CASH.FLOW'!$B$80:$AE$135,14)-$Q$81)/(IO.CONTROL!$C$14-1))+Q89))</f>
        <v>27902213.402500004</v>
      </c>
      <c r="R90" s="114"/>
      <c r="S90" s="72"/>
      <c r="T90" s="72"/>
      <c r="U90" s="72"/>
      <c r="V90" s="72"/>
      <c r="W90" s="72"/>
      <c r="X90" s="72"/>
      <c r="Y90" s="110"/>
      <c r="Z90" s="72">
        <f t="shared" si="1"/>
        <v>-12119243.372364001</v>
      </c>
      <c r="AA90" s="72">
        <f>Z90/(1+IO.CONTROL!$C$13)^AF90</f>
        <v>-6160808.7895496106</v>
      </c>
      <c r="AB90" s="72">
        <f t="shared" si="2"/>
        <v>27902213.402500004</v>
      </c>
      <c r="AC90" s="72">
        <f>AB90/(1+IO.CONTROL!$C$13)^AF90</f>
        <v>14184070.432152713</v>
      </c>
      <c r="AD90" s="72">
        <f t="shared" si="3"/>
        <v>15782970.030136002</v>
      </c>
      <c r="AE90" s="72">
        <f>AD90/(1+IO.CONTROL!$C$13)^B90</f>
        <v>8023261.6426031021</v>
      </c>
      <c r="AF90" s="10">
        <v>10</v>
      </c>
      <c r="AG90" s="121"/>
    </row>
    <row r="91" spans="1:33" x14ac:dyDescent="0.25">
      <c r="B91" s="9">
        <v>11</v>
      </c>
      <c r="C91" s="72">
        <f>IF(IO.CONTROL!$C$14&gt;$B91,0,STAND.PARAMS!$K$166*IO.CONTROL!$F$19)</f>
        <v>-83884.455000000002</v>
      </c>
      <c r="D91" s="72">
        <f>IF(IO.CONTROL!$C$14&gt;$B91,0,STAND.PARAMS!$K$166*IO.CONTROL!$F$20)</f>
        <v>-128622.83099999999</v>
      </c>
      <c r="E91" s="72">
        <f>IF(IO.CONTROL!$C$14&gt;$B91,0,(VLOOKUP($B91-IO.CONTROL!$C$14,STAND.PARAMS!$K$209:$U$264,7)+VLOOKUP($B91-IO.CONTROL!$C$14,STAND.PARAMS!$K$209:$U$264,8)+VLOOKUP($B91-IO.CONTROL!$C$14,STAND.PARAMS!$K$209:$U$264,9)+VLOOKUP($B91-IO.CONTROL!$C$14,STAND.PARAMS!$K$209:$U$264,10)+VLOOKUP($B91-IO.CONTROL!$C$14,STAND.PARAMS!$K$209:$U$264,11))*IO.CONTROL!$F$21)</f>
        <v>-3875543.1165540004</v>
      </c>
      <c r="F91" s="72">
        <f>IF(IO.CONTROL!$C$14&gt;$B91,0,VLOOKUP($B91-IO.CONTROL!$C$14,STAND.PARAMS!$K$209:$U$264,6)*IO.CONTROL!$F$22)</f>
        <v>-3437864.5807500002</v>
      </c>
      <c r="G91" s="72">
        <f>IF(IO.CONTROL!$C$14&gt;$B91,0,(STAND.PARAMS!$C$19/IO.CONTROL!$C$10)*10*IO.CONTROL!$F$23)</f>
        <v>-209711.13749999998</v>
      </c>
      <c r="H91" s="72">
        <f>IF(IO.CONTROL!$C$14&gt;$B91,0,(STAND.PARAMS!$C$19-(STAND.PARAMS!$C$19/IO.CONTROL!$C$10)*10)*IO.CONTROL!$F$24)</f>
        <v>-310372.48350000003</v>
      </c>
      <c r="I91" s="72">
        <f>IF(IO.CONTROL!$C$14&gt;$B91,0,(VLOOKUP($B91-IO.CONTROL!$C$14,STAND.PARAMS!$K$209:$U$264,3)*IO.CONTROL!$F$26+VLOOKUP($B91-IO.CONTROL!$C$14,STAND.PARAMS!$K$209:$U$264,4)*IO.CONTROL!$F$27+VLOOKUP($B91-IO.CONTROL!$C$14,STAND.PARAMS!$K$209:$U$264,5)*IO.CONTROL!$F$28+VLOOKUP($B91-IO.CONTROL!$C$14,STAND.PARAMS!$K$209:$U$264,6)*IO.CONTROL!$F$29))</f>
        <v>-57616.150050000004</v>
      </c>
      <c r="J91" s="72">
        <f>IF(IO.CONTROL!$C$14&gt;$B91,0,(VLOOKUP($B91-IO.CONTROL!$C$14,STAND.PARAMS!$K$209:$U$264,3)*IO.CONTROL!$F$31+VLOOKUP($B91-IO.CONTROL!$C$14,STAND.PARAMS!$K$209:$U$264,4)*IO.CONTROL!$F$32+VLOOKUP($B91-IO.CONTROL!$C$14,STAND.PARAMS!$K$209:$U$264,5)*IO.CONTROL!$F$33+VLOOKUP($B91-IO.CONTROL!$C$14,STAND.PARAMS!$K$209:$U$264,6)*IO.CONTROL!$F$34))</f>
        <v>-771753.16777499986</v>
      </c>
      <c r="K91" s="72">
        <f>IF(IO.CONTROL!$C$14&gt;$B91,0,(VLOOKUP($B91-IO.CONTROL!$C$14,STAND.PARAMS!$K$209:$U$264,8)*IO.CONTROL!$F$36+VLOOKUP($B91-IO.CONTROL!$C$14,STAND.PARAMS!$K$209:$U$264,9)*IO.CONTROL!$F$37+VLOOKUP($B91-IO.CONTROL!$C$14,STAND.PARAMS!$K$209:$U$264,10)*IO.CONTROL!$F$38+VLOOKUP($B91-IO.CONTROL!$C$14,STAND.PARAMS!$K$209:$U$264,11)*IO.CONTROL!$F$39))</f>
        <v>-367896.02090999996</v>
      </c>
      <c r="L91" s="72">
        <f>IF(IO.CONTROL!$C$14&gt;$B91,0,(VLOOKUP($B91-IO.CONTROL!$C$14,STAND.PARAMS!$K$209:$U$264,2)*IO.CONTROL!$F$41+VLOOKUP($B91-IO.CONTROL!$C$14,STAND.PARAMS!$K$209:$U$264,3)*IO.CONTROL!$F$42+VLOOKUP($B91-IO.CONTROL!$C$14,STAND.PARAMS!$K$209:$U$264,4)*IO.CONTROL!$F$43+VLOOKUP($B91-IO.CONTROL!$C$14,STAND.PARAMS!$K$209:$U$264,5)*IO.CONTROL!$F$44+VLOOKUP($B91-IO.CONTROL!$C$14,STAND.PARAMS!$K$209:$U$264,6)*IO.CONTROL!$F$45))</f>
        <v>-2038913.02725</v>
      </c>
      <c r="M91" s="72">
        <f>IF(IO.CONTROL!$C$14&gt;$B91,0,((VLOOKUP($B91-IO.CONTROL!$C$14,STAND.PARAMS!$K$209:$U$264,7)*IO.CONTROL!$F$53*IO.CONTROL!$F$45+VLOOKUP($B91-IO.CONTROL!$C$14,STAND.PARAMS!$K$209:$U$264,8)*IO.CONTROL!$F$54*IO.CONTROL!$F$46+VLOOKUP($B91-IO.CONTROL!$C$14,STAND.PARAMS!$K$209:$U$264,9)*IO.CONTROL!$F$55*IO.CONTROL!$F$47+VLOOKUP($B91-IO.CONTROL!$C$14,STAND.PARAMS!$K$209:$U$264,10)*IO.CONTROL!$F$56*IO.CONTROL!$F$48+VLOOKUP($B91-IO.CONTROL!$C$14,STAND.PARAMS!$K$209:$U$264,11)*IO.CONTROL!$F$57*IO.CONTROL!$F$49)))</f>
        <v>-837066.40207500011</v>
      </c>
      <c r="N91" s="72">
        <f t="shared" si="0"/>
        <v>-12119243.372364001</v>
      </c>
      <c r="O91" s="73">
        <f>IF(IO.CONTROL!$C$14&gt;$B91,0,((VLOOKUP($B91-IO.CONTROL!$C$14,STAND.PARAMS!$K$209:$U$264,7)*IO.CONTROL!$F$53+VLOOKUP($B91-IO.CONTROL!$C$14,STAND.PARAMS!$K$209:$U$264,8)*IO.CONTROL!$F$54+VLOOKUP($B91-IO.CONTROL!$C$14,STAND.PARAMS!$K$209:$U$264,9)*IO.CONTROL!$F$55+VLOOKUP($B91-IO.CONTROL!$C$14,STAND.PARAMS!$K$209:$U$264,10)*IO.CONTROL!$F$56+VLOOKUP($B91-IO.CONTROL!$C$14,STAND.PARAMS!$K$209:$U$264,11)*IO.CONTROL!$F$57)))</f>
        <v>27902213.402500004</v>
      </c>
      <c r="P91" s="72">
        <f>IF(IO.CONTROL!$C$14&lt;=11,N91,(((VLOOKUP(IO.CONTROL!$C$14,'CASH.FLOW'!$B$80:$AE$135,13)-$P$81)/(IO.CONTROL!$C$14-1))+P90))</f>
        <v>-12119243.372364001</v>
      </c>
      <c r="Q91" s="110">
        <f>IF(IO.CONTROL!$C$14&lt;=11,O91,(((VLOOKUP(IO.CONTROL!$C$14,'CASH.FLOW'!$B$80:$AE$135,14)-$Q$81)/(IO.CONTROL!$C$14-1))+Q90))</f>
        <v>27902213.402500004</v>
      </c>
      <c r="R91" s="114"/>
      <c r="S91" s="72"/>
      <c r="T91" s="72"/>
      <c r="U91" s="72"/>
      <c r="V91" s="72"/>
      <c r="W91" s="72"/>
      <c r="X91" s="72"/>
      <c r="Y91" s="110"/>
      <c r="Z91" s="72">
        <f t="shared" si="1"/>
        <v>-12119243.372364001</v>
      </c>
      <c r="AA91" s="72">
        <f>Z91/(1+IO.CONTROL!$C$13)^AF91</f>
        <v>-5757765.2238781396</v>
      </c>
      <c r="AB91" s="72">
        <f t="shared" si="2"/>
        <v>27902213.402500004</v>
      </c>
      <c r="AC91" s="72">
        <f>AB91/(1+IO.CONTROL!$C$13)^AF91</f>
        <v>13256140.590796925</v>
      </c>
      <c r="AD91" s="72">
        <f t="shared" si="3"/>
        <v>15782970.030136002</v>
      </c>
      <c r="AE91" s="72">
        <f>AD91/(1+IO.CONTROL!$C$13)^B91</f>
        <v>7498375.3669187864</v>
      </c>
      <c r="AF91" s="10">
        <v>11</v>
      </c>
      <c r="AG91" s="121"/>
    </row>
    <row r="92" spans="1:33" x14ac:dyDescent="0.25">
      <c r="B92" s="9">
        <v>12</v>
      </c>
      <c r="C92" s="72">
        <f>IF(IO.CONTROL!$C$14&gt;$B92,0,STAND.PARAMS!$K$166*IO.CONTROL!$F$19)</f>
        <v>-83884.455000000002</v>
      </c>
      <c r="D92" s="72">
        <f>IF(IO.CONTROL!$C$14&gt;$B92,0,STAND.PARAMS!$K$166*IO.CONTROL!$F$20)</f>
        <v>-128622.83099999999</v>
      </c>
      <c r="E92" s="72">
        <f>IF(IO.CONTROL!$C$14&gt;$B92,0,(VLOOKUP($B92-IO.CONTROL!$C$14,STAND.PARAMS!$K$209:$U$264,7)+VLOOKUP($B92-IO.CONTROL!$C$14,STAND.PARAMS!$K$209:$U$264,8)+VLOOKUP($B92-IO.CONTROL!$C$14,STAND.PARAMS!$K$209:$U$264,9)+VLOOKUP($B92-IO.CONTROL!$C$14,STAND.PARAMS!$K$209:$U$264,10)+VLOOKUP($B92-IO.CONTROL!$C$14,STAND.PARAMS!$K$209:$U$264,11))*IO.CONTROL!$F$21)</f>
        <v>-3875543.1165540004</v>
      </c>
      <c r="F92" s="72">
        <f>IF(IO.CONTROL!$C$14&gt;$B92,0,VLOOKUP($B92-IO.CONTROL!$C$14,STAND.PARAMS!$K$209:$U$264,6)*IO.CONTROL!$F$22)</f>
        <v>-3437864.5807500002</v>
      </c>
      <c r="G92" s="72">
        <f>IF(IO.CONTROL!$C$14&gt;$B92,0,(STAND.PARAMS!$C$19/IO.CONTROL!$C$10)*10*IO.CONTROL!$F$23)</f>
        <v>-209711.13749999998</v>
      </c>
      <c r="H92" s="72">
        <f>IF(IO.CONTROL!$C$14&gt;$B92,0,(STAND.PARAMS!$C$19-(STAND.PARAMS!$C$19/IO.CONTROL!$C$10)*10)*IO.CONTROL!$F$24)</f>
        <v>-310372.48350000003</v>
      </c>
      <c r="I92" s="72">
        <f>IF(IO.CONTROL!$C$14&gt;$B92,0,(VLOOKUP($B92-IO.CONTROL!$C$14,STAND.PARAMS!$K$209:$U$264,3)*IO.CONTROL!$F$26+VLOOKUP($B92-IO.CONTROL!$C$14,STAND.PARAMS!$K$209:$U$264,4)*IO.CONTROL!$F$27+VLOOKUP($B92-IO.CONTROL!$C$14,STAND.PARAMS!$K$209:$U$264,5)*IO.CONTROL!$F$28+VLOOKUP($B92-IO.CONTROL!$C$14,STAND.PARAMS!$K$209:$U$264,6)*IO.CONTROL!$F$29))</f>
        <v>-57616.150050000004</v>
      </c>
      <c r="J92" s="72">
        <f>IF(IO.CONTROL!$C$14&gt;$B92,0,(VLOOKUP($B92-IO.CONTROL!$C$14,STAND.PARAMS!$K$209:$U$264,3)*IO.CONTROL!$F$31+VLOOKUP($B92-IO.CONTROL!$C$14,STAND.PARAMS!$K$209:$U$264,4)*IO.CONTROL!$F$32+VLOOKUP($B92-IO.CONTROL!$C$14,STAND.PARAMS!$K$209:$U$264,5)*IO.CONTROL!$F$33+VLOOKUP($B92-IO.CONTROL!$C$14,STAND.PARAMS!$K$209:$U$264,6)*IO.CONTROL!$F$34))</f>
        <v>-771753.16777499986</v>
      </c>
      <c r="K92" s="72">
        <f>IF(IO.CONTROL!$C$14&gt;$B92,0,(VLOOKUP($B92-IO.CONTROL!$C$14,STAND.PARAMS!$K$209:$U$264,8)*IO.CONTROL!$F$36+VLOOKUP($B92-IO.CONTROL!$C$14,STAND.PARAMS!$K$209:$U$264,9)*IO.CONTROL!$F$37+VLOOKUP($B92-IO.CONTROL!$C$14,STAND.PARAMS!$K$209:$U$264,10)*IO.CONTROL!$F$38+VLOOKUP($B92-IO.CONTROL!$C$14,STAND.PARAMS!$K$209:$U$264,11)*IO.CONTROL!$F$39))</f>
        <v>-367896.02090999996</v>
      </c>
      <c r="L92" s="72">
        <f>IF(IO.CONTROL!$C$14&gt;$B92,0,(VLOOKUP($B92-IO.CONTROL!$C$14,STAND.PARAMS!$K$209:$U$264,2)*IO.CONTROL!$F$41+VLOOKUP($B92-IO.CONTROL!$C$14,STAND.PARAMS!$K$209:$U$264,3)*IO.CONTROL!$F$42+VLOOKUP($B92-IO.CONTROL!$C$14,STAND.PARAMS!$K$209:$U$264,4)*IO.CONTROL!$F$43+VLOOKUP($B92-IO.CONTROL!$C$14,STAND.PARAMS!$K$209:$U$264,5)*IO.CONTROL!$F$44+VLOOKUP($B92-IO.CONTROL!$C$14,STAND.PARAMS!$K$209:$U$264,6)*IO.CONTROL!$F$45))</f>
        <v>-2038913.02725</v>
      </c>
      <c r="M92" s="72">
        <f>IF(IO.CONTROL!$C$14&gt;$B92,0,((VLOOKUP($B92-IO.CONTROL!$C$14,STAND.PARAMS!$K$209:$U$264,7)*IO.CONTROL!$F$53*IO.CONTROL!$F$45+VLOOKUP($B92-IO.CONTROL!$C$14,STAND.PARAMS!$K$209:$U$264,8)*IO.CONTROL!$F$54*IO.CONTROL!$F$46+VLOOKUP($B92-IO.CONTROL!$C$14,STAND.PARAMS!$K$209:$U$264,9)*IO.CONTROL!$F$55*IO.CONTROL!$F$47+VLOOKUP($B92-IO.CONTROL!$C$14,STAND.PARAMS!$K$209:$U$264,10)*IO.CONTROL!$F$56*IO.CONTROL!$F$48+VLOOKUP($B92-IO.CONTROL!$C$14,STAND.PARAMS!$K$209:$U$264,11)*IO.CONTROL!$F$57*IO.CONTROL!$F$49)))</f>
        <v>-837066.40207500011</v>
      </c>
      <c r="N92" s="72">
        <f t="shared" si="0"/>
        <v>-12119243.372364001</v>
      </c>
      <c r="O92" s="73">
        <f>IF(IO.CONTROL!$C$14&gt;$B92,0,((VLOOKUP($B92-IO.CONTROL!$C$14,STAND.PARAMS!$K$209:$U$264,7)*IO.CONTROL!$F$53+VLOOKUP($B92-IO.CONTROL!$C$14,STAND.PARAMS!$K$209:$U$264,8)*IO.CONTROL!$F$54+VLOOKUP($B92-IO.CONTROL!$C$14,STAND.PARAMS!$K$209:$U$264,9)*IO.CONTROL!$F$55+VLOOKUP($B92-IO.CONTROL!$C$14,STAND.PARAMS!$K$209:$U$264,10)*IO.CONTROL!$F$56+VLOOKUP($B92-IO.CONTROL!$C$14,STAND.PARAMS!$K$209:$U$264,11)*IO.CONTROL!$F$57)))</f>
        <v>27902213.402500004</v>
      </c>
      <c r="P92" s="72">
        <f t="shared" ref="P92:P124" si="4">N92</f>
        <v>-12119243.372364001</v>
      </c>
      <c r="Q92" s="110">
        <f t="shared" ref="Q92:Q124" si="5">O92</f>
        <v>27902213.402500004</v>
      </c>
      <c r="R92" s="114"/>
      <c r="S92" s="72"/>
      <c r="T92" s="72"/>
      <c r="U92" s="72"/>
      <c r="V92" s="72"/>
      <c r="W92" s="72"/>
      <c r="X92" s="72"/>
      <c r="Y92" s="110"/>
      <c r="Z92" s="72">
        <f t="shared" si="1"/>
        <v>-12119243.372364001</v>
      </c>
      <c r="AA92" s="72">
        <f>Z92/(1+IO.CONTROL!$C$13)^AF92</f>
        <v>-5381088.9942786358</v>
      </c>
      <c r="AB92" s="72">
        <f t="shared" si="2"/>
        <v>27902213.402500004</v>
      </c>
      <c r="AC92" s="72">
        <f>AB92/(1+IO.CONTROL!$C$13)^AF92</f>
        <v>12388916.439997129</v>
      </c>
      <c r="AD92" s="72">
        <f t="shared" si="3"/>
        <v>15782970.030136002</v>
      </c>
      <c r="AE92" s="72">
        <f>AD92/(1+IO.CONTROL!$C$13)^B92</f>
        <v>7007827.4457184933</v>
      </c>
      <c r="AF92" s="10">
        <v>12</v>
      </c>
      <c r="AG92" s="121"/>
    </row>
    <row r="93" spans="1:33" x14ac:dyDescent="0.25">
      <c r="B93" s="9">
        <v>13</v>
      </c>
      <c r="C93" s="72">
        <f>IF(IO.CONTROL!$C$14&gt;$B93,0,STAND.PARAMS!$K$166*IO.CONTROL!$F$19)</f>
        <v>-83884.455000000002</v>
      </c>
      <c r="D93" s="72">
        <f>IF(IO.CONTROL!$C$14&gt;$B93,0,STAND.PARAMS!$K$166*IO.CONTROL!$F$20)</f>
        <v>-128622.83099999999</v>
      </c>
      <c r="E93" s="72">
        <f>IF(IO.CONTROL!$C$14&gt;$B93,0,(VLOOKUP($B93-IO.CONTROL!$C$14,STAND.PARAMS!$K$209:$U$264,7)+VLOOKUP($B93-IO.CONTROL!$C$14,STAND.PARAMS!$K$209:$U$264,8)+VLOOKUP($B93-IO.CONTROL!$C$14,STAND.PARAMS!$K$209:$U$264,9)+VLOOKUP($B93-IO.CONTROL!$C$14,STAND.PARAMS!$K$209:$U$264,10)+VLOOKUP($B93-IO.CONTROL!$C$14,STAND.PARAMS!$K$209:$U$264,11))*IO.CONTROL!$F$21)</f>
        <v>-1857015.7113540003</v>
      </c>
      <c r="F93" s="72">
        <f>IF(IO.CONTROL!$C$14&gt;$B93,0,VLOOKUP($B93-IO.CONTROL!$C$14,STAND.PARAMS!$K$209:$U$264,6)*IO.CONTROL!$F$22)</f>
        <v>-3437864.5807500002</v>
      </c>
      <c r="G93" s="72">
        <f>IF(IO.CONTROL!$C$14&gt;$B93,0,(STAND.PARAMS!$C$19/IO.CONTROL!$C$10)*10*IO.CONTROL!$F$23)</f>
        <v>-209711.13749999998</v>
      </c>
      <c r="H93" s="72">
        <f>IF(IO.CONTROL!$C$14&gt;$B93,0,(STAND.PARAMS!$C$19-(STAND.PARAMS!$C$19/IO.CONTROL!$C$10)*10)*IO.CONTROL!$F$24)</f>
        <v>-310372.48350000003</v>
      </c>
      <c r="I93" s="72">
        <f>IF(IO.CONTROL!$C$14&gt;$B93,0,(VLOOKUP($B93-IO.CONTROL!$C$14,STAND.PARAMS!$K$209:$U$264,3)*IO.CONTROL!$F$26+VLOOKUP($B93-IO.CONTROL!$C$14,STAND.PARAMS!$K$209:$U$264,4)*IO.CONTROL!$F$27+VLOOKUP($B93-IO.CONTROL!$C$14,STAND.PARAMS!$K$209:$U$264,5)*IO.CONTROL!$F$28+VLOOKUP($B93-IO.CONTROL!$C$14,STAND.PARAMS!$K$209:$U$264,6)*IO.CONTROL!$F$29))</f>
        <v>-15938.046450000002</v>
      </c>
      <c r="J93" s="72">
        <f>IF(IO.CONTROL!$C$14&gt;$B93,0,(VLOOKUP($B93-IO.CONTROL!$C$14,STAND.PARAMS!$K$209:$U$264,3)*IO.CONTROL!$F$31+VLOOKUP($B93-IO.CONTROL!$C$14,STAND.PARAMS!$K$209:$U$264,4)*IO.CONTROL!$F$32+VLOOKUP($B93-IO.CONTROL!$C$14,STAND.PARAMS!$K$209:$U$264,5)*IO.CONTROL!$F$33+VLOOKUP($B93-IO.CONTROL!$C$14,STAND.PARAMS!$K$209:$U$264,6)*IO.CONTROL!$F$34))</f>
        <v>-213485.93797499998</v>
      </c>
      <c r="K93" s="72">
        <f>IF(IO.CONTROL!$C$14&gt;$B93,0,(VLOOKUP($B93-IO.CONTROL!$C$14,STAND.PARAMS!$K$209:$U$264,8)*IO.CONTROL!$F$36+VLOOKUP($B93-IO.CONTROL!$C$14,STAND.PARAMS!$K$209:$U$264,9)*IO.CONTROL!$F$37+VLOOKUP($B93-IO.CONTROL!$C$14,STAND.PARAMS!$K$209:$U$264,10)*IO.CONTROL!$F$38+VLOOKUP($B93-IO.CONTROL!$C$14,STAND.PARAMS!$K$209:$U$264,11)*IO.CONTROL!$F$39))</f>
        <v>-169593.37791000001</v>
      </c>
      <c r="L93" s="72">
        <f>IF(IO.CONTROL!$C$14&gt;$B93,0,(VLOOKUP($B93-IO.CONTROL!$C$14,STAND.PARAMS!$K$209:$U$264,2)*IO.CONTROL!$F$41+VLOOKUP($B93-IO.CONTROL!$C$14,STAND.PARAMS!$K$209:$U$264,3)*IO.CONTROL!$F$42+VLOOKUP($B93-IO.CONTROL!$C$14,STAND.PARAMS!$K$209:$U$264,4)*IO.CONTROL!$F$43+VLOOKUP($B93-IO.CONTROL!$C$14,STAND.PARAMS!$K$209:$U$264,5)*IO.CONTROL!$F$44+VLOOKUP($B93-IO.CONTROL!$C$14,STAND.PARAMS!$K$209:$U$264,6)*IO.CONTROL!$F$45))</f>
        <v>-485154.68400000001</v>
      </c>
      <c r="M93" s="72">
        <f>IF(IO.CONTROL!$C$14&gt;$B93,0,((VLOOKUP($B93-IO.CONTROL!$C$14,STAND.PARAMS!$K$209:$U$264,7)*IO.CONTROL!$F$53*IO.CONTROL!$F$45+VLOOKUP($B93-IO.CONTROL!$C$14,STAND.PARAMS!$K$209:$U$264,8)*IO.CONTROL!$F$54*IO.CONTROL!$F$46+VLOOKUP($B93-IO.CONTROL!$C$14,STAND.PARAMS!$K$209:$U$264,9)*IO.CONTROL!$F$55*IO.CONTROL!$F$47+VLOOKUP($B93-IO.CONTROL!$C$14,STAND.PARAMS!$K$209:$U$264,10)*IO.CONTROL!$F$56*IO.CONTROL!$F$48+VLOOKUP($B93-IO.CONTROL!$C$14,STAND.PARAMS!$K$209:$U$264,11)*IO.CONTROL!$F$57*IO.CONTROL!$F$49)))</f>
        <v>-655817.37277500005</v>
      </c>
      <c r="N93" s="72">
        <f t="shared" si="0"/>
        <v>-7567460.6182140019</v>
      </c>
      <c r="O93" s="73">
        <f>IF(IO.CONTROL!$C$14&gt;$B93,0,((VLOOKUP($B93-IO.CONTROL!$C$14,STAND.PARAMS!$K$209:$U$264,7)*IO.CONTROL!$F$53+VLOOKUP($B93-IO.CONTROL!$C$14,STAND.PARAMS!$K$209:$U$264,8)*IO.CONTROL!$F$54+VLOOKUP($B93-IO.CONTROL!$C$14,STAND.PARAMS!$K$209:$U$264,9)*IO.CONTROL!$F$55+VLOOKUP($B93-IO.CONTROL!$C$14,STAND.PARAMS!$K$209:$U$264,10)*IO.CONTROL!$F$56+VLOOKUP($B93-IO.CONTROL!$C$14,STAND.PARAMS!$K$209:$U$264,11)*IO.CONTROL!$F$57)))</f>
        <v>21860579.092500001</v>
      </c>
      <c r="P93" s="72">
        <f t="shared" si="4"/>
        <v>-7567460.6182140019</v>
      </c>
      <c r="Q93" s="110">
        <f t="shared" si="5"/>
        <v>21860579.092500001</v>
      </c>
      <c r="R93" s="114"/>
      <c r="S93" s="72"/>
      <c r="T93" s="72"/>
      <c r="U93" s="72"/>
      <c r="V93" s="72"/>
      <c r="W93" s="72"/>
      <c r="X93" s="72"/>
      <c r="Y93" s="110"/>
      <c r="Z93" s="72">
        <f t="shared" si="1"/>
        <v>-7567460.6182140019</v>
      </c>
      <c r="AA93" s="72">
        <f>Z93/(1+IO.CONTROL!$C$13)^AF93</f>
        <v>-3140227.1173554249</v>
      </c>
      <c r="AB93" s="72">
        <f t="shared" si="2"/>
        <v>21860579.092500001</v>
      </c>
      <c r="AC93" s="72">
        <f>AB93/(1+IO.CONTROL!$C$13)^AF93</f>
        <v>9071363.1336429715</v>
      </c>
      <c r="AD93" s="72">
        <f t="shared" si="3"/>
        <v>14293118.474285999</v>
      </c>
      <c r="AE93" s="72">
        <f>AD93/(1+IO.CONTROL!$C$13)^B93</f>
        <v>5931136.0162875466</v>
      </c>
      <c r="AF93" s="10">
        <v>13</v>
      </c>
      <c r="AG93" s="121"/>
    </row>
    <row r="94" spans="1:33" x14ac:dyDescent="0.25">
      <c r="B94" s="9">
        <v>14</v>
      </c>
      <c r="C94" s="72">
        <f>IF(IO.CONTROL!$C$14&gt;$B94,0,STAND.PARAMS!$K$166*IO.CONTROL!$F$19)</f>
        <v>-83884.455000000002</v>
      </c>
      <c r="D94" s="72">
        <f>IF(IO.CONTROL!$C$14&gt;$B94,0,STAND.PARAMS!$K$166*IO.CONTROL!$F$20)</f>
        <v>-128622.83099999999</v>
      </c>
      <c r="E94" s="72">
        <f>IF(IO.CONTROL!$C$14&gt;$B94,0,(VLOOKUP($B94-IO.CONTROL!$C$14,STAND.PARAMS!$K$209:$U$264,7)+VLOOKUP($B94-IO.CONTROL!$C$14,STAND.PARAMS!$K$209:$U$264,8)+VLOOKUP($B94-IO.CONTROL!$C$14,STAND.PARAMS!$K$209:$U$264,9)+VLOOKUP($B94-IO.CONTROL!$C$14,STAND.PARAMS!$K$209:$U$264,10)+VLOOKUP($B94-IO.CONTROL!$C$14,STAND.PARAMS!$K$209:$U$264,11))*IO.CONTROL!$F$21)</f>
        <v>-1857015.7113540003</v>
      </c>
      <c r="F94" s="72">
        <f>IF(IO.CONTROL!$C$14&gt;$B94,0,VLOOKUP($B94-IO.CONTROL!$C$14,STAND.PARAMS!$K$209:$U$264,6)*IO.CONTROL!$F$22)</f>
        <v>-3437864.5807500002</v>
      </c>
      <c r="G94" s="72">
        <f>IF(IO.CONTROL!$C$14&gt;$B94,0,(STAND.PARAMS!$C$19/IO.CONTROL!$C$10)*10*IO.CONTROL!$F$23)</f>
        <v>-209711.13749999998</v>
      </c>
      <c r="H94" s="72">
        <f>IF(IO.CONTROL!$C$14&gt;$B94,0,(STAND.PARAMS!$C$19-(STAND.PARAMS!$C$19/IO.CONTROL!$C$10)*10)*IO.CONTROL!$F$24)</f>
        <v>-310372.48350000003</v>
      </c>
      <c r="I94" s="72">
        <f>IF(IO.CONTROL!$C$14&gt;$B94,0,(VLOOKUP($B94-IO.CONTROL!$C$14,STAND.PARAMS!$K$209:$U$264,3)*IO.CONTROL!$F$26+VLOOKUP($B94-IO.CONTROL!$C$14,STAND.PARAMS!$K$209:$U$264,4)*IO.CONTROL!$F$27+VLOOKUP($B94-IO.CONTROL!$C$14,STAND.PARAMS!$K$209:$U$264,5)*IO.CONTROL!$F$28+VLOOKUP($B94-IO.CONTROL!$C$14,STAND.PARAMS!$K$209:$U$264,6)*IO.CONTROL!$F$29))</f>
        <v>-15938.046450000002</v>
      </c>
      <c r="J94" s="72">
        <f>IF(IO.CONTROL!$C$14&gt;$B94,0,(VLOOKUP($B94-IO.CONTROL!$C$14,STAND.PARAMS!$K$209:$U$264,3)*IO.CONTROL!$F$31+VLOOKUP($B94-IO.CONTROL!$C$14,STAND.PARAMS!$K$209:$U$264,4)*IO.CONTROL!$F$32+VLOOKUP($B94-IO.CONTROL!$C$14,STAND.PARAMS!$K$209:$U$264,5)*IO.CONTROL!$F$33+VLOOKUP($B94-IO.CONTROL!$C$14,STAND.PARAMS!$K$209:$U$264,6)*IO.CONTROL!$F$34))</f>
        <v>-213485.93797499998</v>
      </c>
      <c r="K94" s="72">
        <f>IF(IO.CONTROL!$C$14&gt;$B94,0,(VLOOKUP($B94-IO.CONTROL!$C$14,STAND.PARAMS!$K$209:$U$264,8)*IO.CONTROL!$F$36+VLOOKUP($B94-IO.CONTROL!$C$14,STAND.PARAMS!$K$209:$U$264,9)*IO.CONTROL!$F$37+VLOOKUP($B94-IO.CONTROL!$C$14,STAND.PARAMS!$K$209:$U$264,10)*IO.CONTROL!$F$38+VLOOKUP($B94-IO.CONTROL!$C$14,STAND.PARAMS!$K$209:$U$264,11)*IO.CONTROL!$F$39))</f>
        <v>-169593.37791000001</v>
      </c>
      <c r="L94" s="72">
        <f>IF(IO.CONTROL!$C$14&gt;$B94,0,(VLOOKUP($B94-IO.CONTROL!$C$14,STAND.PARAMS!$K$209:$U$264,2)*IO.CONTROL!$F$41+VLOOKUP($B94-IO.CONTROL!$C$14,STAND.PARAMS!$K$209:$U$264,3)*IO.CONTROL!$F$42+VLOOKUP($B94-IO.CONTROL!$C$14,STAND.PARAMS!$K$209:$U$264,4)*IO.CONTROL!$F$43+VLOOKUP($B94-IO.CONTROL!$C$14,STAND.PARAMS!$K$209:$U$264,5)*IO.CONTROL!$F$44+VLOOKUP($B94-IO.CONTROL!$C$14,STAND.PARAMS!$K$209:$U$264,6)*IO.CONTROL!$F$45))</f>
        <v>-485154.68400000001</v>
      </c>
      <c r="M94" s="72">
        <f>IF(IO.CONTROL!$C$14&gt;$B94,0,((VLOOKUP($B94-IO.CONTROL!$C$14,STAND.PARAMS!$K$209:$U$264,7)*IO.CONTROL!$F$53*IO.CONTROL!$F$45+VLOOKUP($B94-IO.CONTROL!$C$14,STAND.PARAMS!$K$209:$U$264,8)*IO.CONTROL!$F$54*IO.CONTROL!$F$46+VLOOKUP($B94-IO.CONTROL!$C$14,STAND.PARAMS!$K$209:$U$264,9)*IO.CONTROL!$F$55*IO.CONTROL!$F$47+VLOOKUP($B94-IO.CONTROL!$C$14,STAND.PARAMS!$K$209:$U$264,10)*IO.CONTROL!$F$56*IO.CONTROL!$F$48+VLOOKUP($B94-IO.CONTROL!$C$14,STAND.PARAMS!$K$209:$U$264,11)*IO.CONTROL!$F$57*IO.CONTROL!$F$49)))</f>
        <v>-655817.37277500005</v>
      </c>
      <c r="N94" s="72">
        <f t="shared" si="0"/>
        <v>-7567460.6182140019</v>
      </c>
      <c r="O94" s="73">
        <f>IF(IO.CONTROL!$C$14&gt;$B94,0,((VLOOKUP($B94-IO.CONTROL!$C$14,STAND.PARAMS!$K$209:$U$264,7)*IO.CONTROL!$F$53+VLOOKUP($B94-IO.CONTROL!$C$14,STAND.PARAMS!$K$209:$U$264,8)*IO.CONTROL!$F$54+VLOOKUP($B94-IO.CONTROL!$C$14,STAND.PARAMS!$K$209:$U$264,9)*IO.CONTROL!$F$55+VLOOKUP($B94-IO.CONTROL!$C$14,STAND.PARAMS!$K$209:$U$264,10)*IO.CONTROL!$F$56+VLOOKUP($B94-IO.CONTROL!$C$14,STAND.PARAMS!$K$209:$U$264,11)*IO.CONTROL!$F$57)))</f>
        <v>21860579.092500001</v>
      </c>
      <c r="P94" s="72">
        <f t="shared" si="4"/>
        <v>-7567460.6182140019</v>
      </c>
      <c r="Q94" s="110">
        <f t="shared" si="5"/>
        <v>21860579.092500001</v>
      </c>
      <c r="R94" s="114"/>
      <c r="S94" s="72"/>
      <c r="T94" s="72"/>
      <c r="U94" s="72"/>
      <c r="V94" s="72"/>
      <c r="W94" s="72"/>
      <c r="X94" s="72"/>
      <c r="Y94" s="110"/>
      <c r="Z94" s="72">
        <f t="shared" si="1"/>
        <v>-7567460.6182140019</v>
      </c>
      <c r="AA94" s="72">
        <f>Z94/(1+IO.CONTROL!$C$13)^AF94</f>
        <v>-2934791.6984630139</v>
      </c>
      <c r="AB94" s="72">
        <f t="shared" si="2"/>
        <v>21860579.092500001</v>
      </c>
      <c r="AC94" s="72">
        <f>AB94/(1+IO.CONTROL!$C$13)^AF94</f>
        <v>8477909.4706943668</v>
      </c>
      <c r="AD94" s="72">
        <f t="shared" si="3"/>
        <v>14293118.474285999</v>
      </c>
      <c r="AE94" s="72">
        <f>AD94/(1+IO.CONTROL!$C$13)^B94</f>
        <v>5543117.7722313525</v>
      </c>
      <c r="AF94" s="10">
        <v>14</v>
      </c>
      <c r="AG94" s="121"/>
    </row>
    <row r="95" spans="1:33" x14ac:dyDescent="0.25">
      <c r="B95" s="9">
        <v>15</v>
      </c>
      <c r="C95" s="72">
        <f>IF(IO.CONTROL!$C$14&gt;$B95,0,STAND.PARAMS!$K$166*IO.CONTROL!$F$19)</f>
        <v>-83884.455000000002</v>
      </c>
      <c r="D95" s="72">
        <f>IF(IO.CONTROL!$C$14&gt;$B95,0,STAND.PARAMS!$K$166*IO.CONTROL!$F$20)</f>
        <v>-128622.83099999999</v>
      </c>
      <c r="E95" s="72">
        <f>IF(IO.CONTROL!$C$14&gt;$B95,0,(VLOOKUP($B95-IO.CONTROL!$C$14,STAND.PARAMS!$K$209:$U$264,7)+VLOOKUP($B95-IO.CONTROL!$C$14,STAND.PARAMS!$K$209:$U$264,8)+VLOOKUP($B95-IO.CONTROL!$C$14,STAND.PARAMS!$K$209:$U$264,9)+VLOOKUP($B95-IO.CONTROL!$C$14,STAND.PARAMS!$K$209:$U$264,10)+VLOOKUP($B95-IO.CONTROL!$C$14,STAND.PARAMS!$K$209:$U$264,11))*IO.CONTROL!$F$21)</f>
        <v>-1857015.7113540003</v>
      </c>
      <c r="F95" s="72">
        <f>IF(IO.CONTROL!$C$14&gt;$B95,0,VLOOKUP($B95-IO.CONTROL!$C$14,STAND.PARAMS!$K$209:$U$264,6)*IO.CONTROL!$F$22)</f>
        <v>-3437864.5807500002</v>
      </c>
      <c r="G95" s="72">
        <f>IF(IO.CONTROL!$C$14&gt;$B95,0,(STAND.PARAMS!$C$19/IO.CONTROL!$C$10)*10*IO.CONTROL!$F$23)</f>
        <v>-209711.13749999998</v>
      </c>
      <c r="H95" s="72">
        <f>IF(IO.CONTROL!$C$14&gt;$B95,0,(STAND.PARAMS!$C$19-(STAND.PARAMS!$C$19/IO.CONTROL!$C$10)*10)*IO.CONTROL!$F$24)</f>
        <v>-310372.48350000003</v>
      </c>
      <c r="I95" s="72">
        <f>IF(IO.CONTROL!$C$14&gt;$B95,0,(VLOOKUP($B95-IO.CONTROL!$C$14,STAND.PARAMS!$K$209:$U$264,3)*IO.CONTROL!$F$26+VLOOKUP($B95-IO.CONTROL!$C$14,STAND.PARAMS!$K$209:$U$264,4)*IO.CONTROL!$F$27+VLOOKUP($B95-IO.CONTROL!$C$14,STAND.PARAMS!$K$209:$U$264,5)*IO.CONTROL!$F$28+VLOOKUP($B95-IO.CONTROL!$C$14,STAND.PARAMS!$K$209:$U$264,6)*IO.CONTROL!$F$29))</f>
        <v>-15938.046450000002</v>
      </c>
      <c r="J95" s="72">
        <f>IF(IO.CONTROL!$C$14&gt;$B95,0,(VLOOKUP($B95-IO.CONTROL!$C$14,STAND.PARAMS!$K$209:$U$264,3)*IO.CONTROL!$F$31+VLOOKUP($B95-IO.CONTROL!$C$14,STAND.PARAMS!$K$209:$U$264,4)*IO.CONTROL!$F$32+VLOOKUP($B95-IO.CONTROL!$C$14,STAND.PARAMS!$K$209:$U$264,5)*IO.CONTROL!$F$33+VLOOKUP($B95-IO.CONTROL!$C$14,STAND.PARAMS!$K$209:$U$264,6)*IO.CONTROL!$F$34))</f>
        <v>-213485.93797499998</v>
      </c>
      <c r="K95" s="72">
        <f>IF(IO.CONTROL!$C$14&gt;$B95,0,(VLOOKUP($B95-IO.CONTROL!$C$14,STAND.PARAMS!$K$209:$U$264,8)*IO.CONTROL!$F$36+VLOOKUP($B95-IO.CONTROL!$C$14,STAND.PARAMS!$K$209:$U$264,9)*IO.CONTROL!$F$37+VLOOKUP($B95-IO.CONTROL!$C$14,STAND.PARAMS!$K$209:$U$264,10)*IO.CONTROL!$F$38+VLOOKUP($B95-IO.CONTROL!$C$14,STAND.PARAMS!$K$209:$U$264,11)*IO.CONTROL!$F$39))</f>
        <v>-169593.37791000001</v>
      </c>
      <c r="L95" s="72">
        <f>IF(IO.CONTROL!$C$14&gt;$B95,0,(VLOOKUP($B95-IO.CONTROL!$C$14,STAND.PARAMS!$K$209:$U$264,2)*IO.CONTROL!$F$41+VLOOKUP($B95-IO.CONTROL!$C$14,STAND.PARAMS!$K$209:$U$264,3)*IO.CONTROL!$F$42+VLOOKUP($B95-IO.CONTROL!$C$14,STAND.PARAMS!$K$209:$U$264,4)*IO.CONTROL!$F$43+VLOOKUP($B95-IO.CONTROL!$C$14,STAND.PARAMS!$K$209:$U$264,5)*IO.CONTROL!$F$44+VLOOKUP($B95-IO.CONTROL!$C$14,STAND.PARAMS!$K$209:$U$264,6)*IO.CONTROL!$F$45))</f>
        <v>-485154.68400000001</v>
      </c>
      <c r="M95" s="72">
        <f>IF(IO.CONTROL!$C$14&gt;$B95,0,((VLOOKUP($B95-IO.CONTROL!$C$14,STAND.PARAMS!$K$209:$U$264,7)*IO.CONTROL!$F$53*IO.CONTROL!$F$45+VLOOKUP($B95-IO.CONTROL!$C$14,STAND.PARAMS!$K$209:$U$264,8)*IO.CONTROL!$F$54*IO.CONTROL!$F$46+VLOOKUP($B95-IO.CONTROL!$C$14,STAND.PARAMS!$K$209:$U$264,9)*IO.CONTROL!$F$55*IO.CONTROL!$F$47+VLOOKUP($B95-IO.CONTROL!$C$14,STAND.PARAMS!$K$209:$U$264,10)*IO.CONTROL!$F$56*IO.CONTROL!$F$48+VLOOKUP($B95-IO.CONTROL!$C$14,STAND.PARAMS!$K$209:$U$264,11)*IO.CONTROL!$F$57*IO.CONTROL!$F$49)))</f>
        <v>-655817.37277500005</v>
      </c>
      <c r="N95" s="72">
        <f t="shared" si="0"/>
        <v>-7567460.6182140019</v>
      </c>
      <c r="O95" s="73">
        <f>IF(IO.CONTROL!$C$14&gt;$B95,0,((VLOOKUP($B95-IO.CONTROL!$C$14,STAND.PARAMS!$K$209:$U$264,7)*IO.CONTROL!$F$53+VLOOKUP($B95-IO.CONTROL!$C$14,STAND.PARAMS!$K$209:$U$264,8)*IO.CONTROL!$F$54+VLOOKUP($B95-IO.CONTROL!$C$14,STAND.PARAMS!$K$209:$U$264,9)*IO.CONTROL!$F$55+VLOOKUP($B95-IO.CONTROL!$C$14,STAND.PARAMS!$K$209:$U$264,10)*IO.CONTROL!$F$56+VLOOKUP($B95-IO.CONTROL!$C$14,STAND.PARAMS!$K$209:$U$264,11)*IO.CONTROL!$F$57)))</f>
        <v>21860579.092500001</v>
      </c>
      <c r="P95" s="72">
        <f t="shared" si="4"/>
        <v>-7567460.6182140019</v>
      </c>
      <c r="Q95" s="110">
        <f t="shared" si="5"/>
        <v>21860579.092500001</v>
      </c>
      <c r="R95" s="114"/>
      <c r="S95" s="72"/>
      <c r="T95" s="72"/>
      <c r="U95" s="72"/>
      <c r="V95" s="72"/>
      <c r="W95" s="72"/>
      <c r="X95" s="72"/>
      <c r="Y95" s="110"/>
      <c r="Z95" s="72">
        <f t="shared" si="1"/>
        <v>-7567460.6182140019</v>
      </c>
      <c r="AA95" s="72">
        <f>Z95/(1+IO.CONTROL!$C$13)^AF95</f>
        <v>-2742795.9798719753</v>
      </c>
      <c r="AB95" s="72">
        <f t="shared" si="2"/>
        <v>21860579.092500001</v>
      </c>
      <c r="AC95" s="72">
        <f>AB95/(1+IO.CONTROL!$C$13)^AF95</f>
        <v>7923279.879153613</v>
      </c>
      <c r="AD95" s="72">
        <f t="shared" si="3"/>
        <v>14293118.474285999</v>
      </c>
      <c r="AE95" s="72">
        <f>AD95/(1+IO.CONTROL!$C$13)^B95</f>
        <v>5180483.8992816368</v>
      </c>
      <c r="AF95" s="10">
        <v>15</v>
      </c>
      <c r="AG95" s="121"/>
    </row>
    <row r="96" spans="1:33" x14ac:dyDescent="0.25">
      <c r="B96" s="9">
        <v>16</v>
      </c>
      <c r="C96" s="72">
        <f>IF(IO.CONTROL!$C$14&gt;$B96,0,STAND.PARAMS!$K$166*IO.CONTROL!$F$19)</f>
        <v>-83884.455000000002</v>
      </c>
      <c r="D96" s="72">
        <f>IF(IO.CONTROL!$C$14&gt;$B96,0,STAND.PARAMS!$K$166*IO.CONTROL!$F$20)</f>
        <v>-128622.83099999999</v>
      </c>
      <c r="E96" s="72">
        <f>IF(IO.CONTROL!$C$14&gt;$B96,0,(VLOOKUP($B96-IO.CONTROL!$C$14,STAND.PARAMS!$K$209:$U$264,7)+VLOOKUP($B96-IO.CONTROL!$C$14,STAND.PARAMS!$K$209:$U$264,8)+VLOOKUP($B96-IO.CONTROL!$C$14,STAND.PARAMS!$K$209:$U$264,9)+VLOOKUP($B96-IO.CONTROL!$C$14,STAND.PARAMS!$K$209:$U$264,10)+VLOOKUP($B96-IO.CONTROL!$C$14,STAND.PARAMS!$K$209:$U$264,11))*IO.CONTROL!$F$21)</f>
        <v>-1857015.7113540003</v>
      </c>
      <c r="F96" s="72">
        <f>IF(IO.CONTROL!$C$14&gt;$B96,0,VLOOKUP($B96-IO.CONTROL!$C$14,STAND.PARAMS!$K$209:$U$264,6)*IO.CONTROL!$F$22)</f>
        <v>-3437864.5807500002</v>
      </c>
      <c r="G96" s="72">
        <f>IF(IO.CONTROL!$C$14&gt;$B96,0,(STAND.PARAMS!$C$19/IO.CONTROL!$C$10)*10*IO.CONTROL!$F$23)</f>
        <v>-209711.13749999998</v>
      </c>
      <c r="H96" s="72">
        <f>IF(IO.CONTROL!$C$14&gt;$B96,0,(STAND.PARAMS!$C$19-(STAND.PARAMS!$C$19/IO.CONTROL!$C$10)*10)*IO.CONTROL!$F$24)</f>
        <v>-310372.48350000003</v>
      </c>
      <c r="I96" s="72">
        <f>IF(IO.CONTROL!$C$14&gt;$B96,0,(VLOOKUP($B96-IO.CONTROL!$C$14,STAND.PARAMS!$K$209:$U$264,3)*IO.CONTROL!$F$26+VLOOKUP($B96-IO.CONTROL!$C$14,STAND.PARAMS!$K$209:$U$264,4)*IO.CONTROL!$F$27+VLOOKUP($B96-IO.CONTROL!$C$14,STAND.PARAMS!$K$209:$U$264,5)*IO.CONTROL!$F$28+VLOOKUP($B96-IO.CONTROL!$C$14,STAND.PARAMS!$K$209:$U$264,6)*IO.CONTROL!$F$29))</f>
        <v>-15938.046450000002</v>
      </c>
      <c r="J96" s="72">
        <f>IF(IO.CONTROL!$C$14&gt;$B96,0,(VLOOKUP($B96-IO.CONTROL!$C$14,STAND.PARAMS!$K$209:$U$264,3)*IO.CONTROL!$F$31+VLOOKUP($B96-IO.CONTROL!$C$14,STAND.PARAMS!$K$209:$U$264,4)*IO.CONTROL!$F$32+VLOOKUP($B96-IO.CONTROL!$C$14,STAND.PARAMS!$K$209:$U$264,5)*IO.CONTROL!$F$33+VLOOKUP($B96-IO.CONTROL!$C$14,STAND.PARAMS!$K$209:$U$264,6)*IO.CONTROL!$F$34))</f>
        <v>-213485.93797499998</v>
      </c>
      <c r="K96" s="72">
        <f>IF(IO.CONTROL!$C$14&gt;$B96,0,(VLOOKUP($B96-IO.CONTROL!$C$14,STAND.PARAMS!$K$209:$U$264,8)*IO.CONTROL!$F$36+VLOOKUP($B96-IO.CONTROL!$C$14,STAND.PARAMS!$K$209:$U$264,9)*IO.CONTROL!$F$37+VLOOKUP($B96-IO.CONTROL!$C$14,STAND.PARAMS!$K$209:$U$264,10)*IO.CONTROL!$F$38+VLOOKUP($B96-IO.CONTROL!$C$14,STAND.PARAMS!$K$209:$U$264,11)*IO.CONTROL!$F$39))</f>
        <v>-169593.37791000001</v>
      </c>
      <c r="L96" s="72">
        <f>IF(IO.CONTROL!$C$14&gt;$B96,0,(VLOOKUP($B96-IO.CONTROL!$C$14,STAND.PARAMS!$K$209:$U$264,2)*IO.CONTROL!$F$41+VLOOKUP($B96-IO.CONTROL!$C$14,STAND.PARAMS!$K$209:$U$264,3)*IO.CONTROL!$F$42+VLOOKUP($B96-IO.CONTROL!$C$14,STAND.PARAMS!$K$209:$U$264,4)*IO.CONTROL!$F$43+VLOOKUP($B96-IO.CONTROL!$C$14,STAND.PARAMS!$K$209:$U$264,5)*IO.CONTROL!$F$44+VLOOKUP($B96-IO.CONTROL!$C$14,STAND.PARAMS!$K$209:$U$264,6)*IO.CONTROL!$F$45))</f>
        <v>-485154.68400000001</v>
      </c>
      <c r="M96" s="72">
        <f>IF(IO.CONTROL!$C$14&gt;$B96,0,((VLOOKUP($B96-IO.CONTROL!$C$14,STAND.PARAMS!$K$209:$U$264,7)*IO.CONTROL!$F$53*IO.CONTROL!$F$45+VLOOKUP($B96-IO.CONTROL!$C$14,STAND.PARAMS!$K$209:$U$264,8)*IO.CONTROL!$F$54*IO.CONTROL!$F$46+VLOOKUP($B96-IO.CONTROL!$C$14,STAND.PARAMS!$K$209:$U$264,9)*IO.CONTROL!$F$55*IO.CONTROL!$F$47+VLOOKUP($B96-IO.CONTROL!$C$14,STAND.PARAMS!$K$209:$U$264,10)*IO.CONTROL!$F$56*IO.CONTROL!$F$48+VLOOKUP($B96-IO.CONTROL!$C$14,STAND.PARAMS!$K$209:$U$264,11)*IO.CONTROL!$F$57*IO.CONTROL!$F$49)))</f>
        <v>-655817.37277500005</v>
      </c>
      <c r="N96" s="72">
        <f t="shared" si="0"/>
        <v>-7567460.6182140019</v>
      </c>
      <c r="O96" s="73">
        <f>IF(IO.CONTROL!$C$14&gt;$B96,0,((VLOOKUP($B96-IO.CONTROL!$C$14,STAND.PARAMS!$K$209:$U$264,7)*IO.CONTROL!$F$53+VLOOKUP($B96-IO.CONTROL!$C$14,STAND.PARAMS!$K$209:$U$264,8)*IO.CONTROL!$F$54+VLOOKUP($B96-IO.CONTROL!$C$14,STAND.PARAMS!$K$209:$U$264,9)*IO.CONTROL!$F$55+VLOOKUP($B96-IO.CONTROL!$C$14,STAND.PARAMS!$K$209:$U$264,10)*IO.CONTROL!$F$56+VLOOKUP($B96-IO.CONTROL!$C$14,STAND.PARAMS!$K$209:$U$264,11)*IO.CONTROL!$F$57)))</f>
        <v>21860579.092500001</v>
      </c>
      <c r="P96" s="72">
        <f t="shared" si="4"/>
        <v>-7567460.6182140019</v>
      </c>
      <c r="Q96" s="110">
        <f t="shared" si="5"/>
        <v>21860579.092500001</v>
      </c>
      <c r="R96" s="114"/>
      <c r="S96" s="72"/>
      <c r="T96" s="72"/>
      <c r="U96" s="72"/>
      <c r="V96" s="72"/>
      <c r="W96" s="72"/>
      <c r="X96" s="72"/>
      <c r="Y96" s="110"/>
      <c r="Z96" s="72">
        <f t="shared" si="1"/>
        <v>-7567460.6182140019</v>
      </c>
      <c r="AA96" s="72">
        <f>Z96/(1+IO.CONTROL!$C$13)^AF96</f>
        <v>-2563360.7288523139</v>
      </c>
      <c r="AB96" s="72">
        <f t="shared" si="2"/>
        <v>21860579.092500001</v>
      </c>
      <c r="AC96" s="72">
        <f>AB96/(1+IO.CONTROL!$C$13)^AF96</f>
        <v>7404934.4664987046</v>
      </c>
      <c r="AD96" s="72">
        <f t="shared" si="3"/>
        <v>14293118.474285999</v>
      </c>
      <c r="AE96" s="72">
        <f>AD96/(1+IO.CONTROL!$C$13)^B96</f>
        <v>4841573.7376463907</v>
      </c>
      <c r="AF96" s="10">
        <v>16</v>
      </c>
      <c r="AG96" s="121"/>
    </row>
    <row r="97" spans="2:33" x14ac:dyDescent="0.25">
      <c r="B97" s="9">
        <v>17</v>
      </c>
      <c r="C97" s="72">
        <f>IF(IO.CONTROL!$C$14&gt;$B97,0,STAND.PARAMS!$K$166*IO.CONTROL!$F$19)</f>
        <v>-83884.455000000002</v>
      </c>
      <c r="D97" s="72">
        <f>IF(IO.CONTROL!$C$14&gt;$B97,0,STAND.PARAMS!$K$166*IO.CONTROL!$F$20)</f>
        <v>-128622.83099999999</v>
      </c>
      <c r="E97" s="72">
        <f>IF(IO.CONTROL!$C$14&gt;$B97,0,(VLOOKUP($B97-IO.CONTROL!$C$14,STAND.PARAMS!$K$209:$U$264,7)+VLOOKUP($B97-IO.CONTROL!$C$14,STAND.PARAMS!$K$209:$U$264,8)+VLOOKUP($B97-IO.CONTROL!$C$14,STAND.PARAMS!$K$209:$U$264,9)+VLOOKUP($B97-IO.CONTROL!$C$14,STAND.PARAMS!$K$209:$U$264,10)+VLOOKUP($B97-IO.CONTROL!$C$14,STAND.PARAMS!$K$209:$U$264,11))*IO.CONTROL!$F$21)</f>
        <v>-1857015.7113540003</v>
      </c>
      <c r="F97" s="72">
        <f>IF(IO.CONTROL!$C$14&gt;$B97,0,VLOOKUP($B97-IO.CONTROL!$C$14,STAND.PARAMS!$K$209:$U$264,6)*IO.CONTROL!$F$22)</f>
        <v>-3437864.5807500002</v>
      </c>
      <c r="G97" s="72">
        <f>IF(IO.CONTROL!$C$14&gt;$B97,0,(STAND.PARAMS!$C$19/IO.CONTROL!$C$10)*10*IO.CONTROL!$F$23)</f>
        <v>-209711.13749999998</v>
      </c>
      <c r="H97" s="72">
        <f>IF(IO.CONTROL!$C$14&gt;$B97,0,(STAND.PARAMS!$C$19-(STAND.PARAMS!$C$19/IO.CONTROL!$C$10)*10)*IO.CONTROL!$F$24)</f>
        <v>-310372.48350000003</v>
      </c>
      <c r="I97" s="72">
        <f>IF(IO.CONTROL!$C$14&gt;$B97,0,(VLOOKUP($B97-IO.CONTROL!$C$14,STAND.PARAMS!$K$209:$U$264,3)*IO.CONTROL!$F$26+VLOOKUP($B97-IO.CONTROL!$C$14,STAND.PARAMS!$K$209:$U$264,4)*IO.CONTROL!$F$27+VLOOKUP($B97-IO.CONTROL!$C$14,STAND.PARAMS!$K$209:$U$264,5)*IO.CONTROL!$F$28+VLOOKUP($B97-IO.CONTROL!$C$14,STAND.PARAMS!$K$209:$U$264,6)*IO.CONTROL!$F$29))</f>
        <v>-15938.046450000002</v>
      </c>
      <c r="J97" s="72">
        <f>IF(IO.CONTROL!$C$14&gt;$B97,0,(VLOOKUP($B97-IO.CONTROL!$C$14,STAND.PARAMS!$K$209:$U$264,3)*IO.CONTROL!$F$31+VLOOKUP($B97-IO.CONTROL!$C$14,STAND.PARAMS!$K$209:$U$264,4)*IO.CONTROL!$F$32+VLOOKUP($B97-IO.CONTROL!$C$14,STAND.PARAMS!$K$209:$U$264,5)*IO.CONTROL!$F$33+VLOOKUP($B97-IO.CONTROL!$C$14,STAND.PARAMS!$K$209:$U$264,6)*IO.CONTROL!$F$34))</f>
        <v>-213485.93797499998</v>
      </c>
      <c r="K97" s="72">
        <f>IF(IO.CONTROL!$C$14&gt;$B97,0,(VLOOKUP($B97-IO.CONTROL!$C$14,STAND.PARAMS!$K$209:$U$264,8)*IO.CONTROL!$F$36+VLOOKUP($B97-IO.CONTROL!$C$14,STAND.PARAMS!$K$209:$U$264,9)*IO.CONTROL!$F$37+VLOOKUP($B97-IO.CONTROL!$C$14,STAND.PARAMS!$K$209:$U$264,10)*IO.CONTROL!$F$38+VLOOKUP($B97-IO.CONTROL!$C$14,STAND.PARAMS!$K$209:$U$264,11)*IO.CONTROL!$F$39))</f>
        <v>-169593.37791000001</v>
      </c>
      <c r="L97" s="72">
        <f>IF(IO.CONTROL!$C$14&gt;$B97,0,(VLOOKUP($B97-IO.CONTROL!$C$14,STAND.PARAMS!$K$209:$U$264,2)*IO.CONTROL!$F$41+VLOOKUP($B97-IO.CONTROL!$C$14,STAND.PARAMS!$K$209:$U$264,3)*IO.CONTROL!$F$42+VLOOKUP($B97-IO.CONTROL!$C$14,STAND.PARAMS!$K$209:$U$264,4)*IO.CONTROL!$F$43+VLOOKUP($B97-IO.CONTROL!$C$14,STAND.PARAMS!$K$209:$U$264,5)*IO.CONTROL!$F$44+VLOOKUP($B97-IO.CONTROL!$C$14,STAND.PARAMS!$K$209:$U$264,6)*IO.CONTROL!$F$45))</f>
        <v>-485154.68400000001</v>
      </c>
      <c r="M97" s="72">
        <f>IF(IO.CONTROL!$C$14&gt;$B97,0,((VLOOKUP($B97-IO.CONTROL!$C$14,STAND.PARAMS!$K$209:$U$264,7)*IO.CONTROL!$F$53*IO.CONTROL!$F$45+VLOOKUP($B97-IO.CONTROL!$C$14,STAND.PARAMS!$K$209:$U$264,8)*IO.CONTROL!$F$54*IO.CONTROL!$F$46+VLOOKUP($B97-IO.CONTROL!$C$14,STAND.PARAMS!$K$209:$U$264,9)*IO.CONTROL!$F$55*IO.CONTROL!$F$47+VLOOKUP($B97-IO.CONTROL!$C$14,STAND.PARAMS!$K$209:$U$264,10)*IO.CONTROL!$F$56*IO.CONTROL!$F$48+VLOOKUP($B97-IO.CONTROL!$C$14,STAND.PARAMS!$K$209:$U$264,11)*IO.CONTROL!$F$57*IO.CONTROL!$F$49)))</f>
        <v>-655817.37277500005</v>
      </c>
      <c r="N97" s="72">
        <f t="shared" si="0"/>
        <v>-7567460.6182140019</v>
      </c>
      <c r="O97" s="73">
        <f>IF(IO.CONTROL!$C$14&gt;$B97,0,((VLOOKUP($B97-IO.CONTROL!$C$14,STAND.PARAMS!$K$209:$U$264,7)*IO.CONTROL!$F$53+VLOOKUP($B97-IO.CONTROL!$C$14,STAND.PARAMS!$K$209:$U$264,8)*IO.CONTROL!$F$54+VLOOKUP($B97-IO.CONTROL!$C$14,STAND.PARAMS!$K$209:$U$264,9)*IO.CONTROL!$F$55+VLOOKUP($B97-IO.CONTROL!$C$14,STAND.PARAMS!$K$209:$U$264,10)*IO.CONTROL!$F$56+VLOOKUP($B97-IO.CONTROL!$C$14,STAND.PARAMS!$K$209:$U$264,11)*IO.CONTROL!$F$57)))</f>
        <v>21860579.092500001</v>
      </c>
      <c r="P97" s="72">
        <f t="shared" si="4"/>
        <v>-7567460.6182140019</v>
      </c>
      <c r="Q97" s="110">
        <f t="shared" si="5"/>
        <v>21860579.092500001</v>
      </c>
      <c r="R97" s="114"/>
      <c r="S97" s="72"/>
      <c r="T97" s="72"/>
      <c r="U97" s="72"/>
      <c r="V97" s="72"/>
      <c r="W97" s="72"/>
      <c r="X97" s="72"/>
      <c r="Y97" s="110"/>
      <c r="Z97" s="72">
        <f t="shared" si="1"/>
        <v>-7567460.6182140019</v>
      </c>
      <c r="AA97" s="72">
        <f>Z97/(1+IO.CONTROL!$C$13)^AF97</f>
        <v>-2395664.2325722557</v>
      </c>
      <c r="AB97" s="72">
        <f t="shared" si="2"/>
        <v>21860579.092500001</v>
      </c>
      <c r="AC97" s="72">
        <f>AB97/(1+IO.CONTROL!$C$13)^AF97</f>
        <v>6920499.5014006579</v>
      </c>
      <c r="AD97" s="72">
        <f t="shared" si="3"/>
        <v>14293118.474285999</v>
      </c>
      <c r="AE97" s="72">
        <f>AD97/(1+IO.CONTROL!$C$13)^B97</f>
        <v>4524835.2688284023</v>
      </c>
      <c r="AF97" s="10">
        <v>17</v>
      </c>
      <c r="AG97" s="121"/>
    </row>
    <row r="98" spans="2:33" x14ac:dyDescent="0.25">
      <c r="B98" s="9">
        <v>18</v>
      </c>
      <c r="C98" s="72">
        <f>IF(IO.CONTROL!$C$14&gt;$B98,0,STAND.PARAMS!$K$166*IO.CONTROL!$F$19)</f>
        <v>-83884.455000000002</v>
      </c>
      <c r="D98" s="72">
        <f>IF(IO.CONTROL!$C$14&gt;$B98,0,STAND.PARAMS!$K$166*IO.CONTROL!$F$20)</f>
        <v>-128622.83099999999</v>
      </c>
      <c r="E98" s="72">
        <f>IF(IO.CONTROL!$C$14&gt;$B98,0,(VLOOKUP($B98-IO.CONTROL!$C$14,STAND.PARAMS!$K$209:$U$264,7)+VLOOKUP($B98-IO.CONTROL!$C$14,STAND.PARAMS!$K$209:$U$264,8)+VLOOKUP($B98-IO.CONTROL!$C$14,STAND.PARAMS!$K$209:$U$264,9)+VLOOKUP($B98-IO.CONTROL!$C$14,STAND.PARAMS!$K$209:$U$264,10)+VLOOKUP($B98-IO.CONTROL!$C$14,STAND.PARAMS!$K$209:$U$264,11))*IO.CONTROL!$F$21)</f>
        <v>-3254066.64585</v>
      </c>
      <c r="F98" s="72">
        <f>IF(IO.CONTROL!$C$14&gt;$B98,0,VLOOKUP($B98-IO.CONTROL!$C$14,STAND.PARAMS!$K$209:$U$264,6)*IO.CONTROL!$F$22)</f>
        <v>-3437864.5807500002</v>
      </c>
      <c r="G98" s="72">
        <f>IF(IO.CONTROL!$C$14&gt;$B98,0,(STAND.PARAMS!$C$19/IO.CONTROL!$C$10)*10*IO.CONTROL!$F$23)</f>
        <v>-209711.13749999998</v>
      </c>
      <c r="H98" s="72">
        <f>IF(IO.CONTROL!$C$14&gt;$B98,0,(STAND.PARAMS!$C$19-(STAND.PARAMS!$C$19/IO.CONTROL!$C$10)*10)*IO.CONTROL!$F$24)</f>
        <v>-310372.48350000003</v>
      </c>
      <c r="I98" s="72">
        <f>IF(IO.CONTROL!$C$14&gt;$B98,0,(VLOOKUP($B98-IO.CONTROL!$C$14,STAND.PARAMS!$K$209:$U$264,3)*IO.CONTROL!$F$26+VLOOKUP($B98-IO.CONTROL!$C$14,STAND.PARAMS!$K$209:$U$264,4)*IO.CONTROL!$F$27+VLOOKUP($B98-IO.CONTROL!$C$14,STAND.PARAMS!$K$209:$U$264,5)*IO.CONTROL!$F$28+VLOOKUP($B98-IO.CONTROL!$C$14,STAND.PARAMS!$K$209:$U$264,6)*IO.CONTROL!$F$29))</f>
        <v>-57282.358050000003</v>
      </c>
      <c r="J98" s="72">
        <f>IF(IO.CONTROL!$C$14&gt;$B98,0,(VLOOKUP($B98-IO.CONTROL!$C$14,STAND.PARAMS!$K$209:$U$264,3)*IO.CONTROL!$F$31+VLOOKUP($B98-IO.CONTROL!$C$14,STAND.PARAMS!$K$209:$U$264,4)*IO.CONTROL!$F$32+VLOOKUP($B98-IO.CONTROL!$C$14,STAND.PARAMS!$K$209:$U$264,5)*IO.CONTROL!$F$33+VLOOKUP($B98-IO.CONTROL!$C$14,STAND.PARAMS!$K$209:$U$264,6)*IO.CONTROL!$F$34))</f>
        <v>-767282.111775</v>
      </c>
      <c r="K98" s="72">
        <f>IF(IO.CONTROL!$C$14&gt;$B98,0,(VLOOKUP($B98-IO.CONTROL!$C$14,STAND.PARAMS!$K$209:$U$264,8)*IO.CONTROL!$F$36+VLOOKUP($B98-IO.CONTROL!$C$14,STAND.PARAMS!$K$209:$U$264,9)*IO.CONTROL!$F$37+VLOOKUP($B98-IO.CONTROL!$C$14,STAND.PARAMS!$K$209:$U$264,10)*IO.CONTROL!$F$38+VLOOKUP($B98-IO.CONTROL!$C$14,STAND.PARAMS!$K$209:$U$264,11)*IO.CONTROL!$F$39))</f>
        <v>-318215.81775000005</v>
      </c>
      <c r="L98" s="72">
        <f>IF(IO.CONTROL!$C$14&gt;$B98,0,(VLOOKUP($B98-IO.CONTROL!$C$14,STAND.PARAMS!$K$209:$U$264,2)*IO.CONTROL!$F$41+VLOOKUP($B98-IO.CONTROL!$C$14,STAND.PARAMS!$K$209:$U$264,3)*IO.CONTROL!$F$42+VLOOKUP($B98-IO.CONTROL!$C$14,STAND.PARAMS!$K$209:$U$264,4)*IO.CONTROL!$F$43+VLOOKUP($B98-IO.CONTROL!$C$14,STAND.PARAMS!$K$209:$U$264,5)*IO.CONTROL!$F$44+VLOOKUP($B98-IO.CONTROL!$C$14,STAND.PARAMS!$K$209:$U$264,6)*IO.CONTROL!$F$45))</f>
        <v>-1743617.5020000001</v>
      </c>
      <c r="M98" s="72">
        <f>IF(IO.CONTROL!$C$14&gt;$B98,0,((VLOOKUP($B98-IO.CONTROL!$C$14,STAND.PARAMS!$K$209:$U$264,7)*IO.CONTROL!$F$53*IO.CONTROL!$F$45+VLOOKUP($B98-IO.CONTROL!$C$14,STAND.PARAMS!$K$209:$U$264,8)*IO.CONTROL!$F$54*IO.CONTROL!$F$46+VLOOKUP($B98-IO.CONTROL!$C$14,STAND.PARAMS!$K$209:$U$264,9)*IO.CONTROL!$F$55*IO.CONTROL!$F$47+VLOOKUP($B98-IO.CONTROL!$C$14,STAND.PARAMS!$K$209:$U$264,10)*IO.CONTROL!$F$56*IO.CONTROL!$F$48+VLOOKUP($B98-IO.CONTROL!$C$14,STAND.PARAMS!$K$209:$U$264,11)*IO.CONTROL!$F$57*IO.CONTROL!$F$49)))</f>
        <v>-735686.46445500001</v>
      </c>
      <c r="N98" s="72">
        <f t="shared" si="0"/>
        <v>-11046606.387629999</v>
      </c>
      <c r="O98" s="73">
        <f>IF(IO.CONTROL!$C$14&gt;$B98,0,((VLOOKUP($B98-IO.CONTROL!$C$14,STAND.PARAMS!$K$209:$U$264,7)*IO.CONTROL!$F$53+VLOOKUP($B98-IO.CONTROL!$C$14,STAND.PARAMS!$K$209:$U$264,8)*IO.CONTROL!$F$54+VLOOKUP($B98-IO.CONTROL!$C$14,STAND.PARAMS!$K$209:$U$264,9)*IO.CONTROL!$F$55+VLOOKUP($B98-IO.CONTROL!$C$14,STAND.PARAMS!$K$209:$U$264,10)*IO.CONTROL!$F$56+VLOOKUP($B98-IO.CONTROL!$C$14,STAND.PARAMS!$K$209:$U$264,11)*IO.CONTROL!$F$57)))</f>
        <v>24522882.148500003</v>
      </c>
      <c r="P98" s="72">
        <f t="shared" si="4"/>
        <v>-11046606.387629999</v>
      </c>
      <c r="Q98" s="110">
        <f t="shared" si="5"/>
        <v>24522882.148500003</v>
      </c>
      <c r="R98" s="114"/>
      <c r="S98" s="72"/>
      <c r="T98" s="72"/>
      <c r="U98" s="72"/>
      <c r="V98" s="72"/>
      <c r="W98" s="72"/>
      <c r="X98" s="72"/>
      <c r="Y98" s="110"/>
      <c r="Z98" s="72">
        <f t="shared" si="1"/>
        <v>-11046606.387629999</v>
      </c>
      <c r="AA98" s="72">
        <f>Z98/(1+IO.CONTROL!$C$13)^AF98</f>
        <v>-3268292.227907395</v>
      </c>
      <c r="AB98" s="72">
        <f t="shared" si="2"/>
        <v>24522882.148500003</v>
      </c>
      <c r="AC98" s="72">
        <f>AB98/(1+IO.CONTROL!$C$13)^AF98</f>
        <v>7255435.9519482208</v>
      </c>
      <c r="AD98" s="72">
        <f t="shared" si="3"/>
        <v>13476275.760870004</v>
      </c>
      <c r="AE98" s="72">
        <f>AD98/(1+IO.CONTROL!$C$13)^B98</f>
        <v>3987143.7240408259</v>
      </c>
      <c r="AF98" s="10">
        <v>18</v>
      </c>
      <c r="AG98" s="121"/>
    </row>
    <row r="99" spans="2:33" x14ac:dyDescent="0.25">
      <c r="B99" s="9">
        <v>19</v>
      </c>
      <c r="C99" s="72">
        <f>IF(IO.CONTROL!$C$14&gt;$B99,0,STAND.PARAMS!$K$166*IO.CONTROL!$F$19)</f>
        <v>-83884.455000000002</v>
      </c>
      <c r="D99" s="72">
        <f>IF(IO.CONTROL!$C$14&gt;$B99,0,STAND.PARAMS!$K$166*IO.CONTROL!$F$20)</f>
        <v>-128622.83099999999</v>
      </c>
      <c r="E99" s="72">
        <f>IF(IO.CONTROL!$C$14&gt;$B99,0,(VLOOKUP($B99-IO.CONTROL!$C$14,STAND.PARAMS!$K$209:$U$264,7)+VLOOKUP($B99-IO.CONTROL!$C$14,STAND.PARAMS!$K$209:$U$264,8)+VLOOKUP($B99-IO.CONTROL!$C$14,STAND.PARAMS!$K$209:$U$264,9)+VLOOKUP($B99-IO.CONTROL!$C$14,STAND.PARAMS!$K$209:$U$264,10)+VLOOKUP($B99-IO.CONTROL!$C$14,STAND.PARAMS!$K$209:$U$264,11))*IO.CONTROL!$F$21)</f>
        <v>-3254066.64585</v>
      </c>
      <c r="F99" s="72">
        <f>IF(IO.CONTROL!$C$14&gt;$B99,0,VLOOKUP($B99-IO.CONTROL!$C$14,STAND.PARAMS!$K$209:$U$264,6)*IO.CONTROL!$F$22)</f>
        <v>-3437864.5807500002</v>
      </c>
      <c r="G99" s="72">
        <f>IF(IO.CONTROL!$C$14&gt;$B99,0,(STAND.PARAMS!$C$19/IO.CONTROL!$C$10)*10*IO.CONTROL!$F$23)</f>
        <v>-209711.13749999998</v>
      </c>
      <c r="H99" s="72">
        <f>IF(IO.CONTROL!$C$14&gt;$B99,0,(STAND.PARAMS!$C$19-(STAND.PARAMS!$C$19/IO.CONTROL!$C$10)*10)*IO.CONTROL!$F$24)</f>
        <v>-310372.48350000003</v>
      </c>
      <c r="I99" s="72">
        <f>IF(IO.CONTROL!$C$14&gt;$B99,0,(VLOOKUP($B99-IO.CONTROL!$C$14,STAND.PARAMS!$K$209:$U$264,3)*IO.CONTROL!$F$26+VLOOKUP($B99-IO.CONTROL!$C$14,STAND.PARAMS!$K$209:$U$264,4)*IO.CONTROL!$F$27+VLOOKUP($B99-IO.CONTROL!$C$14,STAND.PARAMS!$K$209:$U$264,5)*IO.CONTROL!$F$28+VLOOKUP($B99-IO.CONTROL!$C$14,STAND.PARAMS!$K$209:$U$264,6)*IO.CONTROL!$F$29))</f>
        <v>-57282.358050000003</v>
      </c>
      <c r="J99" s="72">
        <f>IF(IO.CONTROL!$C$14&gt;$B99,0,(VLOOKUP($B99-IO.CONTROL!$C$14,STAND.PARAMS!$K$209:$U$264,3)*IO.CONTROL!$F$31+VLOOKUP($B99-IO.CONTROL!$C$14,STAND.PARAMS!$K$209:$U$264,4)*IO.CONTROL!$F$32+VLOOKUP($B99-IO.CONTROL!$C$14,STAND.PARAMS!$K$209:$U$264,5)*IO.CONTROL!$F$33+VLOOKUP($B99-IO.CONTROL!$C$14,STAND.PARAMS!$K$209:$U$264,6)*IO.CONTROL!$F$34))</f>
        <v>-767282.111775</v>
      </c>
      <c r="K99" s="72">
        <f>IF(IO.CONTROL!$C$14&gt;$B99,0,(VLOOKUP($B99-IO.CONTROL!$C$14,STAND.PARAMS!$K$209:$U$264,8)*IO.CONTROL!$F$36+VLOOKUP($B99-IO.CONTROL!$C$14,STAND.PARAMS!$K$209:$U$264,9)*IO.CONTROL!$F$37+VLOOKUP($B99-IO.CONTROL!$C$14,STAND.PARAMS!$K$209:$U$264,10)*IO.CONTROL!$F$38+VLOOKUP($B99-IO.CONTROL!$C$14,STAND.PARAMS!$K$209:$U$264,11)*IO.CONTROL!$F$39))</f>
        <v>-318215.81775000005</v>
      </c>
      <c r="L99" s="72">
        <f>IF(IO.CONTROL!$C$14&gt;$B99,0,(VLOOKUP($B99-IO.CONTROL!$C$14,STAND.PARAMS!$K$209:$U$264,2)*IO.CONTROL!$F$41+VLOOKUP($B99-IO.CONTROL!$C$14,STAND.PARAMS!$K$209:$U$264,3)*IO.CONTROL!$F$42+VLOOKUP($B99-IO.CONTROL!$C$14,STAND.PARAMS!$K$209:$U$264,4)*IO.CONTROL!$F$43+VLOOKUP($B99-IO.CONTROL!$C$14,STAND.PARAMS!$K$209:$U$264,5)*IO.CONTROL!$F$44+VLOOKUP($B99-IO.CONTROL!$C$14,STAND.PARAMS!$K$209:$U$264,6)*IO.CONTROL!$F$45))</f>
        <v>-1743617.5020000001</v>
      </c>
      <c r="M99" s="72">
        <f>IF(IO.CONTROL!$C$14&gt;$B99,0,((VLOOKUP($B99-IO.CONTROL!$C$14,STAND.PARAMS!$K$209:$U$264,7)*IO.CONTROL!$F$53*IO.CONTROL!$F$45+VLOOKUP($B99-IO.CONTROL!$C$14,STAND.PARAMS!$K$209:$U$264,8)*IO.CONTROL!$F$54*IO.CONTROL!$F$46+VLOOKUP($B99-IO.CONTROL!$C$14,STAND.PARAMS!$K$209:$U$264,9)*IO.CONTROL!$F$55*IO.CONTROL!$F$47+VLOOKUP($B99-IO.CONTROL!$C$14,STAND.PARAMS!$K$209:$U$264,10)*IO.CONTROL!$F$56*IO.CONTROL!$F$48+VLOOKUP($B99-IO.CONTROL!$C$14,STAND.PARAMS!$K$209:$U$264,11)*IO.CONTROL!$F$57*IO.CONTROL!$F$49)))</f>
        <v>-735686.46445500001</v>
      </c>
      <c r="N99" s="72">
        <f t="shared" si="0"/>
        <v>-11046606.387629999</v>
      </c>
      <c r="O99" s="73">
        <f>IF(IO.CONTROL!$C$14&gt;$B99,0,((VLOOKUP($B99-IO.CONTROL!$C$14,STAND.PARAMS!$K$209:$U$264,7)*IO.CONTROL!$F$53+VLOOKUP($B99-IO.CONTROL!$C$14,STAND.PARAMS!$K$209:$U$264,8)*IO.CONTROL!$F$54+VLOOKUP($B99-IO.CONTROL!$C$14,STAND.PARAMS!$K$209:$U$264,9)*IO.CONTROL!$F$55+VLOOKUP($B99-IO.CONTROL!$C$14,STAND.PARAMS!$K$209:$U$264,10)*IO.CONTROL!$F$56+VLOOKUP($B99-IO.CONTROL!$C$14,STAND.PARAMS!$K$209:$U$264,11)*IO.CONTROL!$F$57)))</f>
        <v>24522882.148500003</v>
      </c>
      <c r="P99" s="72">
        <f t="shared" si="4"/>
        <v>-11046606.387629999</v>
      </c>
      <c r="Q99" s="110">
        <f t="shared" si="5"/>
        <v>24522882.148500003</v>
      </c>
      <c r="R99" s="114"/>
      <c r="S99" s="72"/>
      <c r="T99" s="72"/>
      <c r="U99" s="72"/>
      <c r="V99" s="72"/>
      <c r="W99" s="72"/>
      <c r="X99" s="72"/>
      <c r="Y99" s="110"/>
      <c r="Z99" s="72">
        <f t="shared" si="1"/>
        <v>-11046606.387629999</v>
      </c>
      <c r="AA99" s="72">
        <f>Z99/(1+IO.CONTROL!$C$13)^AF99</f>
        <v>-3054478.7176704626</v>
      </c>
      <c r="AB99" s="72">
        <f t="shared" si="2"/>
        <v>24522882.148500003</v>
      </c>
      <c r="AC99" s="72">
        <f>AB99/(1+IO.CONTROL!$C$13)^AF99</f>
        <v>6780781.2635030095</v>
      </c>
      <c r="AD99" s="72">
        <f t="shared" si="3"/>
        <v>13476275.760870004</v>
      </c>
      <c r="AE99" s="72">
        <f>AD99/(1+IO.CONTROL!$C$13)^B99</f>
        <v>3726302.5458325474</v>
      </c>
      <c r="AF99" s="10">
        <v>19</v>
      </c>
      <c r="AG99" s="121"/>
    </row>
    <row r="100" spans="2:33" x14ac:dyDescent="0.25">
      <c r="B100" s="9">
        <v>20</v>
      </c>
      <c r="C100" s="72">
        <f>IF(IO.CONTROL!$C$14&gt;$B100,0,STAND.PARAMS!$K$166*IO.CONTROL!$F$19)</f>
        <v>-83884.455000000002</v>
      </c>
      <c r="D100" s="72">
        <f>IF(IO.CONTROL!$C$14&gt;$B100,0,STAND.PARAMS!$K$166*IO.CONTROL!$F$20)</f>
        <v>-128622.83099999999</v>
      </c>
      <c r="E100" s="72">
        <f>IF(IO.CONTROL!$C$14&gt;$B100,0,(VLOOKUP($B100-IO.CONTROL!$C$14,STAND.PARAMS!$K$209:$U$264,7)+VLOOKUP($B100-IO.CONTROL!$C$14,STAND.PARAMS!$K$209:$U$264,8)+VLOOKUP($B100-IO.CONTROL!$C$14,STAND.PARAMS!$K$209:$U$264,9)+VLOOKUP($B100-IO.CONTROL!$C$14,STAND.PARAMS!$K$209:$U$264,10)+VLOOKUP($B100-IO.CONTROL!$C$14,STAND.PARAMS!$K$209:$U$264,11))*IO.CONTROL!$F$21)</f>
        <v>-3254066.64585</v>
      </c>
      <c r="F100" s="72">
        <f>IF(IO.CONTROL!$C$14&gt;$B100,0,VLOOKUP($B100-IO.CONTROL!$C$14,STAND.PARAMS!$K$209:$U$264,6)*IO.CONTROL!$F$22)</f>
        <v>-3437864.5807500002</v>
      </c>
      <c r="G100" s="72">
        <f>IF(IO.CONTROL!$C$14&gt;$B100,0,(STAND.PARAMS!$C$19/IO.CONTROL!$C$10)*10*IO.CONTROL!$F$23)</f>
        <v>-209711.13749999998</v>
      </c>
      <c r="H100" s="72">
        <f>IF(IO.CONTROL!$C$14&gt;$B100,0,(STAND.PARAMS!$C$19-(STAND.PARAMS!$C$19/IO.CONTROL!$C$10)*10)*IO.CONTROL!$F$24)</f>
        <v>-310372.48350000003</v>
      </c>
      <c r="I100" s="72">
        <f>IF(IO.CONTROL!$C$14&gt;$B100,0,(VLOOKUP($B100-IO.CONTROL!$C$14,STAND.PARAMS!$K$209:$U$264,3)*IO.CONTROL!$F$26+VLOOKUP($B100-IO.CONTROL!$C$14,STAND.PARAMS!$K$209:$U$264,4)*IO.CONTROL!$F$27+VLOOKUP($B100-IO.CONTROL!$C$14,STAND.PARAMS!$K$209:$U$264,5)*IO.CONTROL!$F$28+VLOOKUP($B100-IO.CONTROL!$C$14,STAND.PARAMS!$K$209:$U$264,6)*IO.CONTROL!$F$29))</f>
        <v>-57282.358050000003</v>
      </c>
      <c r="J100" s="72">
        <f>IF(IO.CONTROL!$C$14&gt;$B100,0,(VLOOKUP($B100-IO.CONTROL!$C$14,STAND.PARAMS!$K$209:$U$264,3)*IO.CONTROL!$F$31+VLOOKUP($B100-IO.CONTROL!$C$14,STAND.PARAMS!$K$209:$U$264,4)*IO.CONTROL!$F$32+VLOOKUP($B100-IO.CONTROL!$C$14,STAND.PARAMS!$K$209:$U$264,5)*IO.CONTROL!$F$33+VLOOKUP($B100-IO.CONTROL!$C$14,STAND.PARAMS!$K$209:$U$264,6)*IO.CONTROL!$F$34))</f>
        <v>-767282.111775</v>
      </c>
      <c r="K100" s="72">
        <f>IF(IO.CONTROL!$C$14&gt;$B100,0,(VLOOKUP($B100-IO.CONTROL!$C$14,STAND.PARAMS!$K$209:$U$264,8)*IO.CONTROL!$F$36+VLOOKUP($B100-IO.CONTROL!$C$14,STAND.PARAMS!$K$209:$U$264,9)*IO.CONTROL!$F$37+VLOOKUP($B100-IO.CONTROL!$C$14,STAND.PARAMS!$K$209:$U$264,10)*IO.CONTROL!$F$38+VLOOKUP($B100-IO.CONTROL!$C$14,STAND.PARAMS!$K$209:$U$264,11)*IO.CONTROL!$F$39))</f>
        <v>-318215.81775000005</v>
      </c>
      <c r="L100" s="72">
        <f>IF(IO.CONTROL!$C$14&gt;$B100,0,(VLOOKUP($B100-IO.CONTROL!$C$14,STAND.PARAMS!$K$209:$U$264,2)*IO.CONTROL!$F$41+VLOOKUP($B100-IO.CONTROL!$C$14,STAND.PARAMS!$K$209:$U$264,3)*IO.CONTROL!$F$42+VLOOKUP($B100-IO.CONTROL!$C$14,STAND.PARAMS!$K$209:$U$264,4)*IO.CONTROL!$F$43+VLOOKUP($B100-IO.CONTROL!$C$14,STAND.PARAMS!$K$209:$U$264,5)*IO.CONTROL!$F$44+VLOOKUP($B100-IO.CONTROL!$C$14,STAND.PARAMS!$K$209:$U$264,6)*IO.CONTROL!$F$45))</f>
        <v>-1743617.5020000001</v>
      </c>
      <c r="M100" s="72">
        <f>IF(IO.CONTROL!$C$14&gt;$B100,0,((VLOOKUP($B100-IO.CONTROL!$C$14,STAND.PARAMS!$K$209:$U$264,7)*IO.CONTROL!$F$53*IO.CONTROL!$F$45+VLOOKUP($B100-IO.CONTROL!$C$14,STAND.PARAMS!$K$209:$U$264,8)*IO.CONTROL!$F$54*IO.CONTROL!$F$46+VLOOKUP($B100-IO.CONTROL!$C$14,STAND.PARAMS!$K$209:$U$264,9)*IO.CONTROL!$F$55*IO.CONTROL!$F$47+VLOOKUP($B100-IO.CONTROL!$C$14,STAND.PARAMS!$K$209:$U$264,10)*IO.CONTROL!$F$56*IO.CONTROL!$F$48+VLOOKUP($B100-IO.CONTROL!$C$14,STAND.PARAMS!$K$209:$U$264,11)*IO.CONTROL!$F$57*IO.CONTROL!$F$49)))</f>
        <v>-735686.46445500001</v>
      </c>
      <c r="N100" s="72">
        <f t="shared" si="0"/>
        <v>-11046606.387629999</v>
      </c>
      <c r="O100" s="73">
        <f>IF(IO.CONTROL!$C$14&gt;$B100,0,((VLOOKUP($B100-IO.CONTROL!$C$14,STAND.PARAMS!$K$209:$U$264,7)*IO.CONTROL!$F$53+VLOOKUP($B100-IO.CONTROL!$C$14,STAND.PARAMS!$K$209:$U$264,8)*IO.CONTROL!$F$54+VLOOKUP($B100-IO.CONTROL!$C$14,STAND.PARAMS!$K$209:$U$264,9)*IO.CONTROL!$F$55+VLOOKUP($B100-IO.CONTROL!$C$14,STAND.PARAMS!$K$209:$U$264,10)*IO.CONTROL!$F$56+VLOOKUP($B100-IO.CONTROL!$C$14,STAND.PARAMS!$K$209:$U$264,11)*IO.CONTROL!$F$57)))</f>
        <v>24522882.148500003</v>
      </c>
      <c r="P100" s="72">
        <f t="shared" si="4"/>
        <v>-11046606.387629999</v>
      </c>
      <c r="Q100" s="110">
        <f t="shared" si="5"/>
        <v>24522882.148500003</v>
      </c>
      <c r="R100" s="114"/>
      <c r="S100" s="72"/>
      <c r="T100" s="72"/>
      <c r="U100" s="72"/>
      <c r="V100" s="72"/>
      <c r="W100" s="72"/>
      <c r="X100" s="72"/>
      <c r="Y100" s="110"/>
      <c r="Z100" s="72">
        <f t="shared" si="1"/>
        <v>-11046606.387629999</v>
      </c>
      <c r="AA100" s="72">
        <f>Z100/(1+IO.CONTROL!$C$13)^AF100</f>
        <v>-2854653.0071686567</v>
      </c>
      <c r="AB100" s="72">
        <f t="shared" si="2"/>
        <v>24522882.148500003</v>
      </c>
      <c r="AC100" s="72">
        <f>AB100/(1+IO.CONTROL!$C$13)^AF100</f>
        <v>6337178.7509373929</v>
      </c>
      <c r="AD100" s="72">
        <f t="shared" si="3"/>
        <v>13476275.760870004</v>
      </c>
      <c r="AE100" s="72">
        <f>AD100/(1+IO.CONTROL!$C$13)^B100</f>
        <v>3482525.7437687363</v>
      </c>
      <c r="AF100" s="10">
        <v>20</v>
      </c>
      <c r="AG100" s="121"/>
    </row>
    <row r="101" spans="2:33" x14ac:dyDescent="0.25">
      <c r="B101" s="9">
        <v>21</v>
      </c>
      <c r="C101" s="72">
        <f>IF(IO.CONTROL!$C$14&gt;$B101,0,STAND.PARAMS!$K$166*IO.CONTROL!$F$19)</f>
        <v>-83884.455000000002</v>
      </c>
      <c r="D101" s="72">
        <f>IF(IO.CONTROL!$C$14&gt;$B101,0,STAND.PARAMS!$K$166*IO.CONTROL!$F$20)</f>
        <v>-128622.83099999999</v>
      </c>
      <c r="E101" s="72">
        <f>IF(IO.CONTROL!$C$14&gt;$B101,0,(VLOOKUP($B101-IO.CONTROL!$C$14,STAND.PARAMS!$K$209:$U$264,7)+VLOOKUP($B101-IO.CONTROL!$C$14,STAND.PARAMS!$K$209:$U$264,8)+VLOOKUP($B101-IO.CONTROL!$C$14,STAND.PARAMS!$K$209:$U$264,9)+VLOOKUP($B101-IO.CONTROL!$C$14,STAND.PARAMS!$K$209:$U$264,10)+VLOOKUP($B101-IO.CONTROL!$C$14,STAND.PARAMS!$K$209:$U$264,11))*IO.CONTROL!$F$21)</f>
        <v>-3254066.64585</v>
      </c>
      <c r="F101" s="72">
        <f>IF(IO.CONTROL!$C$14&gt;$B101,0,VLOOKUP($B101-IO.CONTROL!$C$14,STAND.PARAMS!$K$209:$U$264,6)*IO.CONTROL!$F$22)</f>
        <v>-3437864.5807500002</v>
      </c>
      <c r="G101" s="72">
        <f>IF(IO.CONTROL!$C$14&gt;$B101,0,(STAND.PARAMS!$C$19/IO.CONTROL!$C$10)*10*IO.CONTROL!$F$23)</f>
        <v>-209711.13749999998</v>
      </c>
      <c r="H101" s="72">
        <f>IF(IO.CONTROL!$C$14&gt;$B101,0,(STAND.PARAMS!$C$19-(STAND.PARAMS!$C$19/IO.CONTROL!$C$10)*10)*IO.CONTROL!$F$24)</f>
        <v>-310372.48350000003</v>
      </c>
      <c r="I101" s="72">
        <f>IF(IO.CONTROL!$C$14&gt;$B101,0,(VLOOKUP($B101-IO.CONTROL!$C$14,STAND.PARAMS!$K$209:$U$264,3)*IO.CONTROL!$F$26+VLOOKUP($B101-IO.CONTROL!$C$14,STAND.PARAMS!$K$209:$U$264,4)*IO.CONTROL!$F$27+VLOOKUP($B101-IO.CONTROL!$C$14,STAND.PARAMS!$K$209:$U$264,5)*IO.CONTROL!$F$28+VLOOKUP($B101-IO.CONTROL!$C$14,STAND.PARAMS!$K$209:$U$264,6)*IO.CONTROL!$F$29))</f>
        <v>-57282.358050000003</v>
      </c>
      <c r="J101" s="72">
        <f>IF(IO.CONTROL!$C$14&gt;$B101,0,(VLOOKUP($B101-IO.CONTROL!$C$14,STAND.PARAMS!$K$209:$U$264,3)*IO.CONTROL!$F$31+VLOOKUP($B101-IO.CONTROL!$C$14,STAND.PARAMS!$K$209:$U$264,4)*IO.CONTROL!$F$32+VLOOKUP($B101-IO.CONTROL!$C$14,STAND.PARAMS!$K$209:$U$264,5)*IO.CONTROL!$F$33+VLOOKUP($B101-IO.CONTROL!$C$14,STAND.PARAMS!$K$209:$U$264,6)*IO.CONTROL!$F$34))</f>
        <v>-767282.111775</v>
      </c>
      <c r="K101" s="72">
        <f>IF(IO.CONTROL!$C$14&gt;$B101,0,(VLOOKUP($B101-IO.CONTROL!$C$14,STAND.PARAMS!$K$209:$U$264,8)*IO.CONTROL!$F$36+VLOOKUP($B101-IO.CONTROL!$C$14,STAND.PARAMS!$K$209:$U$264,9)*IO.CONTROL!$F$37+VLOOKUP($B101-IO.CONTROL!$C$14,STAND.PARAMS!$K$209:$U$264,10)*IO.CONTROL!$F$38+VLOOKUP($B101-IO.CONTROL!$C$14,STAND.PARAMS!$K$209:$U$264,11)*IO.CONTROL!$F$39))</f>
        <v>-318215.81775000005</v>
      </c>
      <c r="L101" s="72">
        <f>IF(IO.CONTROL!$C$14&gt;$B101,0,(VLOOKUP($B101-IO.CONTROL!$C$14,STAND.PARAMS!$K$209:$U$264,2)*IO.CONTROL!$F$41+VLOOKUP($B101-IO.CONTROL!$C$14,STAND.PARAMS!$K$209:$U$264,3)*IO.CONTROL!$F$42+VLOOKUP($B101-IO.CONTROL!$C$14,STAND.PARAMS!$K$209:$U$264,4)*IO.CONTROL!$F$43+VLOOKUP($B101-IO.CONTROL!$C$14,STAND.PARAMS!$K$209:$U$264,5)*IO.CONTROL!$F$44+VLOOKUP($B101-IO.CONTROL!$C$14,STAND.PARAMS!$K$209:$U$264,6)*IO.CONTROL!$F$45))</f>
        <v>-1743617.5020000001</v>
      </c>
      <c r="M101" s="72">
        <f>IF(IO.CONTROL!$C$14&gt;$B101,0,((VLOOKUP($B101-IO.CONTROL!$C$14,STAND.PARAMS!$K$209:$U$264,7)*IO.CONTROL!$F$53*IO.CONTROL!$F$45+VLOOKUP($B101-IO.CONTROL!$C$14,STAND.PARAMS!$K$209:$U$264,8)*IO.CONTROL!$F$54*IO.CONTROL!$F$46+VLOOKUP($B101-IO.CONTROL!$C$14,STAND.PARAMS!$K$209:$U$264,9)*IO.CONTROL!$F$55*IO.CONTROL!$F$47+VLOOKUP($B101-IO.CONTROL!$C$14,STAND.PARAMS!$K$209:$U$264,10)*IO.CONTROL!$F$56*IO.CONTROL!$F$48+VLOOKUP($B101-IO.CONTROL!$C$14,STAND.PARAMS!$K$209:$U$264,11)*IO.CONTROL!$F$57*IO.CONTROL!$F$49)))</f>
        <v>-735686.46445500001</v>
      </c>
      <c r="N101" s="72">
        <f t="shared" si="0"/>
        <v>-11046606.387629999</v>
      </c>
      <c r="O101" s="73">
        <f>IF(IO.CONTROL!$C$14&gt;$B101,0,((VLOOKUP($B101-IO.CONTROL!$C$14,STAND.PARAMS!$K$209:$U$264,7)*IO.CONTROL!$F$53+VLOOKUP($B101-IO.CONTROL!$C$14,STAND.PARAMS!$K$209:$U$264,8)*IO.CONTROL!$F$54+VLOOKUP($B101-IO.CONTROL!$C$14,STAND.PARAMS!$K$209:$U$264,9)*IO.CONTROL!$F$55+VLOOKUP($B101-IO.CONTROL!$C$14,STAND.PARAMS!$K$209:$U$264,10)*IO.CONTROL!$F$56+VLOOKUP($B101-IO.CONTROL!$C$14,STAND.PARAMS!$K$209:$U$264,11)*IO.CONTROL!$F$57)))</f>
        <v>24522882.148500003</v>
      </c>
      <c r="P101" s="72">
        <f t="shared" si="4"/>
        <v>-11046606.387629999</v>
      </c>
      <c r="Q101" s="110">
        <f t="shared" si="5"/>
        <v>24522882.148500003</v>
      </c>
      <c r="R101" s="114"/>
      <c r="S101" s="72"/>
      <c r="T101" s="72"/>
      <c r="U101" s="72"/>
      <c r="V101" s="72"/>
      <c r="W101" s="72"/>
      <c r="X101" s="72"/>
      <c r="Y101" s="110"/>
      <c r="Z101" s="72">
        <f t="shared" si="1"/>
        <v>-11046606.387629999</v>
      </c>
      <c r="AA101" s="72">
        <f>Z101/(1+IO.CONTROL!$C$13)^AF101</f>
        <v>-2667900.006699679</v>
      </c>
      <c r="AB101" s="72">
        <f t="shared" si="2"/>
        <v>24522882.148500003</v>
      </c>
      <c r="AC101" s="72">
        <f>AB101/(1+IO.CONTROL!$C$13)^AF101</f>
        <v>5922596.9634928899</v>
      </c>
      <c r="AD101" s="72">
        <f t="shared" si="3"/>
        <v>13476275.760870004</v>
      </c>
      <c r="AE101" s="72">
        <f>AD101/(1+IO.CONTROL!$C$13)^B101</f>
        <v>3254696.9567932109</v>
      </c>
      <c r="AF101" s="10">
        <v>21</v>
      </c>
      <c r="AG101" s="121"/>
    </row>
    <row r="102" spans="2:33" x14ac:dyDescent="0.25">
      <c r="B102" s="9">
        <v>22</v>
      </c>
      <c r="C102" s="72">
        <f>IF(IO.CONTROL!$C$14&gt;$B102,0,STAND.PARAMS!$K$166*IO.CONTROL!$F$19)</f>
        <v>-83884.455000000002</v>
      </c>
      <c r="D102" s="72">
        <f>IF(IO.CONTROL!$C$14&gt;$B102,0,STAND.PARAMS!$K$166*IO.CONTROL!$F$20)</f>
        <v>-128622.83099999999</v>
      </c>
      <c r="E102" s="72">
        <f>IF(IO.CONTROL!$C$14&gt;$B102,0,(VLOOKUP($B102-IO.CONTROL!$C$14,STAND.PARAMS!$K$209:$U$264,7)+VLOOKUP($B102-IO.CONTROL!$C$14,STAND.PARAMS!$K$209:$U$264,8)+VLOOKUP($B102-IO.CONTROL!$C$14,STAND.PARAMS!$K$209:$U$264,9)+VLOOKUP($B102-IO.CONTROL!$C$14,STAND.PARAMS!$K$209:$U$264,10)+VLOOKUP($B102-IO.CONTROL!$C$14,STAND.PARAMS!$K$209:$U$264,11))*IO.CONTROL!$F$21)</f>
        <v>-3254066.64585</v>
      </c>
      <c r="F102" s="72">
        <f>IF(IO.CONTROL!$C$14&gt;$B102,0,VLOOKUP($B102-IO.CONTROL!$C$14,STAND.PARAMS!$K$209:$U$264,6)*IO.CONTROL!$F$22)</f>
        <v>-3437864.5807500002</v>
      </c>
      <c r="G102" s="72">
        <f>IF(IO.CONTROL!$C$14&gt;$B102,0,(STAND.PARAMS!$C$19/IO.CONTROL!$C$10)*10*IO.CONTROL!$F$23)</f>
        <v>-209711.13749999998</v>
      </c>
      <c r="H102" s="72">
        <f>IF(IO.CONTROL!$C$14&gt;$B102,0,(STAND.PARAMS!$C$19-(STAND.PARAMS!$C$19/IO.CONTROL!$C$10)*10)*IO.CONTROL!$F$24)</f>
        <v>-310372.48350000003</v>
      </c>
      <c r="I102" s="72">
        <f>IF(IO.CONTROL!$C$14&gt;$B102,0,(VLOOKUP($B102-IO.CONTROL!$C$14,STAND.PARAMS!$K$209:$U$264,3)*IO.CONTROL!$F$26+VLOOKUP($B102-IO.CONTROL!$C$14,STAND.PARAMS!$K$209:$U$264,4)*IO.CONTROL!$F$27+VLOOKUP($B102-IO.CONTROL!$C$14,STAND.PARAMS!$K$209:$U$264,5)*IO.CONTROL!$F$28+VLOOKUP($B102-IO.CONTROL!$C$14,STAND.PARAMS!$K$209:$U$264,6)*IO.CONTROL!$F$29))</f>
        <v>-57282.358050000003</v>
      </c>
      <c r="J102" s="72">
        <f>IF(IO.CONTROL!$C$14&gt;$B102,0,(VLOOKUP($B102-IO.CONTROL!$C$14,STAND.PARAMS!$K$209:$U$264,3)*IO.CONTROL!$F$31+VLOOKUP($B102-IO.CONTROL!$C$14,STAND.PARAMS!$K$209:$U$264,4)*IO.CONTROL!$F$32+VLOOKUP($B102-IO.CONTROL!$C$14,STAND.PARAMS!$K$209:$U$264,5)*IO.CONTROL!$F$33+VLOOKUP($B102-IO.CONTROL!$C$14,STAND.PARAMS!$K$209:$U$264,6)*IO.CONTROL!$F$34))</f>
        <v>-767282.111775</v>
      </c>
      <c r="K102" s="72">
        <f>IF(IO.CONTROL!$C$14&gt;$B102,0,(VLOOKUP($B102-IO.CONTROL!$C$14,STAND.PARAMS!$K$209:$U$264,8)*IO.CONTROL!$F$36+VLOOKUP($B102-IO.CONTROL!$C$14,STAND.PARAMS!$K$209:$U$264,9)*IO.CONTROL!$F$37+VLOOKUP($B102-IO.CONTROL!$C$14,STAND.PARAMS!$K$209:$U$264,10)*IO.CONTROL!$F$38+VLOOKUP($B102-IO.CONTROL!$C$14,STAND.PARAMS!$K$209:$U$264,11)*IO.CONTROL!$F$39))</f>
        <v>-318215.81775000005</v>
      </c>
      <c r="L102" s="72">
        <f>IF(IO.CONTROL!$C$14&gt;$B102,0,(VLOOKUP($B102-IO.CONTROL!$C$14,STAND.PARAMS!$K$209:$U$264,2)*IO.CONTROL!$F$41+VLOOKUP($B102-IO.CONTROL!$C$14,STAND.PARAMS!$K$209:$U$264,3)*IO.CONTROL!$F$42+VLOOKUP($B102-IO.CONTROL!$C$14,STAND.PARAMS!$K$209:$U$264,4)*IO.CONTROL!$F$43+VLOOKUP($B102-IO.CONTROL!$C$14,STAND.PARAMS!$K$209:$U$264,5)*IO.CONTROL!$F$44+VLOOKUP($B102-IO.CONTROL!$C$14,STAND.PARAMS!$K$209:$U$264,6)*IO.CONTROL!$F$45))</f>
        <v>-1743617.5020000001</v>
      </c>
      <c r="M102" s="72">
        <f>IF(IO.CONTROL!$C$14&gt;$B102,0,((VLOOKUP($B102-IO.CONTROL!$C$14,STAND.PARAMS!$K$209:$U$264,7)*IO.CONTROL!$F$53*IO.CONTROL!$F$45+VLOOKUP($B102-IO.CONTROL!$C$14,STAND.PARAMS!$K$209:$U$264,8)*IO.CONTROL!$F$54*IO.CONTROL!$F$46+VLOOKUP($B102-IO.CONTROL!$C$14,STAND.PARAMS!$K$209:$U$264,9)*IO.CONTROL!$F$55*IO.CONTROL!$F$47+VLOOKUP($B102-IO.CONTROL!$C$14,STAND.PARAMS!$K$209:$U$264,10)*IO.CONTROL!$F$56*IO.CONTROL!$F$48+VLOOKUP($B102-IO.CONTROL!$C$14,STAND.PARAMS!$K$209:$U$264,11)*IO.CONTROL!$F$57*IO.CONTROL!$F$49)))</f>
        <v>-735686.46445500001</v>
      </c>
      <c r="N102" s="72">
        <f t="shared" si="0"/>
        <v>-11046606.387629999</v>
      </c>
      <c r="O102" s="73">
        <f>IF(IO.CONTROL!$C$14&gt;$B102,0,((VLOOKUP($B102-IO.CONTROL!$C$14,STAND.PARAMS!$K$209:$U$264,7)*IO.CONTROL!$F$53+VLOOKUP($B102-IO.CONTROL!$C$14,STAND.PARAMS!$K$209:$U$264,8)*IO.CONTROL!$F$54+VLOOKUP($B102-IO.CONTROL!$C$14,STAND.PARAMS!$K$209:$U$264,9)*IO.CONTROL!$F$55+VLOOKUP($B102-IO.CONTROL!$C$14,STAND.PARAMS!$K$209:$U$264,10)*IO.CONTROL!$F$56+VLOOKUP($B102-IO.CONTROL!$C$14,STAND.PARAMS!$K$209:$U$264,11)*IO.CONTROL!$F$57)))</f>
        <v>24522882.148500003</v>
      </c>
      <c r="P102" s="72">
        <f t="shared" si="4"/>
        <v>-11046606.387629999</v>
      </c>
      <c r="Q102" s="110">
        <f t="shared" si="5"/>
        <v>24522882.148500003</v>
      </c>
      <c r="R102" s="114"/>
      <c r="S102" s="72"/>
      <c r="T102" s="72"/>
      <c r="U102" s="72"/>
      <c r="V102" s="72"/>
      <c r="W102" s="72"/>
      <c r="X102" s="72"/>
      <c r="Y102" s="110"/>
      <c r="Z102" s="72">
        <f t="shared" si="1"/>
        <v>-11046606.387629999</v>
      </c>
      <c r="AA102" s="72">
        <f>Z102/(1+IO.CONTROL!$C$13)^AF102</f>
        <v>-2493364.4922426906</v>
      </c>
      <c r="AB102" s="72">
        <f t="shared" si="2"/>
        <v>24522882.148500003</v>
      </c>
      <c r="AC102" s="72">
        <f>AB102/(1+IO.CONTROL!$C$13)^AF102</f>
        <v>5535137.3490587762</v>
      </c>
      <c r="AD102" s="72">
        <f t="shared" si="3"/>
        <v>13476275.760870004</v>
      </c>
      <c r="AE102" s="72">
        <f>AD102/(1+IO.CONTROL!$C$13)^B102</f>
        <v>3041772.8568160851</v>
      </c>
      <c r="AF102" s="10">
        <v>22</v>
      </c>
      <c r="AG102" s="121"/>
    </row>
    <row r="103" spans="2:33" x14ac:dyDescent="0.25">
      <c r="B103" s="9">
        <v>23</v>
      </c>
      <c r="C103" s="72">
        <f>IF(IO.CONTROL!$C$14&gt;$B103,0,STAND.PARAMS!$K$166*IO.CONTROL!$F$19)</f>
        <v>-83884.455000000002</v>
      </c>
      <c r="D103" s="72">
        <f>IF(IO.CONTROL!$C$14&gt;$B103,0,STAND.PARAMS!$K$166*IO.CONTROL!$F$20)</f>
        <v>-128622.83099999999</v>
      </c>
      <c r="E103" s="72">
        <f>IF(IO.CONTROL!$C$14&gt;$B103,0,(VLOOKUP($B103-IO.CONTROL!$C$14,STAND.PARAMS!$K$209:$U$264,7)+VLOOKUP($B103-IO.CONTROL!$C$14,STAND.PARAMS!$K$209:$U$264,8)+VLOOKUP($B103-IO.CONTROL!$C$14,STAND.PARAMS!$K$209:$U$264,9)+VLOOKUP($B103-IO.CONTROL!$C$14,STAND.PARAMS!$K$209:$U$264,10)+VLOOKUP($B103-IO.CONTROL!$C$14,STAND.PARAMS!$K$209:$U$264,11))*IO.CONTROL!$F$21)</f>
        <v>-2884604.7045539999</v>
      </c>
      <c r="F103" s="72">
        <f>IF(IO.CONTROL!$C$14&gt;$B103,0,VLOOKUP($B103-IO.CONTROL!$C$14,STAND.PARAMS!$K$209:$U$264,6)*IO.CONTROL!$F$22)</f>
        <v>-3437864.5807500002</v>
      </c>
      <c r="G103" s="72">
        <f>IF(IO.CONTROL!$C$14&gt;$B103,0,(STAND.PARAMS!$C$19/IO.CONTROL!$C$10)*10*IO.CONTROL!$F$23)</f>
        <v>-209711.13749999998</v>
      </c>
      <c r="H103" s="72">
        <f>IF(IO.CONTROL!$C$14&gt;$B103,0,(STAND.PARAMS!$C$19-(STAND.PARAMS!$C$19/IO.CONTROL!$C$10)*10)*IO.CONTROL!$F$24)</f>
        <v>-310372.48350000003</v>
      </c>
      <c r="I103" s="72">
        <f>IF(IO.CONTROL!$C$14&gt;$B103,0,(VLOOKUP($B103-IO.CONTROL!$C$14,STAND.PARAMS!$K$209:$U$264,3)*IO.CONTROL!$F$26+VLOOKUP($B103-IO.CONTROL!$C$14,STAND.PARAMS!$K$209:$U$264,4)*IO.CONTROL!$F$27+VLOOKUP($B103-IO.CONTROL!$C$14,STAND.PARAMS!$K$209:$U$264,5)*IO.CONTROL!$F$28+VLOOKUP($B103-IO.CONTROL!$C$14,STAND.PARAMS!$K$209:$U$264,6)*IO.CONTROL!$F$29))</f>
        <v>-47160.637200000005</v>
      </c>
      <c r="J103" s="72">
        <f>IF(IO.CONTROL!$C$14&gt;$B103,0,(VLOOKUP($B103-IO.CONTROL!$C$14,STAND.PARAMS!$K$209:$U$264,3)*IO.CONTROL!$F$31+VLOOKUP($B103-IO.CONTROL!$C$14,STAND.PARAMS!$K$209:$U$264,4)*IO.CONTROL!$F$32+VLOOKUP($B103-IO.CONTROL!$C$14,STAND.PARAMS!$K$209:$U$264,5)*IO.CONTROL!$F$33+VLOOKUP($B103-IO.CONTROL!$C$14,STAND.PARAMS!$K$209:$U$264,6)*IO.CONTROL!$F$34))</f>
        <v>-631704.32459999993</v>
      </c>
      <c r="K103" s="72">
        <f>IF(IO.CONTROL!$C$14&gt;$B103,0,(VLOOKUP($B103-IO.CONTROL!$C$14,STAND.PARAMS!$K$209:$U$264,8)*IO.CONTROL!$F$36+VLOOKUP($B103-IO.CONTROL!$C$14,STAND.PARAMS!$K$209:$U$264,9)*IO.CONTROL!$F$37+VLOOKUP($B103-IO.CONTROL!$C$14,STAND.PARAMS!$K$209:$U$264,10)*IO.CONTROL!$F$38+VLOOKUP($B103-IO.CONTROL!$C$14,STAND.PARAMS!$K$209:$U$264,11)*IO.CONTROL!$F$39))</f>
        <v>-278911.35590999998</v>
      </c>
      <c r="L103" s="72">
        <f>IF(IO.CONTROL!$C$14&gt;$B103,0,(VLOOKUP($B103-IO.CONTROL!$C$14,STAND.PARAMS!$K$209:$U$264,2)*IO.CONTROL!$F$41+VLOOKUP($B103-IO.CONTROL!$C$14,STAND.PARAMS!$K$209:$U$264,3)*IO.CONTROL!$F$42+VLOOKUP($B103-IO.CONTROL!$C$14,STAND.PARAMS!$K$209:$U$264,4)*IO.CONTROL!$F$43+VLOOKUP($B103-IO.CONTROL!$C$14,STAND.PARAMS!$K$209:$U$264,5)*IO.CONTROL!$F$44+VLOOKUP($B103-IO.CONTROL!$C$14,STAND.PARAMS!$K$209:$U$264,6)*IO.CONTROL!$F$45))</f>
        <v>-1435526.5252500002</v>
      </c>
      <c r="M103" s="72">
        <f>IF(IO.CONTROL!$C$14&gt;$B103,0,((VLOOKUP($B103-IO.CONTROL!$C$14,STAND.PARAMS!$K$209:$U$264,7)*IO.CONTROL!$F$53*IO.CONTROL!$F$45+VLOOKUP($B103-IO.CONTROL!$C$14,STAND.PARAMS!$K$209:$U$264,8)*IO.CONTROL!$F$54*IO.CONTROL!$F$46+VLOOKUP($B103-IO.CONTROL!$C$14,STAND.PARAMS!$K$209:$U$264,9)*IO.CONTROL!$F$55*IO.CONTROL!$F$47+VLOOKUP($B103-IO.CONTROL!$C$14,STAND.PARAMS!$K$209:$U$264,10)*IO.CONTROL!$F$56*IO.CONTROL!$F$48+VLOOKUP($B103-IO.CONTROL!$C$14,STAND.PARAMS!$K$209:$U$264,11)*IO.CONTROL!$F$57*IO.CONTROL!$F$49)))</f>
        <v>-690768.54427499988</v>
      </c>
      <c r="N103" s="72">
        <f t="shared" si="0"/>
        <v>-10139131.579539001</v>
      </c>
      <c r="O103" s="73">
        <f>IF(IO.CONTROL!$C$14&gt;$B103,0,((VLOOKUP($B103-IO.CONTROL!$C$14,STAND.PARAMS!$K$209:$U$264,7)*IO.CONTROL!$F$53+VLOOKUP($B103-IO.CONTROL!$C$14,STAND.PARAMS!$K$209:$U$264,8)*IO.CONTROL!$F$54+VLOOKUP($B103-IO.CONTROL!$C$14,STAND.PARAMS!$K$209:$U$264,9)*IO.CONTROL!$F$55+VLOOKUP($B103-IO.CONTROL!$C$14,STAND.PARAMS!$K$209:$U$264,10)*IO.CONTROL!$F$56+VLOOKUP($B103-IO.CONTROL!$C$14,STAND.PARAMS!$K$209:$U$264,11)*IO.CONTROL!$F$57)))</f>
        <v>23025618.142499998</v>
      </c>
      <c r="P103" s="72">
        <f t="shared" si="4"/>
        <v>-10139131.579539001</v>
      </c>
      <c r="Q103" s="110">
        <f t="shared" si="5"/>
        <v>23025618.142499998</v>
      </c>
      <c r="R103" s="114"/>
      <c r="S103" s="72"/>
      <c r="T103" s="72"/>
      <c r="U103" s="72"/>
      <c r="V103" s="72"/>
      <c r="W103" s="72"/>
      <c r="X103" s="72"/>
      <c r="Y103" s="110"/>
      <c r="Z103" s="72">
        <f t="shared" si="1"/>
        <v>-10139131.579539001</v>
      </c>
      <c r="AA103" s="72">
        <f>Z103/(1+IO.CONTROL!$C$13)^AF103</f>
        <v>-2138818.2065307698</v>
      </c>
      <c r="AB103" s="72">
        <f t="shared" si="2"/>
        <v>23025618.142499998</v>
      </c>
      <c r="AC103" s="72">
        <f>AB103/(1+IO.CONTROL!$C$13)^AF103</f>
        <v>4857182.3842573464</v>
      </c>
      <c r="AD103" s="72">
        <f t="shared" si="3"/>
        <v>12886486.562960997</v>
      </c>
      <c r="AE103" s="72">
        <f>AD103/(1+IO.CONTROL!$C$13)^B103</f>
        <v>2718364.177726577</v>
      </c>
      <c r="AF103" s="10">
        <v>23</v>
      </c>
      <c r="AG103" s="121"/>
    </row>
    <row r="104" spans="2:33" x14ac:dyDescent="0.25">
      <c r="B104" s="9">
        <v>24</v>
      </c>
      <c r="C104" s="72">
        <f>IF(IO.CONTROL!$C$14&gt;$B104,0,STAND.PARAMS!$K$166*IO.CONTROL!$F$19)</f>
        <v>-83884.455000000002</v>
      </c>
      <c r="D104" s="72">
        <f>IF(IO.CONTROL!$C$14&gt;$B104,0,STAND.PARAMS!$K$166*IO.CONTROL!$F$20)</f>
        <v>-128622.83099999999</v>
      </c>
      <c r="E104" s="72">
        <f>IF(IO.CONTROL!$C$14&gt;$B104,0,(VLOOKUP($B104-IO.CONTROL!$C$14,STAND.PARAMS!$K$209:$U$264,7)+VLOOKUP($B104-IO.CONTROL!$C$14,STAND.PARAMS!$K$209:$U$264,8)+VLOOKUP($B104-IO.CONTROL!$C$14,STAND.PARAMS!$K$209:$U$264,9)+VLOOKUP($B104-IO.CONTROL!$C$14,STAND.PARAMS!$K$209:$U$264,10)+VLOOKUP($B104-IO.CONTROL!$C$14,STAND.PARAMS!$K$209:$U$264,11))*IO.CONTROL!$F$21)</f>
        <v>-2884604.7045539999</v>
      </c>
      <c r="F104" s="72">
        <f>IF(IO.CONTROL!$C$14&gt;$B104,0,VLOOKUP($B104-IO.CONTROL!$C$14,STAND.PARAMS!$K$209:$U$264,6)*IO.CONTROL!$F$22)</f>
        <v>-3437864.5807500002</v>
      </c>
      <c r="G104" s="72">
        <f>IF(IO.CONTROL!$C$14&gt;$B104,0,(STAND.PARAMS!$C$19/IO.CONTROL!$C$10)*10*IO.CONTROL!$F$23)</f>
        <v>-209711.13749999998</v>
      </c>
      <c r="H104" s="72">
        <f>IF(IO.CONTROL!$C$14&gt;$B104,0,(STAND.PARAMS!$C$19-(STAND.PARAMS!$C$19/IO.CONTROL!$C$10)*10)*IO.CONTROL!$F$24)</f>
        <v>-310372.48350000003</v>
      </c>
      <c r="I104" s="72">
        <f>IF(IO.CONTROL!$C$14&gt;$B104,0,(VLOOKUP($B104-IO.CONTROL!$C$14,STAND.PARAMS!$K$209:$U$264,3)*IO.CONTROL!$F$26+VLOOKUP($B104-IO.CONTROL!$C$14,STAND.PARAMS!$K$209:$U$264,4)*IO.CONTROL!$F$27+VLOOKUP($B104-IO.CONTROL!$C$14,STAND.PARAMS!$K$209:$U$264,5)*IO.CONTROL!$F$28+VLOOKUP($B104-IO.CONTROL!$C$14,STAND.PARAMS!$K$209:$U$264,6)*IO.CONTROL!$F$29))</f>
        <v>-47160.637200000005</v>
      </c>
      <c r="J104" s="72">
        <f>IF(IO.CONTROL!$C$14&gt;$B104,0,(VLOOKUP($B104-IO.CONTROL!$C$14,STAND.PARAMS!$K$209:$U$264,3)*IO.CONTROL!$F$31+VLOOKUP($B104-IO.CONTROL!$C$14,STAND.PARAMS!$K$209:$U$264,4)*IO.CONTROL!$F$32+VLOOKUP($B104-IO.CONTROL!$C$14,STAND.PARAMS!$K$209:$U$264,5)*IO.CONTROL!$F$33+VLOOKUP($B104-IO.CONTROL!$C$14,STAND.PARAMS!$K$209:$U$264,6)*IO.CONTROL!$F$34))</f>
        <v>-631704.32459999993</v>
      </c>
      <c r="K104" s="72">
        <f>IF(IO.CONTROL!$C$14&gt;$B104,0,(VLOOKUP($B104-IO.CONTROL!$C$14,STAND.PARAMS!$K$209:$U$264,8)*IO.CONTROL!$F$36+VLOOKUP($B104-IO.CONTROL!$C$14,STAND.PARAMS!$K$209:$U$264,9)*IO.CONTROL!$F$37+VLOOKUP($B104-IO.CONTROL!$C$14,STAND.PARAMS!$K$209:$U$264,10)*IO.CONTROL!$F$38+VLOOKUP($B104-IO.CONTROL!$C$14,STAND.PARAMS!$K$209:$U$264,11)*IO.CONTROL!$F$39))</f>
        <v>-278911.35590999998</v>
      </c>
      <c r="L104" s="72">
        <f>IF(IO.CONTROL!$C$14&gt;$B104,0,(VLOOKUP($B104-IO.CONTROL!$C$14,STAND.PARAMS!$K$209:$U$264,2)*IO.CONTROL!$F$41+VLOOKUP($B104-IO.CONTROL!$C$14,STAND.PARAMS!$K$209:$U$264,3)*IO.CONTROL!$F$42+VLOOKUP($B104-IO.CONTROL!$C$14,STAND.PARAMS!$K$209:$U$264,4)*IO.CONTROL!$F$43+VLOOKUP($B104-IO.CONTROL!$C$14,STAND.PARAMS!$K$209:$U$264,5)*IO.CONTROL!$F$44+VLOOKUP($B104-IO.CONTROL!$C$14,STAND.PARAMS!$K$209:$U$264,6)*IO.CONTROL!$F$45))</f>
        <v>-1435526.5252500002</v>
      </c>
      <c r="M104" s="72">
        <f>IF(IO.CONTROL!$C$14&gt;$B104,0,((VLOOKUP($B104-IO.CONTROL!$C$14,STAND.PARAMS!$K$209:$U$264,7)*IO.CONTROL!$F$53*IO.CONTROL!$F$45+VLOOKUP($B104-IO.CONTROL!$C$14,STAND.PARAMS!$K$209:$U$264,8)*IO.CONTROL!$F$54*IO.CONTROL!$F$46+VLOOKUP($B104-IO.CONTROL!$C$14,STAND.PARAMS!$K$209:$U$264,9)*IO.CONTROL!$F$55*IO.CONTROL!$F$47+VLOOKUP($B104-IO.CONTROL!$C$14,STAND.PARAMS!$K$209:$U$264,10)*IO.CONTROL!$F$56*IO.CONTROL!$F$48+VLOOKUP($B104-IO.CONTROL!$C$14,STAND.PARAMS!$K$209:$U$264,11)*IO.CONTROL!$F$57*IO.CONTROL!$F$49)))</f>
        <v>-690768.54427499988</v>
      </c>
      <c r="N104" s="72">
        <f t="shared" si="0"/>
        <v>-10139131.579539001</v>
      </c>
      <c r="O104" s="73">
        <f>IF(IO.CONTROL!$C$14&gt;$B104,0,((VLOOKUP($B104-IO.CONTROL!$C$14,STAND.PARAMS!$K$209:$U$264,7)*IO.CONTROL!$F$53+VLOOKUP($B104-IO.CONTROL!$C$14,STAND.PARAMS!$K$209:$U$264,8)*IO.CONTROL!$F$54+VLOOKUP($B104-IO.CONTROL!$C$14,STAND.PARAMS!$K$209:$U$264,9)*IO.CONTROL!$F$55+VLOOKUP($B104-IO.CONTROL!$C$14,STAND.PARAMS!$K$209:$U$264,10)*IO.CONTROL!$F$56+VLOOKUP($B104-IO.CONTROL!$C$14,STAND.PARAMS!$K$209:$U$264,11)*IO.CONTROL!$F$57)))</f>
        <v>23025618.142499998</v>
      </c>
      <c r="P104" s="72">
        <f t="shared" si="4"/>
        <v>-10139131.579539001</v>
      </c>
      <c r="Q104" s="110">
        <f t="shared" si="5"/>
        <v>23025618.142499998</v>
      </c>
      <c r="R104" s="114"/>
      <c r="S104" s="72"/>
      <c r="T104" s="72"/>
      <c r="U104" s="72"/>
      <c r="V104" s="72"/>
      <c r="W104" s="72"/>
      <c r="X104" s="72"/>
      <c r="Y104" s="110"/>
      <c r="Z104" s="72">
        <f t="shared" si="1"/>
        <v>-10139131.579539001</v>
      </c>
      <c r="AA104" s="72">
        <f>Z104/(1+IO.CONTROL!$C$13)^AF104</f>
        <v>-1998895.5201222147</v>
      </c>
      <c r="AB104" s="72">
        <f t="shared" si="2"/>
        <v>23025618.142499998</v>
      </c>
      <c r="AC104" s="72">
        <f>AB104/(1+IO.CONTROL!$C$13)^AF104</f>
        <v>4539422.7890255572</v>
      </c>
      <c r="AD104" s="72">
        <f t="shared" si="3"/>
        <v>12886486.562960997</v>
      </c>
      <c r="AE104" s="72">
        <f>AD104/(1+IO.CONTROL!$C$13)^B104</f>
        <v>2540527.2689033425</v>
      </c>
      <c r="AF104" s="10">
        <v>24</v>
      </c>
      <c r="AG104" s="121"/>
    </row>
    <row r="105" spans="2:33" x14ac:dyDescent="0.25">
      <c r="B105" s="9">
        <v>25</v>
      </c>
      <c r="C105" s="72">
        <f>IF(IO.CONTROL!$C$14&gt;$B105,0,STAND.PARAMS!$K$166*IO.CONTROL!$F$19)</f>
        <v>-83884.455000000002</v>
      </c>
      <c r="D105" s="72">
        <f>IF(IO.CONTROL!$C$14&gt;$B105,0,STAND.PARAMS!$K$166*IO.CONTROL!$F$20)</f>
        <v>-128622.83099999999</v>
      </c>
      <c r="E105" s="72">
        <f>IF(IO.CONTROL!$C$14&gt;$B105,0,(VLOOKUP($B105-IO.CONTROL!$C$14,STAND.PARAMS!$K$209:$U$264,7)+VLOOKUP($B105-IO.CONTROL!$C$14,STAND.PARAMS!$K$209:$U$264,8)+VLOOKUP($B105-IO.CONTROL!$C$14,STAND.PARAMS!$K$209:$U$264,9)+VLOOKUP($B105-IO.CONTROL!$C$14,STAND.PARAMS!$K$209:$U$264,10)+VLOOKUP($B105-IO.CONTROL!$C$14,STAND.PARAMS!$K$209:$U$264,11))*IO.CONTROL!$F$21)</f>
        <v>-2884604.7045539999</v>
      </c>
      <c r="F105" s="72">
        <f>IF(IO.CONTROL!$C$14&gt;$B105,0,VLOOKUP($B105-IO.CONTROL!$C$14,STAND.PARAMS!$K$209:$U$264,6)*IO.CONTROL!$F$22)</f>
        <v>-3437864.5807500002</v>
      </c>
      <c r="G105" s="72">
        <f>IF(IO.CONTROL!$C$14&gt;$B105,0,(STAND.PARAMS!$C$19/IO.CONTROL!$C$10)*10*IO.CONTROL!$F$23)</f>
        <v>-209711.13749999998</v>
      </c>
      <c r="H105" s="72">
        <f>IF(IO.CONTROL!$C$14&gt;$B105,0,(STAND.PARAMS!$C$19-(STAND.PARAMS!$C$19/IO.CONTROL!$C$10)*10)*IO.CONTROL!$F$24)</f>
        <v>-310372.48350000003</v>
      </c>
      <c r="I105" s="72">
        <f>IF(IO.CONTROL!$C$14&gt;$B105,0,(VLOOKUP($B105-IO.CONTROL!$C$14,STAND.PARAMS!$K$209:$U$264,3)*IO.CONTROL!$F$26+VLOOKUP($B105-IO.CONTROL!$C$14,STAND.PARAMS!$K$209:$U$264,4)*IO.CONTROL!$F$27+VLOOKUP($B105-IO.CONTROL!$C$14,STAND.PARAMS!$K$209:$U$264,5)*IO.CONTROL!$F$28+VLOOKUP($B105-IO.CONTROL!$C$14,STAND.PARAMS!$K$209:$U$264,6)*IO.CONTROL!$F$29))</f>
        <v>-47160.637200000005</v>
      </c>
      <c r="J105" s="72">
        <f>IF(IO.CONTROL!$C$14&gt;$B105,0,(VLOOKUP($B105-IO.CONTROL!$C$14,STAND.PARAMS!$K$209:$U$264,3)*IO.CONTROL!$F$31+VLOOKUP($B105-IO.CONTROL!$C$14,STAND.PARAMS!$K$209:$U$264,4)*IO.CONTROL!$F$32+VLOOKUP($B105-IO.CONTROL!$C$14,STAND.PARAMS!$K$209:$U$264,5)*IO.CONTROL!$F$33+VLOOKUP($B105-IO.CONTROL!$C$14,STAND.PARAMS!$K$209:$U$264,6)*IO.CONTROL!$F$34))</f>
        <v>-631704.32459999993</v>
      </c>
      <c r="K105" s="72">
        <f>IF(IO.CONTROL!$C$14&gt;$B105,0,(VLOOKUP($B105-IO.CONTROL!$C$14,STAND.PARAMS!$K$209:$U$264,8)*IO.CONTROL!$F$36+VLOOKUP($B105-IO.CONTROL!$C$14,STAND.PARAMS!$K$209:$U$264,9)*IO.CONTROL!$F$37+VLOOKUP($B105-IO.CONTROL!$C$14,STAND.PARAMS!$K$209:$U$264,10)*IO.CONTROL!$F$38+VLOOKUP($B105-IO.CONTROL!$C$14,STAND.PARAMS!$K$209:$U$264,11)*IO.CONTROL!$F$39))</f>
        <v>-278911.35590999998</v>
      </c>
      <c r="L105" s="72">
        <f>IF(IO.CONTROL!$C$14&gt;$B105,0,(VLOOKUP($B105-IO.CONTROL!$C$14,STAND.PARAMS!$K$209:$U$264,2)*IO.CONTROL!$F$41+VLOOKUP($B105-IO.CONTROL!$C$14,STAND.PARAMS!$K$209:$U$264,3)*IO.CONTROL!$F$42+VLOOKUP($B105-IO.CONTROL!$C$14,STAND.PARAMS!$K$209:$U$264,4)*IO.CONTROL!$F$43+VLOOKUP($B105-IO.CONTROL!$C$14,STAND.PARAMS!$K$209:$U$264,5)*IO.CONTROL!$F$44+VLOOKUP($B105-IO.CONTROL!$C$14,STAND.PARAMS!$K$209:$U$264,6)*IO.CONTROL!$F$45))</f>
        <v>-1435526.5252500002</v>
      </c>
      <c r="M105" s="72">
        <f>IF(IO.CONTROL!$C$14&gt;$B105,0,((VLOOKUP($B105-IO.CONTROL!$C$14,STAND.PARAMS!$K$209:$U$264,7)*IO.CONTROL!$F$53*IO.CONTROL!$F$45+VLOOKUP($B105-IO.CONTROL!$C$14,STAND.PARAMS!$K$209:$U$264,8)*IO.CONTROL!$F$54*IO.CONTROL!$F$46+VLOOKUP($B105-IO.CONTROL!$C$14,STAND.PARAMS!$K$209:$U$264,9)*IO.CONTROL!$F$55*IO.CONTROL!$F$47+VLOOKUP($B105-IO.CONTROL!$C$14,STAND.PARAMS!$K$209:$U$264,10)*IO.CONTROL!$F$56*IO.CONTROL!$F$48+VLOOKUP($B105-IO.CONTROL!$C$14,STAND.PARAMS!$K$209:$U$264,11)*IO.CONTROL!$F$57*IO.CONTROL!$F$49)))</f>
        <v>-690768.54427499988</v>
      </c>
      <c r="N105" s="72">
        <f t="shared" si="0"/>
        <v>-10139131.579539001</v>
      </c>
      <c r="O105" s="73">
        <f>IF(IO.CONTROL!$C$14&gt;$B105,0,((VLOOKUP($B105-IO.CONTROL!$C$14,STAND.PARAMS!$K$209:$U$264,7)*IO.CONTROL!$F$53+VLOOKUP($B105-IO.CONTROL!$C$14,STAND.PARAMS!$K$209:$U$264,8)*IO.CONTROL!$F$54+VLOOKUP($B105-IO.CONTROL!$C$14,STAND.PARAMS!$K$209:$U$264,9)*IO.CONTROL!$F$55+VLOOKUP($B105-IO.CONTROL!$C$14,STAND.PARAMS!$K$209:$U$264,10)*IO.CONTROL!$F$56+VLOOKUP($B105-IO.CONTROL!$C$14,STAND.PARAMS!$K$209:$U$264,11)*IO.CONTROL!$F$57)))</f>
        <v>23025618.142499998</v>
      </c>
      <c r="P105" s="72">
        <f t="shared" si="4"/>
        <v>-10139131.579539001</v>
      </c>
      <c r="Q105" s="110">
        <f t="shared" si="5"/>
        <v>23025618.142499998</v>
      </c>
      <c r="R105" s="114"/>
      <c r="S105" s="72"/>
      <c r="T105" s="72"/>
      <c r="U105" s="72"/>
      <c r="V105" s="72"/>
      <c r="W105" s="72"/>
      <c r="X105" s="72"/>
      <c r="Y105" s="110"/>
      <c r="Z105" s="72">
        <f t="shared" si="1"/>
        <v>-10139131.579539001</v>
      </c>
      <c r="AA105" s="72">
        <f>Z105/(1+IO.CONTROL!$C$13)^AF105</f>
        <v>-1868126.6543198267</v>
      </c>
      <c r="AB105" s="72">
        <f t="shared" si="2"/>
        <v>23025618.142499998</v>
      </c>
      <c r="AC105" s="72">
        <f>AB105/(1+IO.CONTROL!$C$13)^AF105</f>
        <v>4242451.2046967829</v>
      </c>
      <c r="AD105" s="72">
        <f t="shared" si="3"/>
        <v>12886486.562960997</v>
      </c>
      <c r="AE105" s="72">
        <f>AD105/(1+IO.CONTROL!$C$13)^B105</f>
        <v>2374324.5503769559</v>
      </c>
      <c r="AF105" s="10">
        <v>25</v>
      </c>
      <c r="AG105" s="122" t="s">
        <v>204</v>
      </c>
    </row>
    <row r="106" spans="2:33" x14ac:dyDescent="0.25">
      <c r="B106" s="9">
        <v>26</v>
      </c>
      <c r="C106" s="72">
        <f>IF(IO.CONTROL!$C$14&gt;$B106,0,STAND.PARAMS!$K$166*IO.CONTROL!$F$19)</f>
        <v>-83884.455000000002</v>
      </c>
      <c r="D106" s="72">
        <f>IF(IO.CONTROL!$C$14&gt;$B106,0,STAND.PARAMS!$K$166*IO.CONTROL!$F$20)</f>
        <v>-128622.83099999999</v>
      </c>
      <c r="E106" s="72">
        <f>IF(IO.CONTROL!$C$14&gt;$B106,0,(VLOOKUP($B106-IO.CONTROL!$C$14,STAND.PARAMS!$K$209:$U$264,7)+VLOOKUP($B106-IO.CONTROL!$C$14,STAND.PARAMS!$K$209:$U$264,8)+VLOOKUP($B106-IO.CONTROL!$C$14,STAND.PARAMS!$K$209:$U$264,9)+VLOOKUP($B106-IO.CONTROL!$C$14,STAND.PARAMS!$K$209:$U$264,10)+VLOOKUP($B106-IO.CONTROL!$C$14,STAND.PARAMS!$K$209:$U$264,11))*IO.CONTROL!$F$21)</f>
        <v>-2884604.7045539999</v>
      </c>
      <c r="F106" s="72">
        <f>IF(IO.CONTROL!$C$14&gt;$B106,0,VLOOKUP($B106-IO.CONTROL!$C$14,STAND.PARAMS!$K$209:$U$264,6)*IO.CONTROL!$F$22)</f>
        <v>-3437864.5807500002</v>
      </c>
      <c r="G106" s="72">
        <f>IF(IO.CONTROL!$C$14&gt;$B106,0,(STAND.PARAMS!$C$19/IO.CONTROL!$C$10)*10*IO.CONTROL!$F$23)</f>
        <v>-209711.13749999998</v>
      </c>
      <c r="H106" s="72">
        <f>IF(IO.CONTROL!$C$14&gt;$B106,0,(STAND.PARAMS!$C$19-(STAND.PARAMS!$C$19/IO.CONTROL!$C$10)*10)*IO.CONTROL!$F$24)</f>
        <v>-310372.48350000003</v>
      </c>
      <c r="I106" s="72">
        <f>IF(IO.CONTROL!$C$14&gt;$B106,0,(VLOOKUP($B106-IO.CONTROL!$C$14,STAND.PARAMS!$K$209:$U$264,3)*IO.CONTROL!$F$26+VLOOKUP($B106-IO.CONTROL!$C$14,STAND.PARAMS!$K$209:$U$264,4)*IO.CONTROL!$F$27+VLOOKUP($B106-IO.CONTROL!$C$14,STAND.PARAMS!$K$209:$U$264,5)*IO.CONTROL!$F$28+VLOOKUP($B106-IO.CONTROL!$C$14,STAND.PARAMS!$K$209:$U$264,6)*IO.CONTROL!$F$29))</f>
        <v>-47160.637200000005</v>
      </c>
      <c r="J106" s="72">
        <f>IF(IO.CONTROL!$C$14&gt;$B106,0,(VLOOKUP($B106-IO.CONTROL!$C$14,STAND.PARAMS!$K$209:$U$264,3)*IO.CONTROL!$F$31+VLOOKUP($B106-IO.CONTROL!$C$14,STAND.PARAMS!$K$209:$U$264,4)*IO.CONTROL!$F$32+VLOOKUP($B106-IO.CONTROL!$C$14,STAND.PARAMS!$K$209:$U$264,5)*IO.CONTROL!$F$33+VLOOKUP($B106-IO.CONTROL!$C$14,STAND.PARAMS!$K$209:$U$264,6)*IO.CONTROL!$F$34))</f>
        <v>-631704.32459999993</v>
      </c>
      <c r="K106" s="72">
        <f>IF(IO.CONTROL!$C$14&gt;$B106,0,(VLOOKUP($B106-IO.CONTROL!$C$14,STAND.PARAMS!$K$209:$U$264,8)*IO.CONTROL!$F$36+VLOOKUP($B106-IO.CONTROL!$C$14,STAND.PARAMS!$K$209:$U$264,9)*IO.CONTROL!$F$37+VLOOKUP($B106-IO.CONTROL!$C$14,STAND.PARAMS!$K$209:$U$264,10)*IO.CONTROL!$F$38+VLOOKUP($B106-IO.CONTROL!$C$14,STAND.PARAMS!$K$209:$U$264,11)*IO.CONTROL!$F$39))</f>
        <v>-278911.35590999998</v>
      </c>
      <c r="L106" s="72">
        <f>IF(IO.CONTROL!$C$14&gt;$B106,0,(VLOOKUP($B106-IO.CONTROL!$C$14,STAND.PARAMS!$K$209:$U$264,2)*IO.CONTROL!$F$41+VLOOKUP($B106-IO.CONTROL!$C$14,STAND.PARAMS!$K$209:$U$264,3)*IO.CONTROL!$F$42+VLOOKUP($B106-IO.CONTROL!$C$14,STAND.PARAMS!$K$209:$U$264,4)*IO.CONTROL!$F$43+VLOOKUP($B106-IO.CONTROL!$C$14,STAND.PARAMS!$K$209:$U$264,5)*IO.CONTROL!$F$44+VLOOKUP($B106-IO.CONTROL!$C$14,STAND.PARAMS!$K$209:$U$264,6)*IO.CONTROL!$F$45))</f>
        <v>-1435526.5252500002</v>
      </c>
      <c r="M106" s="72">
        <f>IF(IO.CONTROL!$C$14&gt;$B106,0,((VLOOKUP($B106-IO.CONTROL!$C$14,STAND.PARAMS!$K$209:$U$264,7)*IO.CONTROL!$F$53*IO.CONTROL!$F$45+VLOOKUP($B106-IO.CONTROL!$C$14,STAND.PARAMS!$K$209:$U$264,8)*IO.CONTROL!$F$54*IO.CONTROL!$F$46+VLOOKUP($B106-IO.CONTROL!$C$14,STAND.PARAMS!$K$209:$U$264,9)*IO.CONTROL!$F$55*IO.CONTROL!$F$47+VLOOKUP($B106-IO.CONTROL!$C$14,STAND.PARAMS!$K$209:$U$264,10)*IO.CONTROL!$F$56*IO.CONTROL!$F$48+VLOOKUP($B106-IO.CONTROL!$C$14,STAND.PARAMS!$K$209:$U$264,11)*IO.CONTROL!$F$57*IO.CONTROL!$F$49)))</f>
        <v>-690768.54427499988</v>
      </c>
      <c r="N106" s="72">
        <f t="shared" si="0"/>
        <v>-10139131.579539001</v>
      </c>
      <c r="O106" s="73">
        <f>IF(IO.CONTROL!$C$14&gt;$B106,0,((VLOOKUP($B106-IO.CONTROL!$C$14,STAND.PARAMS!$K$209:$U$264,7)*IO.CONTROL!$F$53+VLOOKUP($B106-IO.CONTROL!$C$14,STAND.PARAMS!$K$209:$U$264,8)*IO.CONTROL!$F$54+VLOOKUP($B106-IO.CONTROL!$C$14,STAND.PARAMS!$K$209:$U$264,9)*IO.CONTROL!$F$55+VLOOKUP($B106-IO.CONTROL!$C$14,STAND.PARAMS!$K$209:$U$264,10)*IO.CONTROL!$F$56+VLOOKUP($B106-IO.CONTROL!$C$14,STAND.PARAMS!$K$209:$U$264,11)*IO.CONTROL!$F$57)))</f>
        <v>23025618.142499998</v>
      </c>
      <c r="P106" s="72">
        <f t="shared" si="4"/>
        <v>-10139131.579539001</v>
      </c>
      <c r="Q106" s="110">
        <f t="shared" si="5"/>
        <v>23025618.142499998</v>
      </c>
      <c r="R106" s="114"/>
      <c r="S106" s="72"/>
      <c r="T106" s="72"/>
      <c r="U106" s="72"/>
      <c r="V106" s="72"/>
      <c r="W106" s="72"/>
      <c r="X106" s="72"/>
      <c r="Y106" s="110"/>
      <c r="Z106" s="72">
        <f t="shared" si="1"/>
        <v>-10139131.579539001</v>
      </c>
      <c r="AA106" s="72">
        <f>Z106/(1+IO.CONTROL!$C$13)^AF106</f>
        <v>-1745912.7610465672</v>
      </c>
      <c r="AB106" s="72">
        <f t="shared" si="2"/>
        <v>23025618.142499998</v>
      </c>
      <c r="AC106" s="72">
        <f>AB106/(1+IO.CONTROL!$C$13)^AF106</f>
        <v>3964907.6679409184</v>
      </c>
      <c r="AD106" s="72">
        <f t="shared" si="3"/>
        <v>12886486.562960997</v>
      </c>
      <c r="AE106" s="72">
        <f>AD106/(1+IO.CONTROL!$C$13)^B106</f>
        <v>2218994.9068943514</v>
      </c>
      <c r="AF106" s="10">
        <v>26</v>
      </c>
      <c r="AG106" s="121"/>
    </row>
    <row r="107" spans="2:33" x14ac:dyDescent="0.25">
      <c r="B107" s="9">
        <v>27</v>
      </c>
      <c r="C107" s="72">
        <f>IF(IO.CONTROL!$C$14&gt;$B107,0,STAND.PARAMS!$K$166*IO.CONTROL!$F$19)</f>
        <v>-83884.455000000002</v>
      </c>
      <c r="D107" s="72">
        <f>IF(IO.CONTROL!$C$14&gt;$B107,0,STAND.PARAMS!$K$166*IO.CONTROL!$F$20)</f>
        <v>-128622.83099999999</v>
      </c>
      <c r="E107" s="72">
        <f>IF(IO.CONTROL!$C$14&gt;$B107,0,(VLOOKUP($B107-IO.CONTROL!$C$14,STAND.PARAMS!$K$209:$U$264,7)+VLOOKUP($B107-IO.CONTROL!$C$14,STAND.PARAMS!$K$209:$U$264,8)+VLOOKUP($B107-IO.CONTROL!$C$14,STAND.PARAMS!$K$209:$U$264,9)+VLOOKUP($B107-IO.CONTROL!$C$14,STAND.PARAMS!$K$209:$U$264,10)+VLOOKUP($B107-IO.CONTROL!$C$14,STAND.PARAMS!$K$209:$U$264,11))*IO.CONTROL!$F$21)</f>
        <v>-2884604.7045539999</v>
      </c>
      <c r="F107" s="72">
        <f>IF(IO.CONTROL!$C$14&gt;$B107,0,VLOOKUP($B107-IO.CONTROL!$C$14,STAND.PARAMS!$K$209:$U$264,6)*IO.CONTROL!$F$22)</f>
        <v>-3437864.5807500002</v>
      </c>
      <c r="G107" s="72">
        <f>IF(IO.CONTROL!$C$14&gt;$B107,0,(STAND.PARAMS!$C$19/IO.CONTROL!$C$10)*10*IO.CONTROL!$F$23)</f>
        <v>-209711.13749999998</v>
      </c>
      <c r="H107" s="72">
        <f>IF(IO.CONTROL!$C$14&gt;$B107,0,(STAND.PARAMS!$C$19-(STAND.PARAMS!$C$19/IO.CONTROL!$C$10)*10)*IO.CONTROL!$F$24)</f>
        <v>-310372.48350000003</v>
      </c>
      <c r="I107" s="72">
        <f>IF(IO.CONTROL!$C$14&gt;$B107,0,(VLOOKUP($B107-IO.CONTROL!$C$14,STAND.PARAMS!$K$209:$U$264,3)*IO.CONTROL!$F$26+VLOOKUP($B107-IO.CONTROL!$C$14,STAND.PARAMS!$K$209:$U$264,4)*IO.CONTROL!$F$27+VLOOKUP($B107-IO.CONTROL!$C$14,STAND.PARAMS!$K$209:$U$264,5)*IO.CONTROL!$F$28+VLOOKUP($B107-IO.CONTROL!$C$14,STAND.PARAMS!$K$209:$U$264,6)*IO.CONTROL!$F$29))</f>
        <v>-47160.637200000005</v>
      </c>
      <c r="J107" s="72">
        <f>IF(IO.CONTROL!$C$14&gt;$B107,0,(VLOOKUP($B107-IO.CONTROL!$C$14,STAND.PARAMS!$K$209:$U$264,3)*IO.CONTROL!$F$31+VLOOKUP($B107-IO.CONTROL!$C$14,STAND.PARAMS!$K$209:$U$264,4)*IO.CONTROL!$F$32+VLOOKUP($B107-IO.CONTROL!$C$14,STAND.PARAMS!$K$209:$U$264,5)*IO.CONTROL!$F$33+VLOOKUP($B107-IO.CONTROL!$C$14,STAND.PARAMS!$K$209:$U$264,6)*IO.CONTROL!$F$34))</f>
        <v>-631704.32459999993</v>
      </c>
      <c r="K107" s="72">
        <f>IF(IO.CONTROL!$C$14&gt;$B107,0,(VLOOKUP($B107-IO.CONTROL!$C$14,STAND.PARAMS!$K$209:$U$264,8)*IO.CONTROL!$F$36+VLOOKUP($B107-IO.CONTROL!$C$14,STAND.PARAMS!$K$209:$U$264,9)*IO.CONTROL!$F$37+VLOOKUP($B107-IO.CONTROL!$C$14,STAND.PARAMS!$K$209:$U$264,10)*IO.CONTROL!$F$38+VLOOKUP($B107-IO.CONTROL!$C$14,STAND.PARAMS!$K$209:$U$264,11)*IO.CONTROL!$F$39))</f>
        <v>-278911.35590999998</v>
      </c>
      <c r="L107" s="72">
        <f>IF(IO.CONTROL!$C$14&gt;$B107,0,(VLOOKUP($B107-IO.CONTROL!$C$14,STAND.PARAMS!$K$209:$U$264,2)*IO.CONTROL!$F$41+VLOOKUP($B107-IO.CONTROL!$C$14,STAND.PARAMS!$K$209:$U$264,3)*IO.CONTROL!$F$42+VLOOKUP($B107-IO.CONTROL!$C$14,STAND.PARAMS!$K$209:$U$264,4)*IO.CONTROL!$F$43+VLOOKUP($B107-IO.CONTROL!$C$14,STAND.PARAMS!$K$209:$U$264,5)*IO.CONTROL!$F$44+VLOOKUP($B107-IO.CONTROL!$C$14,STAND.PARAMS!$K$209:$U$264,6)*IO.CONTROL!$F$45))</f>
        <v>-1435526.5252500002</v>
      </c>
      <c r="M107" s="72">
        <f>IF(IO.CONTROL!$C$14&gt;$B107,0,((VLOOKUP($B107-IO.CONTROL!$C$14,STAND.PARAMS!$K$209:$U$264,7)*IO.CONTROL!$F$53*IO.CONTROL!$F$45+VLOOKUP($B107-IO.CONTROL!$C$14,STAND.PARAMS!$K$209:$U$264,8)*IO.CONTROL!$F$54*IO.CONTROL!$F$46+VLOOKUP($B107-IO.CONTROL!$C$14,STAND.PARAMS!$K$209:$U$264,9)*IO.CONTROL!$F$55*IO.CONTROL!$F$47+VLOOKUP($B107-IO.CONTROL!$C$14,STAND.PARAMS!$K$209:$U$264,10)*IO.CONTROL!$F$56*IO.CONTROL!$F$48+VLOOKUP($B107-IO.CONTROL!$C$14,STAND.PARAMS!$K$209:$U$264,11)*IO.CONTROL!$F$57*IO.CONTROL!$F$49)))</f>
        <v>-690768.54427499988</v>
      </c>
      <c r="N107" s="72">
        <f t="shared" si="0"/>
        <v>-10139131.579539001</v>
      </c>
      <c r="O107" s="73">
        <f>IF(IO.CONTROL!$C$14&gt;$B107,0,((VLOOKUP($B107-IO.CONTROL!$C$14,STAND.PARAMS!$K$209:$U$264,7)*IO.CONTROL!$F$53+VLOOKUP($B107-IO.CONTROL!$C$14,STAND.PARAMS!$K$209:$U$264,8)*IO.CONTROL!$F$54+VLOOKUP($B107-IO.CONTROL!$C$14,STAND.PARAMS!$K$209:$U$264,9)*IO.CONTROL!$F$55+VLOOKUP($B107-IO.CONTROL!$C$14,STAND.PARAMS!$K$209:$U$264,10)*IO.CONTROL!$F$56+VLOOKUP($B107-IO.CONTROL!$C$14,STAND.PARAMS!$K$209:$U$264,11)*IO.CONTROL!$F$57)))</f>
        <v>23025618.142499998</v>
      </c>
      <c r="P107" s="72">
        <f t="shared" si="4"/>
        <v>-10139131.579539001</v>
      </c>
      <c r="Q107" s="110">
        <f t="shared" si="5"/>
        <v>23025618.142499998</v>
      </c>
      <c r="R107" s="114"/>
      <c r="S107" s="72"/>
      <c r="T107" s="72"/>
      <c r="U107" s="72"/>
      <c r="V107" s="72"/>
      <c r="W107" s="72"/>
      <c r="X107" s="72"/>
      <c r="Y107" s="110"/>
      <c r="Z107" s="72">
        <f t="shared" si="1"/>
        <v>-10139131.579539001</v>
      </c>
      <c r="AA107" s="72">
        <f>Z107/(1+IO.CONTROL!$C$13)^AF107</f>
        <v>-1631694.169202399</v>
      </c>
      <c r="AB107" s="72">
        <f t="shared" si="2"/>
        <v>23025618.142499998</v>
      </c>
      <c r="AC107" s="72">
        <f>AB107/(1+IO.CONTROL!$C$13)^AF107</f>
        <v>3705521.184991512</v>
      </c>
      <c r="AD107" s="72">
        <f t="shared" si="3"/>
        <v>12886486.562960997</v>
      </c>
      <c r="AE107" s="72">
        <f>AD107/(1+IO.CONTROL!$C$13)^B107</f>
        <v>2073827.015789113</v>
      </c>
      <c r="AF107" s="10">
        <v>27</v>
      </c>
      <c r="AG107" s="121"/>
    </row>
    <row r="108" spans="2:33" x14ac:dyDescent="0.25">
      <c r="B108" s="9">
        <v>28</v>
      </c>
      <c r="C108" s="72">
        <f>IF(IO.CONTROL!$C$14&gt;$B108,0,STAND.PARAMS!$K$166*IO.CONTROL!$F$19)</f>
        <v>-83884.455000000002</v>
      </c>
      <c r="D108" s="72">
        <f>IF(IO.CONTROL!$C$14&gt;$B108,0,STAND.PARAMS!$K$166*IO.CONTROL!$F$20)</f>
        <v>-128622.83099999999</v>
      </c>
      <c r="E108" s="72">
        <f>IF(IO.CONTROL!$C$14&gt;$B108,0,(VLOOKUP($B108-IO.CONTROL!$C$14,STAND.PARAMS!$K$209:$U$264,7)+VLOOKUP($B108-IO.CONTROL!$C$14,STAND.PARAMS!$K$209:$U$264,8)+VLOOKUP($B108-IO.CONTROL!$C$14,STAND.PARAMS!$K$209:$U$264,9)+VLOOKUP($B108-IO.CONTROL!$C$14,STAND.PARAMS!$K$209:$U$264,10)+VLOOKUP($B108-IO.CONTROL!$C$14,STAND.PARAMS!$K$209:$U$264,11))*IO.CONTROL!$F$21)</f>
        <v>-3419092.2180389999</v>
      </c>
      <c r="F108" s="72">
        <f>IF(IO.CONTROL!$C$14&gt;$B108,0,VLOOKUP($B108-IO.CONTROL!$C$14,STAND.PARAMS!$K$209:$U$264,6)*IO.CONTROL!$F$22)</f>
        <v>-3437864.5807500002</v>
      </c>
      <c r="G108" s="72">
        <f>IF(IO.CONTROL!$C$14&gt;$B108,0,(STAND.PARAMS!$C$19/IO.CONTROL!$C$10)*10*IO.CONTROL!$F$23)</f>
        <v>-209711.13749999998</v>
      </c>
      <c r="H108" s="72">
        <f>IF(IO.CONTROL!$C$14&gt;$B108,0,(STAND.PARAMS!$C$19-(STAND.PARAMS!$C$19/IO.CONTROL!$C$10)*10)*IO.CONTROL!$F$24)</f>
        <v>-310372.48350000003</v>
      </c>
      <c r="I108" s="72">
        <f>IF(IO.CONTROL!$C$14&gt;$B108,0,(VLOOKUP($B108-IO.CONTROL!$C$14,STAND.PARAMS!$K$209:$U$264,3)*IO.CONTROL!$F$26+VLOOKUP($B108-IO.CONTROL!$C$14,STAND.PARAMS!$K$209:$U$264,4)*IO.CONTROL!$F$27+VLOOKUP($B108-IO.CONTROL!$C$14,STAND.PARAMS!$K$209:$U$264,5)*IO.CONTROL!$F$28+VLOOKUP($B108-IO.CONTROL!$C$14,STAND.PARAMS!$K$209:$U$264,6)*IO.CONTROL!$F$29))</f>
        <v>-27772.015950000001</v>
      </c>
      <c r="J108" s="72">
        <f>IF(IO.CONTROL!$C$14&gt;$B108,0,(VLOOKUP($B108-IO.CONTROL!$C$14,STAND.PARAMS!$K$209:$U$264,3)*IO.CONTROL!$F$31+VLOOKUP($B108-IO.CONTROL!$C$14,STAND.PARAMS!$K$209:$U$264,4)*IO.CONTROL!$F$32+VLOOKUP($B108-IO.CONTROL!$C$14,STAND.PARAMS!$K$209:$U$264,5)*IO.CONTROL!$F$33+VLOOKUP($B108-IO.CONTROL!$C$14,STAND.PARAMS!$K$209:$U$264,6)*IO.CONTROL!$F$34))</f>
        <v>-371998.84522499994</v>
      </c>
      <c r="K108" s="72">
        <f>IF(IO.CONTROL!$C$14&gt;$B108,0,(VLOOKUP($B108-IO.CONTROL!$C$14,STAND.PARAMS!$K$209:$U$264,8)*IO.CONTROL!$F$36+VLOOKUP($B108-IO.CONTROL!$C$14,STAND.PARAMS!$K$209:$U$264,9)*IO.CONTROL!$F$37+VLOOKUP($B108-IO.CONTROL!$C$14,STAND.PARAMS!$K$209:$U$264,10)*IO.CONTROL!$F$38+VLOOKUP($B108-IO.CONTROL!$C$14,STAND.PARAMS!$K$209:$U$264,11)*IO.CONTROL!$F$39))</f>
        <v>-335771.72968499997</v>
      </c>
      <c r="L108" s="72">
        <f>IF(IO.CONTROL!$C$14&gt;$B108,0,(VLOOKUP($B108-IO.CONTROL!$C$14,STAND.PARAMS!$K$209:$U$264,2)*IO.CONTROL!$F$41+VLOOKUP($B108-IO.CONTROL!$C$14,STAND.PARAMS!$K$209:$U$264,3)*IO.CONTROL!$F$42+VLOOKUP($B108-IO.CONTROL!$C$14,STAND.PARAMS!$K$209:$U$264,4)*IO.CONTROL!$F$43+VLOOKUP($B108-IO.CONTROL!$C$14,STAND.PARAMS!$K$209:$U$264,5)*IO.CONTROL!$F$44+VLOOKUP($B108-IO.CONTROL!$C$14,STAND.PARAMS!$K$209:$U$264,6)*IO.CONTROL!$F$45))</f>
        <v>-845364.10649999999</v>
      </c>
      <c r="M108" s="72">
        <f>IF(IO.CONTROL!$C$14&gt;$B108,0,((VLOOKUP($B108-IO.CONTROL!$C$14,STAND.PARAMS!$K$209:$U$264,7)*IO.CONTROL!$F$53*IO.CONTROL!$F$45+VLOOKUP($B108-IO.CONTROL!$C$14,STAND.PARAMS!$K$209:$U$264,8)*IO.CONTROL!$F$54*IO.CONTROL!$F$46+VLOOKUP($B108-IO.CONTROL!$C$14,STAND.PARAMS!$K$209:$U$264,9)*IO.CONTROL!$F$55*IO.CONTROL!$F$47+VLOOKUP($B108-IO.CONTROL!$C$14,STAND.PARAMS!$K$209:$U$264,10)*IO.CONTROL!$F$56*IO.CONTROL!$F$48+VLOOKUP($B108-IO.CONTROL!$C$14,STAND.PARAMS!$K$209:$U$264,11)*IO.CONTROL!$F$57*IO.CONTROL!$F$49)))</f>
        <v>-1096202.6887124998</v>
      </c>
      <c r="N108" s="72">
        <f t="shared" si="0"/>
        <v>-10266657.091861501</v>
      </c>
      <c r="O108" s="73">
        <f>IF(IO.CONTROL!$C$14&gt;$B108,0,((VLOOKUP($B108-IO.CONTROL!$C$14,STAND.PARAMS!$K$209:$U$264,7)*IO.CONTROL!$F$53+VLOOKUP($B108-IO.CONTROL!$C$14,STAND.PARAMS!$K$209:$U$264,8)*IO.CONTROL!$F$54+VLOOKUP($B108-IO.CONTROL!$C$14,STAND.PARAMS!$K$209:$U$264,9)*IO.CONTROL!$F$55+VLOOKUP($B108-IO.CONTROL!$C$14,STAND.PARAMS!$K$209:$U$264,10)*IO.CONTROL!$F$56+VLOOKUP($B108-IO.CONTROL!$C$14,STAND.PARAMS!$K$209:$U$264,11)*IO.CONTROL!$F$57)))</f>
        <v>36540089.623749994</v>
      </c>
      <c r="P108" s="72">
        <f t="shared" si="4"/>
        <v>-10266657.091861501</v>
      </c>
      <c r="Q108" s="110">
        <f t="shared" si="5"/>
        <v>36540089.623749994</v>
      </c>
      <c r="R108" s="114"/>
      <c r="S108" s="72"/>
      <c r="T108" s="72"/>
      <c r="U108" s="72"/>
      <c r="V108" s="72"/>
      <c r="W108" s="72"/>
      <c r="X108" s="72"/>
      <c r="Y108" s="110"/>
      <c r="Z108" s="72">
        <f t="shared" si="1"/>
        <v>-10266657.091861501</v>
      </c>
      <c r="AA108" s="72">
        <f>Z108/(1+IO.CONTROL!$C$13)^AF108</f>
        <v>-1544127.9408790956</v>
      </c>
      <c r="AB108" s="72">
        <f t="shared" si="2"/>
        <v>36540089.623749994</v>
      </c>
      <c r="AC108" s="72">
        <f>AB108/(1+IO.CONTROL!$C$13)^AF108</f>
        <v>5495710.3218130767</v>
      </c>
      <c r="AD108" s="72">
        <f t="shared" si="3"/>
        <v>26273432.531888492</v>
      </c>
      <c r="AE108" s="72">
        <f>AD108/(1+IO.CONTROL!$C$13)^B108</f>
        <v>3951582.3809339814</v>
      </c>
      <c r="AF108" s="10">
        <v>28</v>
      </c>
      <c r="AG108" s="121"/>
    </row>
    <row r="109" spans="2:33" x14ac:dyDescent="0.25">
      <c r="B109" s="9">
        <v>29</v>
      </c>
      <c r="C109" s="72">
        <f>IF(IO.CONTROL!$C$14&gt;$B109,0,STAND.PARAMS!$K$166*IO.CONTROL!$F$19)</f>
        <v>-83884.455000000002</v>
      </c>
      <c r="D109" s="72">
        <f>IF(IO.CONTROL!$C$14&gt;$B109,0,STAND.PARAMS!$K$166*IO.CONTROL!$F$20)</f>
        <v>-128622.83099999999</v>
      </c>
      <c r="E109" s="72">
        <f>IF(IO.CONTROL!$C$14&gt;$B109,0,(VLOOKUP($B109-IO.CONTROL!$C$14,STAND.PARAMS!$K$209:$U$264,7)+VLOOKUP($B109-IO.CONTROL!$C$14,STAND.PARAMS!$K$209:$U$264,8)+VLOOKUP($B109-IO.CONTROL!$C$14,STAND.PARAMS!$K$209:$U$264,9)+VLOOKUP($B109-IO.CONTROL!$C$14,STAND.PARAMS!$K$209:$U$264,10)+VLOOKUP($B109-IO.CONTROL!$C$14,STAND.PARAMS!$K$209:$U$264,11))*IO.CONTROL!$F$21)</f>
        <v>-3419092.2180389999</v>
      </c>
      <c r="F109" s="72">
        <f>IF(IO.CONTROL!$C$14&gt;$B109,0,VLOOKUP($B109-IO.CONTROL!$C$14,STAND.PARAMS!$K$209:$U$264,6)*IO.CONTROL!$F$22)</f>
        <v>-3437864.5807500002</v>
      </c>
      <c r="G109" s="72">
        <f>IF(IO.CONTROL!$C$14&gt;$B109,0,(STAND.PARAMS!$C$19/IO.CONTROL!$C$10)*10*IO.CONTROL!$F$23)</f>
        <v>-209711.13749999998</v>
      </c>
      <c r="H109" s="72">
        <f>IF(IO.CONTROL!$C$14&gt;$B109,0,(STAND.PARAMS!$C$19-(STAND.PARAMS!$C$19/IO.CONTROL!$C$10)*10)*IO.CONTROL!$F$24)</f>
        <v>-310372.48350000003</v>
      </c>
      <c r="I109" s="72">
        <f>IF(IO.CONTROL!$C$14&gt;$B109,0,(VLOOKUP($B109-IO.CONTROL!$C$14,STAND.PARAMS!$K$209:$U$264,3)*IO.CONTROL!$F$26+VLOOKUP($B109-IO.CONTROL!$C$14,STAND.PARAMS!$K$209:$U$264,4)*IO.CONTROL!$F$27+VLOOKUP($B109-IO.CONTROL!$C$14,STAND.PARAMS!$K$209:$U$264,5)*IO.CONTROL!$F$28+VLOOKUP($B109-IO.CONTROL!$C$14,STAND.PARAMS!$K$209:$U$264,6)*IO.CONTROL!$F$29))</f>
        <v>-27772.015950000001</v>
      </c>
      <c r="J109" s="72">
        <f>IF(IO.CONTROL!$C$14&gt;$B109,0,(VLOOKUP($B109-IO.CONTROL!$C$14,STAND.PARAMS!$K$209:$U$264,3)*IO.CONTROL!$F$31+VLOOKUP($B109-IO.CONTROL!$C$14,STAND.PARAMS!$K$209:$U$264,4)*IO.CONTROL!$F$32+VLOOKUP($B109-IO.CONTROL!$C$14,STAND.PARAMS!$K$209:$U$264,5)*IO.CONTROL!$F$33+VLOOKUP($B109-IO.CONTROL!$C$14,STAND.PARAMS!$K$209:$U$264,6)*IO.CONTROL!$F$34))</f>
        <v>-371998.84522499994</v>
      </c>
      <c r="K109" s="72">
        <f>IF(IO.CONTROL!$C$14&gt;$B109,0,(VLOOKUP($B109-IO.CONTROL!$C$14,STAND.PARAMS!$K$209:$U$264,8)*IO.CONTROL!$F$36+VLOOKUP($B109-IO.CONTROL!$C$14,STAND.PARAMS!$K$209:$U$264,9)*IO.CONTROL!$F$37+VLOOKUP($B109-IO.CONTROL!$C$14,STAND.PARAMS!$K$209:$U$264,10)*IO.CONTROL!$F$38+VLOOKUP($B109-IO.CONTROL!$C$14,STAND.PARAMS!$K$209:$U$264,11)*IO.CONTROL!$F$39))</f>
        <v>-335771.72968499997</v>
      </c>
      <c r="L109" s="72">
        <f>IF(IO.CONTROL!$C$14&gt;$B109,0,(VLOOKUP($B109-IO.CONTROL!$C$14,STAND.PARAMS!$K$209:$U$264,2)*IO.CONTROL!$F$41+VLOOKUP($B109-IO.CONTROL!$C$14,STAND.PARAMS!$K$209:$U$264,3)*IO.CONTROL!$F$42+VLOOKUP($B109-IO.CONTROL!$C$14,STAND.PARAMS!$K$209:$U$264,4)*IO.CONTROL!$F$43+VLOOKUP($B109-IO.CONTROL!$C$14,STAND.PARAMS!$K$209:$U$264,5)*IO.CONTROL!$F$44+VLOOKUP($B109-IO.CONTROL!$C$14,STAND.PARAMS!$K$209:$U$264,6)*IO.CONTROL!$F$45))</f>
        <v>-845364.10649999999</v>
      </c>
      <c r="M109" s="72">
        <f>IF(IO.CONTROL!$C$14&gt;$B109,0,((VLOOKUP($B109-IO.CONTROL!$C$14,STAND.PARAMS!$K$209:$U$264,7)*IO.CONTROL!$F$53*IO.CONTROL!$F$45+VLOOKUP($B109-IO.CONTROL!$C$14,STAND.PARAMS!$K$209:$U$264,8)*IO.CONTROL!$F$54*IO.CONTROL!$F$46+VLOOKUP($B109-IO.CONTROL!$C$14,STAND.PARAMS!$K$209:$U$264,9)*IO.CONTROL!$F$55*IO.CONTROL!$F$47+VLOOKUP($B109-IO.CONTROL!$C$14,STAND.PARAMS!$K$209:$U$264,10)*IO.CONTROL!$F$56*IO.CONTROL!$F$48+VLOOKUP($B109-IO.CONTROL!$C$14,STAND.PARAMS!$K$209:$U$264,11)*IO.CONTROL!$F$57*IO.CONTROL!$F$49)))</f>
        <v>-1096202.6887124998</v>
      </c>
      <c r="N109" s="72">
        <f t="shared" si="0"/>
        <v>-10266657.091861501</v>
      </c>
      <c r="O109" s="73">
        <f>IF(IO.CONTROL!$C$14&gt;$B109,0,((VLOOKUP($B109-IO.CONTROL!$C$14,STAND.PARAMS!$K$209:$U$264,7)*IO.CONTROL!$F$53+VLOOKUP($B109-IO.CONTROL!$C$14,STAND.PARAMS!$K$209:$U$264,8)*IO.CONTROL!$F$54+VLOOKUP($B109-IO.CONTROL!$C$14,STAND.PARAMS!$K$209:$U$264,9)*IO.CONTROL!$F$55+VLOOKUP($B109-IO.CONTROL!$C$14,STAND.PARAMS!$K$209:$U$264,10)*IO.CONTROL!$F$56+VLOOKUP($B109-IO.CONTROL!$C$14,STAND.PARAMS!$K$209:$U$264,11)*IO.CONTROL!$F$57)))</f>
        <v>36540089.623749994</v>
      </c>
      <c r="P109" s="72">
        <f t="shared" si="4"/>
        <v>-10266657.091861501</v>
      </c>
      <c r="Q109" s="110">
        <f t="shared" si="5"/>
        <v>36540089.623749994</v>
      </c>
      <c r="R109" s="114"/>
      <c r="S109" s="72"/>
      <c r="T109" s="72"/>
      <c r="U109" s="72"/>
      <c r="V109" s="72"/>
      <c r="W109" s="72"/>
      <c r="X109" s="72"/>
      <c r="Y109" s="110"/>
      <c r="Z109" s="72">
        <f t="shared" si="1"/>
        <v>-10266657.091861501</v>
      </c>
      <c r="AA109" s="72">
        <f>Z109/(1+IO.CONTROL!$C$13)^AF109</f>
        <v>-1443110.2251206499</v>
      </c>
      <c r="AB109" s="72">
        <f t="shared" si="2"/>
        <v>36540089.623749994</v>
      </c>
      <c r="AC109" s="72">
        <f>AB109/(1+IO.CONTROL!$C$13)^AF109</f>
        <v>5136177.870853343</v>
      </c>
      <c r="AD109" s="72">
        <f t="shared" si="3"/>
        <v>26273432.531888492</v>
      </c>
      <c r="AE109" s="72">
        <f>AD109/(1+IO.CONTROL!$C$13)^B109</f>
        <v>3693067.6457326929</v>
      </c>
      <c r="AF109" s="10">
        <v>29</v>
      </c>
      <c r="AG109" s="121"/>
    </row>
    <row r="110" spans="2:33" x14ac:dyDescent="0.25">
      <c r="B110" s="9">
        <v>30</v>
      </c>
      <c r="C110" s="72">
        <f>IF(IO.CONTROL!$C$14&gt;$B110,0,STAND.PARAMS!$K$166*IO.CONTROL!$F$19)</f>
        <v>-83884.455000000002</v>
      </c>
      <c r="D110" s="72">
        <f>IF(IO.CONTROL!$C$14&gt;$B110,0,STAND.PARAMS!$K$166*IO.CONTROL!$F$20)</f>
        <v>-128622.83099999999</v>
      </c>
      <c r="E110" s="72">
        <f>IF(IO.CONTROL!$C$14&gt;$B110,0,(VLOOKUP($B110-IO.CONTROL!$C$14,STAND.PARAMS!$K$209:$U$264,7)+VLOOKUP($B110-IO.CONTROL!$C$14,STAND.PARAMS!$K$209:$U$264,8)+VLOOKUP($B110-IO.CONTROL!$C$14,STAND.PARAMS!$K$209:$U$264,9)+VLOOKUP($B110-IO.CONTROL!$C$14,STAND.PARAMS!$K$209:$U$264,10)+VLOOKUP($B110-IO.CONTROL!$C$14,STAND.PARAMS!$K$209:$U$264,11))*IO.CONTROL!$F$21)</f>
        <v>-3419092.2180389999</v>
      </c>
      <c r="F110" s="72">
        <f>IF(IO.CONTROL!$C$14&gt;$B110,0,VLOOKUP($B110-IO.CONTROL!$C$14,STAND.PARAMS!$K$209:$U$264,6)*IO.CONTROL!$F$22)</f>
        <v>-3437864.5807500002</v>
      </c>
      <c r="G110" s="72">
        <f>IF(IO.CONTROL!$C$14&gt;$B110,0,(STAND.PARAMS!$C$19/IO.CONTROL!$C$10)*10*IO.CONTROL!$F$23)</f>
        <v>-209711.13749999998</v>
      </c>
      <c r="H110" s="72">
        <f>IF(IO.CONTROL!$C$14&gt;$B110,0,(STAND.PARAMS!$C$19-(STAND.PARAMS!$C$19/IO.CONTROL!$C$10)*10)*IO.CONTROL!$F$24)</f>
        <v>-310372.48350000003</v>
      </c>
      <c r="I110" s="72">
        <f>IF(IO.CONTROL!$C$14&gt;$B110,0,(VLOOKUP($B110-IO.CONTROL!$C$14,STAND.PARAMS!$K$209:$U$264,3)*IO.CONTROL!$F$26+VLOOKUP($B110-IO.CONTROL!$C$14,STAND.PARAMS!$K$209:$U$264,4)*IO.CONTROL!$F$27+VLOOKUP($B110-IO.CONTROL!$C$14,STAND.PARAMS!$K$209:$U$264,5)*IO.CONTROL!$F$28+VLOOKUP($B110-IO.CONTROL!$C$14,STAND.PARAMS!$K$209:$U$264,6)*IO.CONTROL!$F$29))</f>
        <v>-27772.015950000001</v>
      </c>
      <c r="J110" s="72">
        <f>IF(IO.CONTROL!$C$14&gt;$B110,0,(VLOOKUP($B110-IO.CONTROL!$C$14,STAND.PARAMS!$K$209:$U$264,3)*IO.CONTROL!$F$31+VLOOKUP($B110-IO.CONTROL!$C$14,STAND.PARAMS!$K$209:$U$264,4)*IO.CONTROL!$F$32+VLOOKUP($B110-IO.CONTROL!$C$14,STAND.PARAMS!$K$209:$U$264,5)*IO.CONTROL!$F$33+VLOOKUP($B110-IO.CONTROL!$C$14,STAND.PARAMS!$K$209:$U$264,6)*IO.CONTROL!$F$34))</f>
        <v>-371998.84522499994</v>
      </c>
      <c r="K110" s="72">
        <f>IF(IO.CONTROL!$C$14&gt;$B110,0,(VLOOKUP($B110-IO.CONTROL!$C$14,STAND.PARAMS!$K$209:$U$264,8)*IO.CONTROL!$F$36+VLOOKUP($B110-IO.CONTROL!$C$14,STAND.PARAMS!$K$209:$U$264,9)*IO.CONTROL!$F$37+VLOOKUP($B110-IO.CONTROL!$C$14,STAND.PARAMS!$K$209:$U$264,10)*IO.CONTROL!$F$38+VLOOKUP($B110-IO.CONTROL!$C$14,STAND.PARAMS!$K$209:$U$264,11)*IO.CONTROL!$F$39))</f>
        <v>-335771.72968499997</v>
      </c>
      <c r="L110" s="72">
        <f>IF(IO.CONTROL!$C$14&gt;$B110,0,(VLOOKUP($B110-IO.CONTROL!$C$14,STAND.PARAMS!$K$209:$U$264,2)*IO.CONTROL!$F$41+VLOOKUP($B110-IO.CONTROL!$C$14,STAND.PARAMS!$K$209:$U$264,3)*IO.CONTROL!$F$42+VLOOKUP($B110-IO.CONTROL!$C$14,STAND.PARAMS!$K$209:$U$264,4)*IO.CONTROL!$F$43+VLOOKUP($B110-IO.CONTROL!$C$14,STAND.PARAMS!$K$209:$U$264,5)*IO.CONTROL!$F$44+VLOOKUP($B110-IO.CONTROL!$C$14,STAND.PARAMS!$K$209:$U$264,6)*IO.CONTROL!$F$45))</f>
        <v>-845364.10649999999</v>
      </c>
      <c r="M110" s="72">
        <f>IF(IO.CONTROL!$C$14&gt;$B110,0,((VLOOKUP($B110-IO.CONTROL!$C$14,STAND.PARAMS!$K$209:$U$264,7)*IO.CONTROL!$F$53*IO.CONTROL!$F$45+VLOOKUP($B110-IO.CONTROL!$C$14,STAND.PARAMS!$K$209:$U$264,8)*IO.CONTROL!$F$54*IO.CONTROL!$F$46+VLOOKUP($B110-IO.CONTROL!$C$14,STAND.PARAMS!$K$209:$U$264,9)*IO.CONTROL!$F$55*IO.CONTROL!$F$47+VLOOKUP($B110-IO.CONTROL!$C$14,STAND.PARAMS!$K$209:$U$264,10)*IO.CONTROL!$F$56*IO.CONTROL!$F$48+VLOOKUP($B110-IO.CONTROL!$C$14,STAND.PARAMS!$K$209:$U$264,11)*IO.CONTROL!$F$57*IO.CONTROL!$F$49)))</f>
        <v>-1096202.6887124998</v>
      </c>
      <c r="N110" s="72">
        <f t="shared" si="0"/>
        <v>-10266657.091861501</v>
      </c>
      <c r="O110" s="73">
        <f>IF(IO.CONTROL!$C$14&gt;$B110,0,((VLOOKUP($B110-IO.CONTROL!$C$14,STAND.PARAMS!$K$209:$U$264,7)*IO.CONTROL!$F$53+VLOOKUP($B110-IO.CONTROL!$C$14,STAND.PARAMS!$K$209:$U$264,8)*IO.CONTROL!$F$54+VLOOKUP($B110-IO.CONTROL!$C$14,STAND.PARAMS!$K$209:$U$264,9)*IO.CONTROL!$F$55+VLOOKUP($B110-IO.CONTROL!$C$14,STAND.PARAMS!$K$209:$U$264,10)*IO.CONTROL!$F$56+VLOOKUP($B110-IO.CONTROL!$C$14,STAND.PARAMS!$K$209:$U$264,11)*IO.CONTROL!$F$57)))</f>
        <v>36540089.623749994</v>
      </c>
      <c r="P110" s="72">
        <f t="shared" si="4"/>
        <v>-10266657.091861501</v>
      </c>
      <c r="Q110" s="110">
        <f t="shared" si="5"/>
        <v>36540089.623749994</v>
      </c>
      <c r="R110" s="114"/>
      <c r="S110" s="72"/>
      <c r="T110" s="72"/>
      <c r="U110" s="72"/>
      <c r="V110" s="72"/>
      <c r="W110" s="72"/>
      <c r="X110" s="72"/>
      <c r="Y110" s="110"/>
      <c r="Z110" s="72">
        <f t="shared" si="1"/>
        <v>-10266657.091861501</v>
      </c>
      <c r="AA110" s="72">
        <f>Z110/(1+IO.CONTROL!$C$13)^AF110</f>
        <v>-1348701.1449725702</v>
      </c>
      <c r="AB110" s="72">
        <f t="shared" si="2"/>
        <v>36540089.623749994</v>
      </c>
      <c r="AC110" s="72">
        <f>AB110/(1+IO.CONTROL!$C$13)^AF110</f>
        <v>4800166.2344423765</v>
      </c>
      <c r="AD110" s="72">
        <f t="shared" si="3"/>
        <v>26273432.531888492</v>
      </c>
      <c r="AE110" s="72">
        <f>AD110/(1+IO.CONTROL!$C$13)^B110</f>
        <v>3451465.0894698068</v>
      </c>
      <c r="AF110" s="10">
        <v>30</v>
      </c>
      <c r="AG110" s="121"/>
    </row>
    <row r="111" spans="2:33" x14ac:dyDescent="0.25">
      <c r="B111" s="9">
        <v>31</v>
      </c>
      <c r="C111" s="72">
        <f>IF(IO.CONTROL!$C$14&gt;$B111,0,STAND.PARAMS!$K$166*IO.CONTROL!$F$19)</f>
        <v>-83884.455000000002</v>
      </c>
      <c r="D111" s="72">
        <f>IF(IO.CONTROL!$C$14&gt;$B111,0,STAND.PARAMS!$K$166*IO.CONTROL!$F$20)</f>
        <v>-128622.83099999999</v>
      </c>
      <c r="E111" s="72">
        <f>IF(IO.CONTROL!$C$14&gt;$B111,0,(VLOOKUP($B111-IO.CONTROL!$C$14,STAND.PARAMS!$K$209:$U$264,7)+VLOOKUP($B111-IO.CONTROL!$C$14,STAND.PARAMS!$K$209:$U$264,8)+VLOOKUP($B111-IO.CONTROL!$C$14,STAND.PARAMS!$K$209:$U$264,9)+VLOOKUP($B111-IO.CONTROL!$C$14,STAND.PARAMS!$K$209:$U$264,10)+VLOOKUP($B111-IO.CONTROL!$C$14,STAND.PARAMS!$K$209:$U$264,11))*IO.CONTROL!$F$21)</f>
        <v>-3419092.2180389999</v>
      </c>
      <c r="F111" s="72">
        <f>IF(IO.CONTROL!$C$14&gt;$B111,0,VLOOKUP($B111-IO.CONTROL!$C$14,STAND.PARAMS!$K$209:$U$264,6)*IO.CONTROL!$F$22)</f>
        <v>-3437864.5807500002</v>
      </c>
      <c r="G111" s="72">
        <f>IF(IO.CONTROL!$C$14&gt;$B111,0,(STAND.PARAMS!$C$19/IO.CONTROL!$C$10)*10*IO.CONTROL!$F$23)</f>
        <v>-209711.13749999998</v>
      </c>
      <c r="H111" s="72">
        <f>IF(IO.CONTROL!$C$14&gt;$B111,0,(STAND.PARAMS!$C$19-(STAND.PARAMS!$C$19/IO.CONTROL!$C$10)*10)*IO.CONTROL!$F$24)</f>
        <v>-310372.48350000003</v>
      </c>
      <c r="I111" s="72">
        <f>IF(IO.CONTROL!$C$14&gt;$B111,0,(VLOOKUP($B111-IO.CONTROL!$C$14,STAND.PARAMS!$K$209:$U$264,3)*IO.CONTROL!$F$26+VLOOKUP($B111-IO.CONTROL!$C$14,STAND.PARAMS!$K$209:$U$264,4)*IO.CONTROL!$F$27+VLOOKUP($B111-IO.CONTROL!$C$14,STAND.PARAMS!$K$209:$U$264,5)*IO.CONTROL!$F$28+VLOOKUP($B111-IO.CONTROL!$C$14,STAND.PARAMS!$K$209:$U$264,6)*IO.CONTROL!$F$29))</f>
        <v>-27772.015950000001</v>
      </c>
      <c r="J111" s="72">
        <f>IF(IO.CONTROL!$C$14&gt;$B111,0,(VLOOKUP($B111-IO.CONTROL!$C$14,STAND.PARAMS!$K$209:$U$264,3)*IO.CONTROL!$F$31+VLOOKUP($B111-IO.CONTROL!$C$14,STAND.PARAMS!$K$209:$U$264,4)*IO.CONTROL!$F$32+VLOOKUP($B111-IO.CONTROL!$C$14,STAND.PARAMS!$K$209:$U$264,5)*IO.CONTROL!$F$33+VLOOKUP($B111-IO.CONTROL!$C$14,STAND.PARAMS!$K$209:$U$264,6)*IO.CONTROL!$F$34))</f>
        <v>-371998.84522499994</v>
      </c>
      <c r="K111" s="72">
        <f>IF(IO.CONTROL!$C$14&gt;$B111,0,(VLOOKUP($B111-IO.CONTROL!$C$14,STAND.PARAMS!$K$209:$U$264,8)*IO.CONTROL!$F$36+VLOOKUP($B111-IO.CONTROL!$C$14,STAND.PARAMS!$K$209:$U$264,9)*IO.CONTROL!$F$37+VLOOKUP($B111-IO.CONTROL!$C$14,STAND.PARAMS!$K$209:$U$264,10)*IO.CONTROL!$F$38+VLOOKUP($B111-IO.CONTROL!$C$14,STAND.PARAMS!$K$209:$U$264,11)*IO.CONTROL!$F$39))</f>
        <v>-335771.72968499997</v>
      </c>
      <c r="L111" s="72">
        <f>IF(IO.CONTROL!$C$14&gt;$B111,0,(VLOOKUP($B111-IO.CONTROL!$C$14,STAND.PARAMS!$K$209:$U$264,2)*IO.CONTROL!$F$41+VLOOKUP($B111-IO.CONTROL!$C$14,STAND.PARAMS!$K$209:$U$264,3)*IO.CONTROL!$F$42+VLOOKUP($B111-IO.CONTROL!$C$14,STAND.PARAMS!$K$209:$U$264,4)*IO.CONTROL!$F$43+VLOOKUP($B111-IO.CONTROL!$C$14,STAND.PARAMS!$K$209:$U$264,5)*IO.CONTROL!$F$44+VLOOKUP($B111-IO.CONTROL!$C$14,STAND.PARAMS!$K$209:$U$264,6)*IO.CONTROL!$F$45))</f>
        <v>-845364.10649999999</v>
      </c>
      <c r="M111" s="72">
        <f>IF(IO.CONTROL!$C$14&gt;$B111,0,((VLOOKUP($B111-IO.CONTROL!$C$14,STAND.PARAMS!$K$209:$U$264,7)*IO.CONTROL!$F$53*IO.CONTROL!$F$45+VLOOKUP($B111-IO.CONTROL!$C$14,STAND.PARAMS!$K$209:$U$264,8)*IO.CONTROL!$F$54*IO.CONTROL!$F$46+VLOOKUP($B111-IO.CONTROL!$C$14,STAND.PARAMS!$K$209:$U$264,9)*IO.CONTROL!$F$55*IO.CONTROL!$F$47+VLOOKUP($B111-IO.CONTROL!$C$14,STAND.PARAMS!$K$209:$U$264,10)*IO.CONTROL!$F$56*IO.CONTROL!$F$48+VLOOKUP($B111-IO.CONTROL!$C$14,STAND.PARAMS!$K$209:$U$264,11)*IO.CONTROL!$F$57*IO.CONTROL!$F$49)))</f>
        <v>-1096202.6887124998</v>
      </c>
      <c r="N111" s="72">
        <f t="shared" si="0"/>
        <v>-10266657.091861501</v>
      </c>
      <c r="O111" s="73">
        <f>IF(IO.CONTROL!$C$14&gt;$B111,0,((VLOOKUP($B111-IO.CONTROL!$C$14,STAND.PARAMS!$K$209:$U$264,7)*IO.CONTROL!$F$53+VLOOKUP($B111-IO.CONTROL!$C$14,STAND.PARAMS!$K$209:$U$264,8)*IO.CONTROL!$F$54+VLOOKUP($B111-IO.CONTROL!$C$14,STAND.PARAMS!$K$209:$U$264,9)*IO.CONTROL!$F$55+VLOOKUP($B111-IO.CONTROL!$C$14,STAND.PARAMS!$K$209:$U$264,10)*IO.CONTROL!$F$56+VLOOKUP($B111-IO.CONTROL!$C$14,STAND.PARAMS!$K$209:$U$264,11)*IO.CONTROL!$F$57)))</f>
        <v>36540089.623749994</v>
      </c>
      <c r="P111" s="72">
        <f t="shared" si="4"/>
        <v>-10266657.091861501</v>
      </c>
      <c r="Q111" s="110">
        <f t="shared" si="5"/>
        <v>36540089.623749994</v>
      </c>
      <c r="R111" s="114"/>
      <c r="S111" s="72"/>
      <c r="T111" s="72"/>
      <c r="U111" s="72"/>
      <c r="V111" s="72"/>
      <c r="W111" s="72"/>
      <c r="X111" s="72"/>
      <c r="Y111" s="110"/>
      <c r="Z111" s="72">
        <f t="shared" si="1"/>
        <v>-10266657.091861501</v>
      </c>
      <c r="AA111" s="72">
        <f>Z111/(1+IO.CONTROL!$C$13)^AF111</f>
        <v>-1260468.3597874485</v>
      </c>
      <c r="AB111" s="72">
        <f t="shared" si="2"/>
        <v>36540089.623749994</v>
      </c>
      <c r="AC111" s="72">
        <f>AB111/(1+IO.CONTROL!$C$13)^AF111</f>
        <v>4486136.6677031554</v>
      </c>
      <c r="AD111" s="72">
        <f t="shared" si="3"/>
        <v>26273432.531888492</v>
      </c>
      <c r="AE111" s="72">
        <f>AD111/(1+IO.CONTROL!$C$13)^B111</f>
        <v>3225668.3079157067</v>
      </c>
      <c r="AF111" s="10">
        <v>31</v>
      </c>
      <c r="AG111" s="121"/>
    </row>
    <row r="112" spans="2:33" x14ac:dyDescent="0.25">
      <c r="B112" s="9">
        <v>32</v>
      </c>
      <c r="C112" s="72">
        <f>IF(IO.CONTROL!$C$14&gt;$B112,0,STAND.PARAMS!$K$166*IO.CONTROL!$F$19)</f>
        <v>-83884.455000000002</v>
      </c>
      <c r="D112" s="72">
        <f>IF(IO.CONTROL!$C$14&gt;$B112,0,STAND.PARAMS!$K$166*IO.CONTROL!$F$20)</f>
        <v>-128622.83099999999</v>
      </c>
      <c r="E112" s="72">
        <f>IF(IO.CONTROL!$C$14&gt;$B112,0,(VLOOKUP($B112-IO.CONTROL!$C$14,STAND.PARAMS!$K$209:$U$264,7)+VLOOKUP($B112-IO.CONTROL!$C$14,STAND.PARAMS!$K$209:$U$264,8)+VLOOKUP($B112-IO.CONTROL!$C$14,STAND.PARAMS!$K$209:$U$264,9)+VLOOKUP($B112-IO.CONTROL!$C$14,STAND.PARAMS!$K$209:$U$264,10)+VLOOKUP($B112-IO.CONTROL!$C$14,STAND.PARAMS!$K$209:$U$264,11))*IO.CONTROL!$F$21)</f>
        <v>-3419092.2180389999</v>
      </c>
      <c r="F112" s="72">
        <f>IF(IO.CONTROL!$C$14&gt;$B112,0,VLOOKUP($B112-IO.CONTROL!$C$14,STAND.PARAMS!$K$209:$U$264,6)*IO.CONTROL!$F$22)</f>
        <v>-3437864.5807500002</v>
      </c>
      <c r="G112" s="72">
        <f>IF(IO.CONTROL!$C$14&gt;$B112,0,(STAND.PARAMS!$C$19/IO.CONTROL!$C$10)*10*IO.CONTROL!$F$23)</f>
        <v>-209711.13749999998</v>
      </c>
      <c r="H112" s="72">
        <f>IF(IO.CONTROL!$C$14&gt;$B112,0,(STAND.PARAMS!$C$19-(STAND.PARAMS!$C$19/IO.CONTROL!$C$10)*10)*IO.CONTROL!$F$24)</f>
        <v>-310372.48350000003</v>
      </c>
      <c r="I112" s="72">
        <f>IF(IO.CONTROL!$C$14&gt;$B112,0,(VLOOKUP($B112-IO.CONTROL!$C$14,STAND.PARAMS!$K$209:$U$264,3)*IO.CONTROL!$F$26+VLOOKUP($B112-IO.CONTROL!$C$14,STAND.PARAMS!$K$209:$U$264,4)*IO.CONTROL!$F$27+VLOOKUP($B112-IO.CONTROL!$C$14,STAND.PARAMS!$K$209:$U$264,5)*IO.CONTROL!$F$28+VLOOKUP($B112-IO.CONTROL!$C$14,STAND.PARAMS!$K$209:$U$264,6)*IO.CONTROL!$F$29))</f>
        <v>-27772.015950000001</v>
      </c>
      <c r="J112" s="72">
        <f>IF(IO.CONTROL!$C$14&gt;$B112,0,(VLOOKUP($B112-IO.CONTROL!$C$14,STAND.PARAMS!$K$209:$U$264,3)*IO.CONTROL!$F$31+VLOOKUP($B112-IO.CONTROL!$C$14,STAND.PARAMS!$K$209:$U$264,4)*IO.CONTROL!$F$32+VLOOKUP($B112-IO.CONTROL!$C$14,STAND.PARAMS!$K$209:$U$264,5)*IO.CONTROL!$F$33+VLOOKUP($B112-IO.CONTROL!$C$14,STAND.PARAMS!$K$209:$U$264,6)*IO.CONTROL!$F$34))</f>
        <v>-371998.84522499994</v>
      </c>
      <c r="K112" s="72">
        <f>IF(IO.CONTROL!$C$14&gt;$B112,0,(VLOOKUP($B112-IO.CONTROL!$C$14,STAND.PARAMS!$K$209:$U$264,8)*IO.CONTROL!$F$36+VLOOKUP($B112-IO.CONTROL!$C$14,STAND.PARAMS!$K$209:$U$264,9)*IO.CONTROL!$F$37+VLOOKUP($B112-IO.CONTROL!$C$14,STAND.PARAMS!$K$209:$U$264,10)*IO.CONTROL!$F$38+VLOOKUP($B112-IO.CONTROL!$C$14,STAND.PARAMS!$K$209:$U$264,11)*IO.CONTROL!$F$39))</f>
        <v>-335771.72968499997</v>
      </c>
      <c r="L112" s="72">
        <f>IF(IO.CONTROL!$C$14&gt;$B112,0,(VLOOKUP($B112-IO.CONTROL!$C$14,STAND.PARAMS!$K$209:$U$264,2)*IO.CONTROL!$F$41+VLOOKUP($B112-IO.CONTROL!$C$14,STAND.PARAMS!$K$209:$U$264,3)*IO.CONTROL!$F$42+VLOOKUP($B112-IO.CONTROL!$C$14,STAND.PARAMS!$K$209:$U$264,4)*IO.CONTROL!$F$43+VLOOKUP($B112-IO.CONTROL!$C$14,STAND.PARAMS!$K$209:$U$264,5)*IO.CONTROL!$F$44+VLOOKUP($B112-IO.CONTROL!$C$14,STAND.PARAMS!$K$209:$U$264,6)*IO.CONTROL!$F$45))</f>
        <v>-845364.10649999999</v>
      </c>
      <c r="M112" s="72">
        <f>IF(IO.CONTROL!$C$14&gt;$B112,0,((VLOOKUP($B112-IO.CONTROL!$C$14,STAND.PARAMS!$K$209:$U$264,7)*IO.CONTROL!$F$53*IO.CONTROL!$F$45+VLOOKUP($B112-IO.CONTROL!$C$14,STAND.PARAMS!$K$209:$U$264,8)*IO.CONTROL!$F$54*IO.CONTROL!$F$46+VLOOKUP($B112-IO.CONTROL!$C$14,STAND.PARAMS!$K$209:$U$264,9)*IO.CONTROL!$F$55*IO.CONTROL!$F$47+VLOOKUP($B112-IO.CONTROL!$C$14,STAND.PARAMS!$K$209:$U$264,10)*IO.CONTROL!$F$56*IO.CONTROL!$F$48+VLOOKUP($B112-IO.CONTROL!$C$14,STAND.PARAMS!$K$209:$U$264,11)*IO.CONTROL!$F$57*IO.CONTROL!$F$49)))</f>
        <v>-1096202.6887124998</v>
      </c>
      <c r="N112" s="72">
        <f t="shared" si="0"/>
        <v>-10266657.091861501</v>
      </c>
      <c r="O112" s="73">
        <f>IF(IO.CONTROL!$C$14&gt;$B112,0,((VLOOKUP($B112-IO.CONTROL!$C$14,STAND.PARAMS!$K$209:$U$264,7)*IO.CONTROL!$F$53+VLOOKUP($B112-IO.CONTROL!$C$14,STAND.PARAMS!$K$209:$U$264,8)*IO.CONTROL!$F$54+VLOOKUP($B112-IO.CONTROL!$C$14,STAND.PARAMS!$K$209:$U$264,9)*IO.CONTROL!$F$55+VLOOKUP($B112-IO.CONTROL!$C$14,STAND.PARAMS!$K$209:$U$264,10)*IO.CONTROL!$F$56+VLOOKUP($B112-IO.CONTROL!$C$14,STAND.PARAMS!$K$209:$U$264,11)*IO.CONTROL!$F$57)))</f>
        <v>36540089.623749994</v>
      </c>
      <c r="P112" s="72">
        <f t="shared" si="4"/>
        <v>-10266657.091861501</v>
      </c>
      <c r="Q112" s="110">
        <f t="shared" si="5"/>
        <v>36540089.623749994</v>
      </c>
      <c r="R112" s="114"/>
      <c r="S112" s="72"/>
      <c r="T112" s="72"/>
      <c r="U112" s="72"/>
      <c r="V112" s="72"/>
      <c r="W112" s="72"/>
      <c r="X112" s="72"/>
      <c r="Y112" s="110"/>
      <c r="Z112" s="72">
        <f t="shared" si="1"/>
        <v>-10266657.091861501</v>
      </c>
      <c r="AA112" s="72">
        <f>Z112/(1+IO.CONTROL!$C$13)^AF112</f>
        <v>-1178007.812885466</v>
      </c>
      <c r="AB112" s="72">
        <f t="shared" si="2"/>
        <v>36540089.623749994</v>
      </c>
      <c r="AC112" s="72">
        <f>AB112/(1+IO.CONTROL!$C$13)^AF112</f>
        <v>4192651.0913113602</v>
      </c>
      <c r="AD112" s="72">
        <f t="shared" si="3"/>
        <v>26273432.531888492</v>
      </c>
      <c r="AE112" s="72">
        <f>AD112/(1+IO.CONTROL!$C$13)^B112</f>
        <v>3014643.2784258942</v>
      </c>
      <c r="AF112" s="10">
        <v>32</v>
      </c>
      <c r="AG112" s="121"/>
    </row>
    <row r="113" spans="2:33" x14ac:dyDescent="0.25">
      <c r="B113" s="9">
        <v>33</v>
      </c>
      <c r="C113" s="72">
        <f>IF(IO.CONTROL!$C$14&gt;$B113,0,STAND.PARAMS!$K$166*IO.CONTROL!$F$19)</f>
        <v>-83884.455000000002</v>
      </c>
      <c r="D113" s="72">
        <f>IF(IO.CONTROL!$C$14&gt;$B113,0,STAND.PARAMS!$K$166*IO.CONTROL!$F$20)</f>
        <v>-128622.83099999999</v>
      </c>
      <c r="E113" s="72">
        <f>IF(IO.CONTROL!$C$14&gt;$B113,0,(VLOOKUP($B113-IO.CONTROL!$C$14,STAND.PARAMS!$K$209:$U$264,7)+VLOOKUP($B113-IO.CONTROL!$C$14,STAND.PARAMS!$K$209:$U$264,8)+VLOOKUP($B113-IO.CONTROL!$C$14,STAND.PARAMS!$K$209:$U$264,9)+VLOOKUP($B113-IO.CONTROL!$C$14,STAND.PARAMS!$K$209:$U$264,10)+VLOOKUP($B113-IO.CONTROL!$C$14,STAND.PARAMS!$K$209:$U$264,11))*IO.CONTROL!$F$21)</f>
        <v>-4701518.1759989997</v>
      </c>
      <c r="F113" s="72">
        <f>IF(IO.CONTROL!$C$14&gt;$B113,0,VLOOKUP($B113-IO.CONTROL!$C$14,STAND.PARAMS!$K$209:$U$264,6)*IO.CONTROL!$F$22)</f>
        <v>-3437864.5807500002</v>
      </c>
      <c r="G113" s="72">
        <f>IF(IO.CONTROL!$C$14&gt;$B113,0,(STAND.PARAMS!$C$19/IO.CONTROL!$C$10)*10*IO.CONTROL!$F$23)</f>
        <v>-209711.13749999998</v>
      </c>
      <c r="H113" s="72">
        <f>IF(IO.CONTROL!$C$14&gt;$B113,0,(STAND.PARAMS!$C$19-(STAND.PARAMS!$C$19/IO.CONTROL!$C$10)*10)*IO.CONTROL!$F$24)</f>
        <v>-310372.48350000003</v>
      </c>
      <c r="I113" s="72">
        <f>IF(IO.CONTROL!$C$14&gt;$B113,0,(VLOOKUP($B113-IO.CONTROL!$C$14,STAND.PARAMS!$K$209:$U$264,3)*IO.CONTROL!$F$26+VLOOKUP($B113-IO.CONTROL!$C$14,STAND.PARAMS!$K$209:$U$264,4)*IO.CONTROL!$F$27+VLOOKUP($B113-IO.CONTROL!$C$14,STAND.PARAMS!$K$209:$U$264,5)*IO.CONTROL!$F$28+VLOOKUP($B113-IO.CONTROL!$C$14,STAND.PARAMS!$K$209:$U$264,6)*IO.CONTROL!$F$29))</f>
        <v>-53077.621950000008</v>
      </c>
      <c r="J113" s="72">
        <f>IF(IO.CONTROL!$C$14&gt;$B113,0,(VLOOKUP($B113-IO.CONTROL!$C$14,STAND.PARAMS!$K$209:$U$264,3)*IO.CONTROL!$F$31+VLOOKUP($B113-IO.CONTROL!$C$14,STAND.PARAMS!$K$209:$U$264,4)*IO.CONTROL!$F$32+VLOOKUP($B113-IO.CONTROL!$C$14,STAND.PARAMS!$K$209:$U$264,5)*IO.CONTROL!$F$33+VLOOKUP($B113-IO.CONTROL!$C$14,STAND.PARAMS!$K$209:$U$264,6)*IO.CONTROL!$F$34))</f>
        <v>-710960.7782249999</v>
      </c>
      <c r="K113" s="72">
        <f>IF(IO.CONTROL!$C$14&gt;$B113,0,(VLOOKUP($B113-IO.CONTROL!$C$14,STAND.PARAMS!$K$209:$U$264,8)*IO.CONTROL!$F$36+VLOOKUP($B113-IO.CONTROL!$C$14,STAND.PARAMS!$K$209:$U$264,9)*IO.CONTROL!$F$37+VLOOKUP($B113-IO.CONTROL!$C$14,STAND.PARAMS!$K$209:$U$264,10)*IO.CONTROL!$F$38+VLOOKUP($B113-IO.CONTROL!$C$14,STAND.PARAMS!$K$209:$U$264,11)*IO.CONTROL!$F$39))</f>
        <v>-472200.02308499999</v>
      </c>
      <c r="L113" s="72">
        <f>IF(IO.CONTROL!$C$14&gt;$B113,0,(VLOOKUP($B113-IO.CONTROL!$C$14,STAND.PARAMS!$K$209:$U$264,2)*IO.CONTROL!$F$41+VLOOKUP($B113-IO.CONTROL!$C$14,STAND.PARAMS!$K$209:$U$264,3)*IO.CONTROL!$F$42+VLOOKUP($B113-IO.CONTROL!$C$14,STAND.PARAMS!$K$209:$U$264,4)*IO.CONTROL!$F$43+VLOOKUP($B113-IO.CONTROL!$C$14,STAND.PARAMS!$K$209:$U$264,5)*IO.CONTROL!$F$44+VLOOKUP($B113-IO.CONTROL!$C$14,STAND.PARAMS!$K$209:$U$264,6)*IO.CONTROL!$F$45))</f>
        <v>-1615631.2364999999</v>
      </c>
      <c r="M113" s="72">
        <f>IF(IO.CONTROL!$C$14&gt;$B113,0,((VLOOKUP($B113-IO.CONTROL!$C$14,STAND.PARAMS!$K$209:$U$264,7)*IO.CONTROL!$F$53*IO.CONTROL!$F$45+VLOOKUP($B113-IO.CONTROL!$C$14,STAND.PARAMS!$K$209:$U$264,8)*IO.CONTROL!$F$54*IO.CONTROL!$F$46+VLOOKUP($B113-IO.CONTROL!$C$14,STAND.PARAMS!$K$209:$U$264,9)*IO.CONTROL!$F$55*IO.CONTROL!$F$47+VLOOKUP($B113-IO.CONTROL!$C$14,STAND.PARAMS!$K$209:$U$264,10)*IO.CONTROL!$F$56*IO.CONTROL!$F$48+VLOOKUP($B113-IO.CONTROL!$C$14,STAND.PARAMS!$K$209:$U$264,11)*IO.CONTROL!$F$57*IO.CONTROL!$F$49)))</f>
        <v>-1201319.5705124999</v>
      </c>
      <c r="N113" s="72">
        <f t="shared" si="0"/>
        <v>-12925162.8940215</v>
      </c>
      <c r="O113" s="73">
        <f>IF(IO.CONTROL!$C$14&gt;$B113,0,((VLOOKUP($B113-IO.CONTROL!$C$14,STAND.PARAMS!$K$209:$U$264,7)*IO.CONTROL!$F$53+VLOOKUP($B113-IO.CONTROL!$C$14,STAND.PARAMS!$K$209:$U$264,8)*IO.CONTROL!$F$54+VLOOKUP($B113-IO.CONTROL!$C$14,STAND.PARAMS!$K$209:$U$264,9)*IO.CONTROL!$F$55+VLOOKUP($B113-IO.CONTROL!$C$14,STAND.PARAMS!$K$209:$U$264,10)*IO.CONTROL!$F$56+VLOOKUP($B113-IO.CONTROL!$C$14,STAND.PARAMS!$K$209:$U$264,11)*IO.CONTROL!$F$57)))</f>
        <v>40043985.683749996</v>
      </c>
      <c r="P113" s="72">
        <f t="shared" si="4"/>
        <v>-12925162.8940215</v>
      </c>
      <c r="Q113" s="110">
        <f t="shared" si="5"/>
        <v>40043985.683749996</v>
      </c>
      <c r="R113" s="114"/>
      <c r="S113" s="72"/>
      <c r="T113" s="72"/>
      <c r="U113" s="72"/>
      <c r="V113" s="72"/>
      <c r="W113" s="72"/>
      <c r="X113" s="72"/>
      <c r="Y113" s="110"/>
      <c r="Z113" s="72">
        <f t="shared" si="1"/>
        <v>-12925162.8940215</v>
      </c>
      <c r="AA113" s="72">
        <f>Z113/(1+IO.CONTROL!$C$13)^AF113</f>
        <v>-1386025.950224669</v>
      </c>
      <c r="AB113" s="72">
        <f t="shared" si="2"/>
        <v>40043985.683749996</v>
      </c>
      <c r="AC113" s="72">
        <f>AB113/(1+IO.CONTROL!$C$13)^AF113</f>
        <v>4294104.7446121499</v>
      </c>
      <c r="AD113" s="72">
        <f t="shared" si="3"/>
        <v>27118822.789728496</v>
      </c>
      <c r="AE113" s="72">
        <f>AD113/(1+IO.CONTROL!$C$13)^B113</f>
        <v>2908078.7943874812</v>
      </c>
      <c r="AF113" s="10">
        <v>33</v>
      </c>
      <c r="AG113" s="121"/>
    </row>
    <row r="114" spans="2:33" x14ac:dyDescent="0.25">
      <c r="B114" s="9">
        <v>34</v>
      </c>
      <c r="C114" s="72">
        <f>IF(IO.CONTROL!$C$14&gt;$B114,0,STAND.PARAMS!$K$166*IO.CONTROL!$F$19)</f>
        <v>-83884.455000000002</v>
      </c>
      <c r="D114" s="72">
        <f>IF(IO.CONTROL!$C$14&gt;$B114,0,STAND.PARAMS!$K$166*IO.CONTROL!$F$20)</f>
        <v>-128622.83099999999</v>
      </c>
      <c r="E114" s="72">
        <f>IF(IO.CONTROL!$C$14&gt;$B114,0,(VLOOKUP($B114-IO.CONTROL!$C$14,STAND.PARAMS!$K$209:$U$264,7)+VLOOKUP($B114-IO.CONTROL!$C$14,STAND.PARAMS!$K$209:$U$264,8)+VLOOKUP($B114-IO.CONTROL!$C$14,STAND.PARAMS!$K$209:$U$264,9)+VLOOKUP($B114-IO.CONTROL!$C$14,STAND.PARAMS!$K$209:$U$264,10)+VLOOKUP($B114-IO.CONTROL!$C$14,STAND.PARAMS!$K$209:$U$264,11))*IO.CONTROL!$F$21)</f>
        <v>-4701518.1759989997</v>
      </c>
      <c r="F114" s="72">
        <f>IF(IO.CONTROL!$C$14&gt;$B114,0,VLOOKUP($B114-IO.CONTROL!$C$14,STAND.PARAMS!$K$209:$U$264,6)*IO.CONTROL!$F$22)</f>
        <v>-3437864.5807500002</v>
      </c>
      <c r="G114" s="72">
        <f>IF(IO.CONTROL!$C$14&gt;$B114,0,(STAND.PARAMS!$C$19/IO.CONTROL!$C$10)*10*IO.CONTROL!$F$23)</f>
        <v>-209711.13749999998</v>
      </c>
      <c r="H114" s="72">
        <f>IF(IO.CONTROL!$C$14&gt;$B114,0,(STAND.PARAMS!$C$19-(STAND.PARAMS!$C$19/IO.CONTROL!$C$10)*10)*IO.CONTROL!$F$24)</f>
        <v>-310372.48350000003</v>
      </c>
      <c r="I114" s="72">
        <f>IF(IO.CONTROL!$C$14&gt;$B114,0,(VLOOKUP($B114-IO.CONTROL!$C$14,STAND.PARAMS!$K$209:$U$264,3)*IO.CONTROL!$F$26+VLOOKUP($B114-IO.CONTROL!$C$14,STAND.PARAMS!$K$209:$U$264,4)*IO.CONTROL!$F$27+VLOOKUP($B114-IO.CONTROL!$C$14,STAND.PARAMS!$K$209:$U$264,5)*IO.CONTROL!$F$28+VLOOKUP($B114-IO.CONTROL!$C$14,STAND.PARAMS!$K$209:$U$264,6)*IO.CONTROL!$F$29))</f>
        <v>-53077.621950000008</v>
      </c>
      <c r="J114" s="72">
        <f>IF(IO.CONTROL!$C$14&gt;$B114,0,(VLOOKUP($B114-IO.CONTROL!$C$14,STAND.PARAMS!$K$209:$U$264,3)*IO.CONTROL!$F$31+VLOOKUP($B114-IO.CONTROL!$C$14,STAND.PARAMS!$K$209:$U$264,4)*IO.CONTROL!$F$32+VLOOKUP($B114-IO.CONTROL!$C$14,STAND.PARAMS!$K$209:$U$264,5)*IO.CONTROL!$F$33+VLOOKUP($B114-IO.CONTROL!$C$14,STAND.PARAMS!$K$209:$U$264,6)*IO.CONTROL!$F$34))</f>
        <v>-710960.7782249999</v>
      </c>
      <c r="K114" s="72">
        <f>IF(IO.CONTROL!$C$14&gt;$B114,0,(VLOOKUP($B114-IO.CONTROL!$C$14,STAND.PARAMS!$K$209:$U$264,8)*IO.CONTROL!$F$36+VLOOKUP($B114-IO.CONTROL!$C$14,STAND.PARAMS!$K$209:$U$264,9)*IO.CONTROL!$F$37+VLOOKUP($B114-IO.CONTROL!$C$14,STAND.PARAMS!$K$209:$U$264,10)*IO.CONTROL!$F$38+VLOOKUP($B114-IO.CONTROL!$C$14,STAND.PARAMS!$K$209:$U$264,11)*IO.CONTROL!$F$39))</f>
        <v>-472200.02308499999</v>
      </c>
      <c r="L114" s="72">
        <f>IF(IO.CONTROL!$C$14&gt;$B114,0,(VLOOKUP($B114-IO.CONTROL!$C$14,STAND.PARAMS!$K$209:$U$264,2)*IO.CONTROL!$F$41+VLOOKUP($B114-IO.CONTROL!$C$14,STAND.PARAMS!$K$209:$U$264,3)*IO.CONTROL!$F$42+VLOOKUP($B114-IO.CONTROL!$C$14,STAND.PARAMS!$K$209:$U$264,4)*IO.CONTROL!$F$43+VLOOKUP($B114-IO.CONTROL!$C$14,STAND.PARAMS!$K$209:$U$264,5)*IO.CONTROL!$F$44+VLOOKUP($B114-IO.CONTROL!$C$14,STAND.PARAMS!$K$209:$U$264,6)*IO.CONTROL!$F$45))</f>
        <v>-1615631.2364999999</v>
      </c>
      <c r="M114" s="72">
        <f>IF(IO.CONTROL!$C$14&gt;$B114,0,((VLOOKUP($B114-IO.CONTROL!$C$14,STAND.PARAMS!$K$209:$U$264,7)*IO.CONTROL!$F$53*IO.CONTROL!$F$45+VLOOKUP($B114-IO.CONTROL!$C$14,STAND.PARAMS!$K$209:$U$264,8)*IO.CONTROL!$F$54*IO.CONTROL!$F$46+VLOOKUP($B114-IO.CONTROL!$C$14,STAND.PARAMS!$K$209:$U$264,9)*IO.CONTROL!$F$55*IO.CONTROL!$F$47+VLOOKUP($B114-IO.CONTROL!$C$14,STAND.PARAMS!$K$209:$U$264,10)*IO.CONTROL!$F$56*IO.CONTROL!$F$48+VLOOKUP($B114-IO.CONTROL!$C$14,STAND.PARAMS!$K$209:$U$264,11)*IO.CONTROL!$F$57*IO.CONTROL!$F$49)))</f>
        <v>-1201319.5705124999</v>
      </c>
      <c r="N114" s="72">
        <f t="shared" si="0"/>
        <v>-12925162.8940215</v>
      </c>
      <c r="O114" s="73">
        <f>IF(IO.CONTROL!$C$14&gt;$B114,0,((VLOOKUP($B114-IO.CONTROL!$C$14,STAND.PARAMS!$K$209:$U$264,7)*IO.CONTROL!$F$53+VLOOKUP($B114-IO.CONTROL!$C$14,STAND.PARAMS!$K$209:$U$264,8)*IO.CONTROL!$F$54+VLOOKUP($B114-IO.CONTROL!$C$14,STAND.PARAMS!$K$209:$U$264,9)*IO.CONTROL!$F$55+VLOOKUP($B114-IO.CONTROL!$C$14,STAND.PARAMS!$K$209:$U$264,10)*IO.CONTROL!$F$56+VLOOKUP($B114-IO.CONTROL!$C$14,STAND.PARAMS!$K$209:$U$264,11)*IO.CONTROL!$F$57)))</f>
        <v>40043985.683749996</v>
      </c>
      <c r="P114" s="72">
        <f t="shared" si="4"/>
        <v>-12925162.8940215</v>
      </c>
      <c r="Q114" s="110">
        <f t="shared" si="5"/>
        <v>40043985.683749996</v>
      </c>
      <c r="R114" s="114"/>
      <c r="S114" s="72"/>
      <c r="T114" s="72"/>
      <c r="U114" s="72"/>
      <c r="V114" s="72"/>
      <c r="W114" s="72"/>
      <c r="X114" s="72"/>
      <c r="Y114" s="110"/>
      <c r="Z114" s="72">
        <f t="shared" si="1"/>
        <v>-12925162.8940215</v>
      </c>
      <c r="AA114" s="72">
        <f>Z114/(1+IO.CONTROL!$C$13)^AF114</f>
        <v>-1295351.3553501579</v>
      </c>
      <c r="AB114" s="72">
        <f t="shared" si="2"/>
        <v>40043985.683749996</v>
      </c>
      <c r="AC114" s="72">
        <f>AB114/(1+IO.CONTROL!$C$13)^AF114</f>
        <v>4013182.0043104207</v>
      </c>
      <c r="AD114" s="72">
        <f t="shared" si="3"/>
        <v>27118822.789728496</v>
      </c>
      <c r="AE114" s="72">
        <f>AD114/(1+IO.CONTROL!$C$13)^B114</f>
        <v>2717830.648960263</v>
      </c>
      <c r="AF114" s="10">
        <v>34</v>
      </c>
      <c r="AG114" s="121"/>
    </row>
    <row r="115" spans="2:33" x14ac:dyDescent="0.25">
      <c r="B115" s="9">
        <v>35</v>
      </c>
      <c r="C115" s="72">
        <f>IF(IO.CONTROL!$C$14&gt;$B115,0,STAND.PARAMS!$K$166*IO.CONTROL!$F$19)</f>
        <v>-83884.455000000002</v>
      </c>
      <c r="D115" s="72">
        <f>IF(IO.CONTROL!$C$14&gt;$B115,0,STAND.PARAMS!$K$166*IO.CONTROL!$F$20)</f>
        <v>-128622.83099999999</v>
      </c>
      <c r="E115" s="72">
        <f>IF(IO.CONTROL!$C$14&gt;$B115,0,(VLOOKUP($B115-IO.CONTROL!$C$14,STAND.PARAMS!$K$209:$U$264,7)+VLOOKUP($B115-IO.CONTROL!$C$14,STAND.PARAMS!$K$209:$U$264,8)+VLOOKUP($B115-IO.CONTROL!$C$14,STAND.PARAMS!$K$209:$U$264,9)+VLOOKUP($B115-IO.CONTROL!$C$14,STAND.PARAMS!$K$209:$U$264,10)+VLOOKUP($B115-IO.CONTROL!$C$14,STAND.PARAMS!$K$209:$U$264,11))*IO.CONTROL!$F$21)</f>
        <v>-4701518.1759989997</v>
      </c>
      <c r="F115" s="72">
        <f>IF(IO.CONTROL!$C$14&gt;$B115,0,VLOOKUP($B115-IO.CONTROL!$C$14,STAND.PARAMS!$K$209:$U$264,6)*IO.CONTROL!$F$22)</f>
        <v>-3437864.5807500002</v>
      </c>
      <c r="G115" s="72">
        <f>IF(IO.CONTROL!$C$14&gt;$B115,0,(STAND.PARAMS!$C$19/IO.CONTROL!$C$10)*10*IO.CONTROL!$F$23)</f>
        <v>-209711.13749999998</v>
      </c>
      <c r="H115" s="72">
        <f>IF(IO.CONTROL!$C$14&gt;$B115,0,(STAND.PARAMS!$C$19-(STAND.PARAMS!$C$19/IO.CONTROL!$C$10)*10)*IO.CONTROL!$F$24)</f>
        <v>-310372.48350000003</v>
      </c>
      <c r="I115" s="72">
        <f>IF(IO.CONTROL!$C$14&gt;$B115,0,(VLOOKUP($B115-IO.CONTROL!$C$14,STAND.PARAMS!$K$209:$U$264,3)*IO.CONTROL!$F$26+VLOOKUP($B115-IO.CONTROL!$C$14,STAND.PARAMS!$K$209:$U$264,4)*IO.CONTROL!$F$27+VLOOKUP($B115-IO.CONTROL!$C$14,STAND.PARAMS!$K$209:$U$264,5)*IO.CONTROL!$F$28+VLOOKUP($B115-IO.CONTROL!$C$14,STAND.PARAMS!$K$209:$U$264,6)*IO.CONTROL!$F$29))</f>
        <v>-53077.621950000008</v>
      </c>
      <c r="J115" s="72">
        <f>IF(IO.CONTROL!$C$14&gt;$B115,0,(VLOOKUP($B115-IO.CONTROL!$C$14,STAND.PARAMS!$K$209:$U$264,3)*IO.CONTROL!$F$31+VLOOKUP($B115-IO.CONTROL!$C$14,STAND.PARAMS!$K$209:$U$264,4)*IO.CONTROL!$F$32+VLOOKUP($B115-IO.CONTROL!$C$14,STAND.PARAMS!$K$209:$U$264,5)*IO.CONTROL!$F$33+VLOOKUP($B115-IO.CONTROL!$C$14,STAND.PARAMS!$K$209:$U$264,6)*IO.CONTROL!$F$34))</f>
        <v>-710960.7782249999</v>
      </c>
      <c r="K115" s="72">
        <f>IF(IO.CONTROL!$C$14&gt;$B115,0,(VLOOKUP($B115-IO.CONTROL!$C$14,STAND.PARAMS!$K$209:$U$264,8)*IO.CONTROL!$F$36+VLOOKUP($B115-IO.CONTROL!$C$14,STAND.PARAMS!$K$209:$U$264,9)*IO.CONTROL!$F$37+VLOOKUP($B115-IO.CONTROL!$C$14,STAND.PARAMS!$K$209:$U$264,10)*IO.CONTROL!$F$38+VLOOKUP($B115-IO.CONTROL!$C$14,STAND.PARAMS!$K$209:$U$264,11)*IO.CONTROL!$F$39))</f>
        <v>-472200.02308499999</v>
      </c>
      <c r="L115" s="72">
        <f>IF(IO.CONTROL!$C$14&gt;$B115,0,(VLOOKUP($B115-IO.CONTROL!$C$14,STAND.PARAMS!$K$209:$U$264,2)*IO.CONTROL!$F$41+VLOOKUP($B115-IO.CONTROL!$C$14,STAND.PARAMS!$K$209:$U$264,3)*IO.CONTROL!$F$42+VLOOKUP($B115-IO.CONTROL!$C$14,STAND.PARAMS!$K$209:$U$264,4)*IO.CONTROL!$F$43+VLOOKUP($B115-IO.CONTROL!$C$14,STAND.PARAMS!$K$209:$U$264,5)*IO.CONTROL!$F$44+VLOOKUP($B115-IO.CONTROL!$C$14,STAND.PARAMS!$K$209:$U$264,6)*IO.CONTROL!$F$45))</f>
        <v>-1615631.2364999999</v>
      </c>
      <c r="M115" s="72">
        <f>IF(IO.CONTROL!$C$14&gt;$B115,0,((VLOOKUP($B115-IO.CONTROL!$C$14,STAND.PARAMS!$K$209:$U$264,7)*IO.CONTROL!$F$53*IO.CONTROL!$F$45+VLOOKUP($B115-IO.CONTROL!$C$14,STAND.PARAMS!$K$209:$U$264,8)*IO.CONTROL!$F$54*IO.CONTROL!$F$46+VLOOKUP($B115-IO.CONTROL!$C$14,STAND.PARAMS!$K$209:$U$264,9)*IO.CONTROL!$F$55*IO.CONTROL!$F$47+VLOOKUP($B115-IO.CONTROL!$C$14,STAND.PARAMS!$K$209:$U$264,10)*IO.CONTROL!$F$56*IO.CONTROL!$F$48+VLOOKUP($B115-IO.CONTROL!$C$14,STAND.PARAMS!$K$209:$U$264,11)*IO.CONTROL!$F$57*IO.CONTROL!$F$49)))</f>
        <v>-1201319.5705124999</v>
      </c>
      <c r="N115" s="72">
        <f t="shared" si="0"/>
        <v>-12925162.8940215</v>
      </c>
      <c r="O115" s="73">
        <f>IF(IO.CONTROL!$C$14&gt;$B115,0,((VLOOKUP($B115-IO.CONTROL!$C$14,STAND.PARAMS!$K$209:$U$264,7)*IO.CONTROL!$F$53+VLOOKUP($B115-IO.CONTROL!$C$14,STAND.PARAMS!$K$209:$U$264,8)*IO.CONTROL!$F$54+VLOOKUP($B115-IO.CONTROL!$C$14,STAND.PARAMS!$K$209:$U$264,9)*IO.CONTROL!$F$55+VLOOKUP($B115-IO.CONTROL!$C$14,STAND.PARAMS!$K$209:$U$264,10)*IO.CONTROL!$F$56+VLOOKUP($B115-IO.CONTROL!$C$14,STAND.PARAMS!$K$209:$U$264,11)*IO.CONTROL!$F$57)))</f>
        <v>40043985.683749996</v>
      </c>
      <c r="P115" s="72">
        <f t="shared" si="4"/>
        <v>-12925162.8940215</v>
      </c>
      <c r="Q115" s="110">
        <f t="shared" si="5"/>
        <v>40043985.683749996</v>
      </c>
      <c r="R115" s="114"/>
      <c r="S115" s="72"/>
      <c r="T115" s="72"/>
      <c r="U115" s="72"/>
      <c r="V115" s="72"/>
      <c r="W115" s="72"/>
      <c r="X115" s="72"/>
      <c r="Y115" s="110"/>
      <c r="Z115" s="72">
        <f t="shared" si="1"/>
        <v>-12925162.8940215</v>
      </c>
      <c r="AA115" s="72">
        <f>Z115/(1+IO.CONTROL!$C$13)^AF115</f>
        <v>-1210608.7433179046</v>
      </c>
      <c r="AB115" s="72">
        <f t="shared" si="2"/>
        <v>40043985.683749996</v>
      </c>
      <c r="AC115" s="72">
        <f>AB115/(1+IO.CONTROL!$C$13)^AF115</f>
        <v>3750637.3872060007</v>
      </c>
      <c r="AD115" s="72">
        <f t="shared" si="3"/>
        <v>27118822.789728496</v>
      </c>
      <c r="AE115" s="72">
        <f>AD115/(1+IO.CONTROL!$C$13)^B115</f>
        <v>2540028.6438880959</v>
      </c>
      <c r="AF115" s="10">
        <v>35</v>
      </c>
      <c r="AG115" s="121"/>
    </row>
    <row r="116" spans="2:33" x14ac:dyDescent="0.25">
      <c r="B116" s="9">
        <v>36</v>
      </c>
      <c r="C116" s="72">
        <f>IF(IO.CONTROL!$C$14&gt;$B116,0,STAND.PARAMS!$K$166*IO.CONTROL!$F$19)</f>
        <v>-83884.455000000002</v>
      </c>
      <c r="D116" s="72">
        <f>IF(IO.CONTROL!$C$14&gt;$B116,0,STAND.PARAMS!$K$166*IO.CONTROL!$F$20)</f>
        <v>-128622.83099999999</v>
      </c>
      <c r="E116" s="72">
        <f>IF(IO.CONTROL!$C$14&gt;$B116,0,(VLOOKUP($B116-IO.CONTROL!$C$14,STAND.PARAMS!$K$209:$U$264,7)+VLOOKUP($B116-IO.CONTROL!$C$14,STAND.PARAMS!$K$209:$U$264,8)+VLOOKUP($B116-IO.CONTROL!$C$14,STAND.PARAMS!$K$209:$U$264,9)+VLOOKUP($B116-IO.CONTROL!$C$14,STAND.PARAMS!$K$209:$U$264,10)+VLOOKUP($B116-IO.CONTROL!$C$14,STAND.PARAMS!$K$209:$U$264,11))*IO.CONTROL!$F$21)</f>
        <v>-4701518.1759989997</v>
      </c>
      <c r="F116" s="72">
        <f>IF(IO.CONTROL!$C$14&gt;$B116,0,VLOOKUP($B116-IO.CONTROL!$C$14,STAND.PARAMS!$K$209:$U$264,6)*IO.CONTROL!$F$22)</f>
        <v>-3437864.5807500002</v>
      </c>
      <c r="G116" s="72">
        <f>IF(IO.CONTROL!$C$14&gt;$B116,0,(STAND.PARAMS!$C$19/IO.CONTROL!$C$10)*10*IO.CONTROL!$F$23)</f>
        <v>-209711.13749999998</v>
      </c>
      <c r="H116" s="72">
        <f>IF(IO.CONTROL!$C$14&gt;$B116,0,(STAND.PARAMS!$C$19-(STAND.PARAMS!$C$19/IO.CONTROL!$C$10)*10)*IO.CONTROL!$F$24)</f>
        <v>-310372.48350000003</v>
      </c>
      <c r="I116" s="72">
        <f>IF(IO.CONTROL!$C$14&gt;$B116,0,(VLOOKUP($B116-IO.CONTROL!$C$14,STAND.PARAMS!$K$209:$U$264,3)*IO.CONTROL!$F$26+VLOOKUP($B116-IO.CONTROL!$C$14,STAND.PARAMS!$K$209:$U$264,4)*IO.CONTROL!$F$27+VLOOKUP($B116-IO.CONTROL!$C$14,STAND.PARAMS!$K$209:$U$264,5)*IO.CONTROL!$F$28+VLOOKUP($B116-IO.CONTROL!$C$14,STAND.PARAMS!$K$209:$U$264,6)*IO.CONTROL!$F$29))</f>
        <v>-53077.621950000008</v>
      </c>
      <c r="J116" s="72">
        <f>IF(IO.CONTROL!$C$14&gt;$B116,0,(VLOOKUP($B116-IO.CONTROL!$C$14,STAND.PARAMS!$K$209:$U$264,3)*IO.CONTROL!$F$31+VLOOKUP($B116-IO.CONTROL!$C$14,STAND.PARAMS!$K$209:$U$264,4)*IO.CONTROL!$F$32+VLOOKUP($B116-IO.CONTROL!$C$14,STAND.PARAMS!$K$209:$U$264,5)*IO.CONTROL!$F$33+VLOOKUP($B116-IO.CONTROL!$C$14,STAND.PARAMS!$K$209:$U$264,6)*IO.CONTROL!$F$34))</f>
        <v>-710960.7782249999</v>
      </c>
      <c r="K116" s="72">
        <f>IF(IO.CONTROL!$C$14&gt;$B116,0,(VLOOKUP($B116-IO.CONTROL!$C$14,STAND.PARAMS!$K$209:$U$264,8)*IO.CONTROL!$F$36+VLOOKUP($B116-IO.CONTROL!$C$14,STAND.PARAMS!$K$209:$U$264,9)*IO.CONTROL!$F$37+VLOOKUP($B116-IO.CONTROL!$C$14,STAND.PARAMS!$K$209:$U$264,10)*IO.CONTROL!$F$38+VLOOKUP($B116-IO.CONTROL!$C$14,STAND.PARAMS!$K$209:$U$264,11)*IO.CONTROL!$F$39))</f>
        <v>-472200.02308499999</v>
      </c>
      <c r="L116" s="72">
        <f>IF(IO.CONTROL!$C$14&gt;$B116,0,(VLOOKUP($B116-IO.CONTROL!$C$14,STAND.PARAMS!$K$209:$U$264,2)*IO.CONTROL!$F$41+VLOOKUP($B116-IO.CONTROL!$C$14,STAND.PARAMS!$K$209:$U$264,3)*IO.CONTROL!$F$42+VLOOKUP($B116-IO.CONTROL!$C$14,STAND.PARAMS!$K$209:$U$264,4)*IO.CONTROL!$F$43+VLOOKUP($B116-IO.CONTROL!$C$14,STAND.PARAMS!$K$209:$U$264,5)*IO.CONTROL!$F$44+VLOOKUP($B116-IO.CONTROL!$C$14,STAND.PARAMS!$K$209:$U$264,6)*IO.CONTROL!$F$45))</f>
        <v>-1615631.2364999999</v>
      </c>
      <c r="M116" s="72">
        <f>IF(IO.CONTROL!$C$14&gt;$B116,0,((VLOOKUP($B116-IO.CONTROL!$C$14,STAND.PARAMS!$K$209:$U$264,7)*IO.CONTROL!$F$53*IO.CONTROL!$F$45+VLOOKUP($B116-IO.CONTROL!$C$14,STAND.PARAMS!$K$209:$U$264,8)*IO.CONTROL!$F$54*IO.CONTROL!$F$46+VLOOKUP($B116-IO.CONTROL!$C$14,STAND.PARAMS!$K$209:$U$264,9)*IO.CONTROL!$F$55*IO.CONTROL!$F$47+VLOOKUP($B116-IO.CONTROL!$C$14,STAND.PARAMS!$K$209:$U$264,10)*IO.CONTROL!$F$56*IO.CONTROL!$F$48+VLOOKUP($B116-IO.CONTROL!$C$14,STAND.PARAMS!$K$209:$U$264,11)*IO.CONTROL!$F$57*IO.CONTROL!$F$49)))</f>
        <v>-1201319.5705124999</v>
      </c>
      <c r="N116" s="72">
        <f t="shared" si="0"/>
        <v>-12925162.8940215</v>
      </c>
      <c r="O116" s="73">
        <f>IF(IO.CONTROL!$C$14&gt;$B116,0,((VLOOKUP($B116-IO.CONTROL!$C$14,STAND.PARAMS!$K$209:$U$264,7)*IO.CONTROL!$F$53+VLOOKUP($B116-IO.CONTROL!$C$14,STAND.PARAMS!$K$209:$U$264,8)*IO.CONTROL!$F$54+VLOOKUP($B116-IO.CONTROL!$C$14,STAND.PARAMS!$K$209:$U$264,9)*IO.CONTROL!$F$55+VLOOKUP($B116-IO.CONTROL!$C$14,STAND.PARAMS!$K$209:$U$264,10)*IO.CONTROL!$F$56+VLOOKUP($B116-IO.CONTROL!$C$14,STAND.PARAMS!$K$209:$U$264,11)*IO.CONTROL!$F$57)))</f>
        <v>40043985.683749996</v>
      </c>
      <c r="P116" s="72">
        <f t="shared" si="4"/>
        <v>-12925162.8940215</v>
      </c>
      <c r="Q116" s="110">
        <f t="shared" si="5"/>
        <v>40043985.683749996</v>
      </c>
      <c r="R116" s="114"/>
      <c r="S116" s="72"/>
      <c r="T116" s="72"/>
      <c r="U116" s="72"/>
      <c r="V116" s="72"/>
      <c r="W116" s="72"/>
      <c r="X116" s="72"/>
      <c r="Y116" s="110"/>
      <c r="Z116" s="72">
        <f t="shared" si="1"/>
        <v>-12925162.8940215</v>
      </c>
      <c r="AA116" s="72">
        <f>Z116/(1+IO.CONTROL!$C$13)^AF116</f>
        <v>-1131410.040484023</v>
      </c>
      <c r="AB116" s="72">
        <f t="shared" si="2"/>
        <v>40043985.683749996</v>
      </c>
      <c r="AC116" s="72">
        <f>AB116/(1+IO.CONTROL!$C$13)^AF116</f>
        <v>3505268.5861738324</v>
      </c>
      <c r="AD116" s="72">
        <f t="shared" si="3"/>
        <v>27118822.789728496</v>
      </c>
      <c r="AE116" s="72">
        <f>AD116/(1+IO.CONTROL!$C$13)^B116</f>
        <v>2373858.5456898091</v>
      </c>
      <c r="AF116" s="10">
        <v>36</v>
      </c>
      <c r="AG116" s="121"/>
    </row>
    <row r="117" spans="2:33" x14ac:dyDescent="0.25">
      <c r="B117" s="9">
        <v>37</v>
      </c>
      <c r="C117" s="72">
        <f>IF(IO.CONTROL!$C$14&gt;$B117,0,STAND.PARAMS!$K$166*IO.CONTROL!$F$19)</f>
        <v>-83884.455000000002</v>
      </c>
      <c r="D117" s="72">
        <f>IF(IO.CONTROL!$C$14&gt;$B117,0,STAND.PARAMS!$K$166*IO.CONTROL!$F$20)</f>
        <v>-128622.83099999999</v>
      </c>
      <c r="E117" s="72">
        <f>IF(IO.CONTROL!$C$14&gt;$B117,0,(VLOOKUP($B117-IO.CONTROL!$C$14,STAND.PARAMS!$K$209:$U$264,7)+VLOOKUP($B117-IO.CONTROL!$C$14,STAND.PARAMS!$K$209:$U$264,8)+VLOOKUP($B117-IO.CONTROL!$C$14,STAND.PARAMS!$K$209:$U$264,9)+VLOOKUP($B117-IO.CONTROL!$C$14,STAND.PARAMS!$K$209:$U$264,10)+VLOOKUP($B117-IO.CONTROL!$C$14,STAND.PARAMS!$K$209:$U$264,11))*IO.CONTROL!$F$21)</f>
        <v>-4701518.1759989997</v>
      </c>
      <c r="F117" s="72">
        <f>IF(IO.CONTROL!$C$14&gt;$B117,0,VLOOKUP($B117-IO.CONTROL!$C$14,STAND.PARAMS!$K$209:$U$264,6)*IO.CONTROL!$F$22)</f>
        <v>-3437864.5807500002</v>
      </c>
      <c r="G117" s="72">
        <f>IF(IO.CONTROL!$C$14&gt;$B117,0,(STAND.PARAMS!$C$19/IO.CONTROL!$C$10)*10*IO.CONTROL!$F$23)</f>
        <v>-209711.13749999998</v>
      </c>
      <c r="H117" s="72">
        <f>IF(IO.CONTROL!$C$14&gt;$B117,0,(STAND.PARAMS!$C$19-(STAND.PARAMS!$C$19/IO.CONTROL!$C$10)*10)*IO.CONTROL!$F$24)</f>
        <v>-310372.48350000003</v>
      </c>
      <c r="I117" s="72">
        <f>IF(IO.CONTROL!$C$14&gt;$B117,0,(VLOOKUP($B117-IO.CONTROL!$C$14,STAND.PARAMS!$K$209:$U$264,3)*IO.CONTROL!$F$26+VLOOKUP($B117-IO.CONTROL!$C$14,STAND.PARAMS!$K$209:$U$264,4)*IO.CONTROL!$F$27+VLOOKUP($B117-IO.CONTROL!$C$14,STAND.PARAMS!$K$209:$U$264,5)*IO.CONTROL!$F$28+VLOOKUP($B117-IO.CONTROL!$C$14,STAND.PARAMS!$K$209:$U$264,6)*IO.CONTROL!$F$29))</f>
        <v>-53077.621950000008</v>
      </c>
      <c r="J117" s="72">
        <f>IF(IO.CONTROL!$C$14&gt;$B117,0,(VLOOKUP($B117-IO.CONTROL!$C$14,STAND.PARAMS!$K$209:$U$264,3)*IO.CONTROL!$F$31+VLOOKUP($B117-IO.CONTROL!$C$14,STAND.PARAMS!$K$209:$U$264,4)*IO.CONTROL!$F$32+VLOOKUP($B117-IO.CONTROL!$C$14,STAND.PARAMS!$K$209:$U$264,5)*IO.CONTROL!$F$33+VLOOKUP($B117-IO.CONTROL!$C$14,STAND.PARAMS!$K$209:$U$264,6)*IO.CONTROL!$F$34))</f>
        <v>-710960.7782249999</v>
      </c>
      <c r="K117" s="72">
        <f>IF(IO.CONTROL!$C$14&gt;$B117,0,(VLOOKUP($B117-IO.CONTROL!$C$14,STAND.PARAMS!$K$209:$U$264,8)*IO.CONTROL!$F$36+VLOOKUP($B117-IO.CONTROL!$C$14,STAND.PARAMS!$K$209:$U$264,9)*IO.CONTROL!$F$37+VLOOKUP($B117-IO.CONTROL!$C$14,STAND.PARAMS!$K$209:$U$264,10)*IO.CONTROL!$F$38+VLOOKUP($B117-IO.CONTROL!$C$14,STAND.PARAMS!$K$209:$U$264,11)*IO.CONTROL!$F$39))</f>
        <v>-472200.02308499999</v>
      </c>
      <c r="L117" s="72">
        <f>IF(IO.CONTROL!$C$14&gt;$B117,0,(VLOOKUP($B117-IO.CONTROL!$C$14,STAND.PARAMS!$K$209:$U$264,2)*IO.CONTROL!$F$41+VLOOKUP($B117-IO.CONTROL!$C$14,STAND.PARAMS!$K$209:$U$264,3)*IO.CONTROL!$F$42+VLOOKUP($B117-IO.CONTROL!$C$14,STAND.PARAMS!$K$209:$U$264,4)*IO.CONTROL!$F$43+VLOOKUP($B117-IO.CONTROL!$C$14,STAND.PARAMS!$K$209:$U$264,5)*IO.CONTROL!$F$44+VLOOKUP($B117-IO.CONTROL!$C$14,STAND.PARAMS!$K$209:$U$264,6)*IO.CONTROL!$F$45))</f>
        <v>-1615631.2364999999</v>
      </c>
      <c r="M117" s="72">
        <f>IF(IO.CONTROL!$C$14&gt;$B117,0,((VLOOKUP($B117-IO.CONTROL!$C$14,STAND.PARAMS!$K$209:$U$264,7)*IO.CONTROL!$F$53*IO.CONTROL!$F$45+VLOOKUP($B117-IO.CONTROL!$C$14,STAND.PARAMS!$K$209:$U$264,8)*IO.CONTROL!$F$54*IO.CONTROL!$F$46+VLOOKUP($B117-IO.CONTROL!$C$14,STAND.PARAMS!$K$209:$U$264,9)*IO.CONTROL!$F$55*IO.CONTROL!$F$47+VLOOKUP($B117-IO.CONTROL!$C$14,STAND.PARAMS!$K$209:$U$264,10)*IO.CONTROL!$F$56*IO.CONTROL!$F$48+VLOOKUP($B117-IO.CONTROL!$C$14,STAND.PARAMS!$K$209:$U$264,11)*IO.CONTROL!$F$57*IO.CONTROL!$F$49)))</f>
        <v>-1201319.5705124999</v>
      </c>
      <c r="N117" s="72">
        <f t="shared" si="0"/>
        <v>-12925162.8940215</v>
      </c>
      <c r="O117" s="73">
        <f>IF(IO.CONTROL!$C$14&gt;$B117,0,((VLOOKUP($B117-IO.CONTROL!$C$14,STAND.PARAMS!$K$209:$U$264,7)*IO.CONTROL!$F$53+VLOOKUP($B117-IO.CONTROL!$C$14,STAND.PARAMS!$K$209:$U$264,8)*IO.CONTROL!$F$54+VLOOKUP($B117-IO.CONTROL!$C$14,STAND.PARAMS!$K$209:$U$264,9)*IO.CONTROL!$F$55+VLOOKUP($B117-IO.CONTROL!$C$14,STAND.PARAMS!$K$209:$U$264,10)*IO.CONTROL!$F$56+VLOOKUP($B117-IO.CONTROL!$C$14,STAND.PARAMS!$K$209:$U$264,11)*IO.CONTROL!$F$57)))</f>
        <v>40043985.683749996</v>
      </c>
      <c r="P117" s="72">
        <f t="shared" si="4"/>
        <v>-12925162.8940215</v>
      </c>
      <c r="Q117" s="110">
        <f t="shared" si="5"/>
        <v>40043985.683749996</v>
      </c>
      <c r="R117" s="114"/>
      <c r="S117" s="72"/>
      <c r="T117" s="72"/>
      <c r="U117" s="72"/>
      <c r="V117" s="72"/>
      <c r="W117" s="72"/>
      <c r="X117" s="72"/>
      <c r="Y117" s="110"/>
      <c r="Z117" s="72">
        <f t="shared" si="1"/>
        <v>-12925162.8940215</v>
      </c>
      <c r="AA117" s="72">
        <f>Z117/(1+IO.CONTROL!$C$13)^AF117</f>
        <v>-1057392.5612000215</v>
      </c>
      <c r="AB117" s="72">
        <f t="shared" si="2"/>
        <v>40043985.683749996</v>
      </c>
      <c r="AC117" s="72">
        <f>AB117/(1+IO.CONTROL!$C$13)^AF117</f>
        <v>3275951.9496951699</v>
      </c>
      <c r="AD117" s="72">
        <f t="shared" si="3"/>
        <v>27118822.789728496</v>
      </c>
      <c r="AE117" s="72">
        <f>AD117/(1+IO.CONTROL!$C$13)^B117</f>
        <v>2218559.3884951486</v>
      </c>
      <c r="AF117" s="10">
        <v>37</v>
      </c>
      <c r="AG117" s="121"/>
    </row>
    <row r="118" spans="2:33" x14ac:dyDescent="0.25">
      <c r="B118" s="9">
        <v>38</v>
      </c>
      <c r="C118" s="72">
        <f>IF(IO.CONTROL!$C$14&gt;$B118,0,STAND.PARAMS!$K$166*IO.CONTROL!$F$19)</f>
        <v>-83884.455000000002</v>
      </c>
      <c r="D118" s="72">
        <f>IF(IO.CONTROL!$C$14&gt;$B118,0,STAND.PARAMS!$K$166*IO.CONTROL!$F$20)</f>
        <v>-128622.83099999999</v>
      </c>
      <c r="E118" s="72">
        <f>IF(IO.CONTROL!$C$14&gt;$B118,0,(VLOOKUP($B118-IO.CONTROL!$C$14,STAND.PARAMS!$K$209:$U$264,7)+VLOOKUP($B118-IO.CONTROL!$C$14,STAND.PARAMS!$K$209:$U$264,8)+VLOOKUP($B118-IO.CONTROL!$C$14,STAND.PARAMS!$K$209:$U$264,9)+VLOOKUP($B118-IO.CONTROL!$C$14,STAND.PARAMS!$K$209:$U$264,10)+VLOOKUP($B118-IO.CONTROL!$C$14,STAND.PARAMS!$K$209:$U$264,11))*IO.CONTROL!$F$21)</f>
        <v>-3718950.4722239999</v>
      </c>
      <c r="F118" s="72">
        <f>IF(IO.CONTROL!$C$14&gt;$B118,0,VLOOKUP($B118-IO.CONTROL!$C$14,STAND.PARAMS!$K$209:$U$264,6)*IO.CONTROL!$F$22)</f>
        <v>-3437864.5807500002</v>
      </c>
      <c r="G118" s="72">
        <f>IF(IO.CONTROL!$C$14&gt;$B118,0,(STAND.PARAMS!$C$19/IO.CONTROL!$C$10)*10*IO.CONTROL!$F$23)</f>
        <v>-209711.13749999998</v>
      </c>
      <c r="H118" s="72">
        <f>IF(IO.CONTROL!$C$14&gt;$B118,0,(STAND.PARAMS!$C$19-(STAND.PARAMS!$C$19/IO.CONTROL!$C$10)*10)*IO.CONTROL!$F$24)</f>
        <v>-310372.48350000003</v>
      </c>
      <c r="I118" s="72">
        <f>IF(IO.CONTROL!$C$14&gt;$B118,0,(VLOOKUP($B118-IO.CONTROL!$C$14,STAND.PARAMS!$K$209:$U$264,3)*IO.CONTROL!$F$26+VLOOKUP($B118-IO.CONTROL!$C$14,STAND.PARAMS!$K$209:$U$264,4)*IO.CONTROL!$F$27+VLOOKUP($B118-IO.CONTROL!$C$14,STAND.PARAMS!$K$209:$U$264,5)*IO.CONTROL!$F$28+VLOOKUP($B118-IO.CONTROL!$C$14,STAND.PARAMS!$K$209:$U$264,6)*IO.CONTROL!$F$29))</f>
        <v>-33689.000700000004</v>
      </c>
      <c r="J118" s="72">
        <f>IF(IO.CONTROL!$C$14&gt;$B118,0,(VLOOKUP($B118-IO.CONTROL!$C$14,STAND.PARAMS!$K$209:$U$264,3)*IO.CONTROL!$F$31+VLOOKUP($B118-IO.CONTROL!$C$14,STAND.PARAMS!$K$209:$U$264,4)*IO.CONTROL!$F$32+VLOOKUP($B118-IO.CONTROL!$C$14,STAND.PARAMS!$K$209:$U$264,5)*IO.CONTROL!$F$33+VLOOKUP($B118-IO.CONTROL!$C$14,STAND.PARAMS!$K$209:$U$264,6)*IO.CONTROL!$F$34))</f>
        <v>-451255.29884999996</v>
      </c>
      <c r="K118" s="72">
        <f>IF(IO.CONTROL!$C$14&gt;$B118,0,(VLOOKUP($B118-IO.CONTROL!$C$14,STAND.PARAMS!$K$209:$U$264,8)*IO.CONTROL!$F$36+VLOOKUP($B118-IO.CONTROL!$C$14,STAND.PARAMS!$K$209:$U$264,9)*IO.CONTROL!$F$37+VLOOKUP($B118-IO.CONTROL!$C$14,STAND.PARAMS!$K$209:$U$264,10)*IO.CONTROL!$F$38+VLOOKUP($B118-IO.CONTROL!$C$14,STAND.PARAMS!$K$209:$U$264,11)*IO.CONTROL!$F$39))</f>
        <v>-367671.54395999998</v>
      </c>
      <c r="L118" s="72">
        <f>IF(IO.CONTROL!$C$14&gt;$B118,0,(VLOOKUP($B118-IO.CONTROL!$C$14,STAND.PARAMS!$K$209:$U$264,2)*IO.CONTROL!$F$41+VLOOKUP($B118-IO.CONTROL!$C$14,STAND.PARAMS!$K$209:$U$264,3)*IO.CONTROL!$F$42+VLOOKUP($B118-IO.CONTROL!$C$14,STAND.PARAMS!$K$209:$U$264,4)*IO.CONTROL!$F$43+VLOOKUP($B118-IO.CONTROL!$C$14,STAND.PARAMS!$K$209:$U$264,5)*IO.CONTROL!$F$44+VLOOKUP($B118-IO.CONTROL!$C$14,STAND.PARAMS!$K$209:$U$264,6)*IO.CONTROL!$F$45))</f>
        <v>-1025468.8177499999</v>
      </c>
      <c r="M118" s="72">
        <f>IF(IO.CONTROL!$C$14&gt;$B118,0,((VLOOKUP($B118-IO.CONTROL!$C$14,STAND.PARAMS!$K$209:$U$264,7)*IO.CONTROL!$F$53*IO.CONTROL!$F$45+VLOOKUP($B118-IO.CONTROL!$C$14,STAND.PARAMS!$K$209:$U$264,8)*IO.CONTROL!$F$54*IO.CONTROL!$F$46+VLOOKUP($B118-IO.CONTROL!$C$14,STAND.PARAMS!$K$209:$U$264,9)*IO.CONTROL!$F$55*IO.CONTROL!$F$47+VLOOKUP($B118-IO.CONTROL!$C$14,STAND.PARAMS!$K$209:$U$264,10)*IO.CONTROL!$F$56*IO.CONTROL!$F$48+VLOOKUP($B118-IO.CONTROL!$C$14,STAND.PARAMS!$K$209:$U$264,11)*IO.CONTROL!$F$57*IO.CONTROL!$F$49)))</f>
        <v>-1120781.2341374997</v>
      </c>
      <c r="N118" s="72">
        <f t="shared" si="0"/>
        <v>-10888271.855371499</v>
      </c>
      <c r="O118" s="73">
        <f>IF(IO.CONTROL!$C$14&gt;$B118,0,((VLOOKUP($B118-IO.CONTROL!$C$14,STAND.PARAMS!$K$209:$U$264,7)*IO.CONTROL!$F$53+VLOOKUP($B118-IO.CONTROL!$C$14,STAND.PARAMS!$K$209:$U$264,8)*IO.CONTROL!$F$54+VLOOKUP($B118-IO.CONTROL!$C$14,STAND.PARAMS!$K$209:$U$264,9)*IO.CONTROL!$F$55+VLOOKUP($B118-IO.CONTROL!$C$14,STAND.PARAMS!$K$209:$U$264,10)*IO.CONTROL!$F$56+VLOOKUP($B118-IO.CONTROL!$C$14,STAND.PARAMS!$K$209:$U$264,11)*IO.CONTROL!$F$57)))</f>
        <v>37359374.471249998</v>
      </c>
      <c r="P118" s="72">
        <f t="shared" si="4"/>
        <v>-10888271.855371499</v>
      </c>
      <c r="Q118" s="110">
        <f t="shared" si="5"/>
        <v>37359374.471249998</v>
      </c>
      <c r="R118" s="114"/>
      <c r="S118" s="72"/>
      <c r="T118" s="72"/>
      <c r="U118" s="72"/>
      <c r="V118" s="72"/>
      <c r="W118" s="72"/>
      <c r="X118" s="72"/>
      <c r="Y118" s="110"/>
      <c r="Z118" s="72">
        <f t="shared" si="1"/>
        <v>-10888271.855371499</v>
      </c>
      <c r="AA118" s="72">
        <f>Z118/(1+IO.CONTROL!$C$13)^AF118</f>
        <v>-832483.05755522614</v>
      </c>
      <c r="AB118" s="72">
        <f t="shared" si="2"/>
        <v>37359374.471249998</v>
      </c>
      <c r="AC118" s="72">
        <f>AB118/(1+IO.CONTROL!$C$13)^AF118</f>
        <v>2856380.3973018741</v>
      </c>
      <c r="AD118" s="72">
        <f t="shared" si="3"/>
        <v>26471102.6158785</v>
      </c>
      <c r="AE118" s="72">
        <f>AD118/(1+IO.CONTROL!$C$13)^B118</f>
        <v>2023897.3397466482</v>
      </c>
      <c r="AF118" s="10">
        <v>38</v>
      </c>
      <c r="AG118" s="121"/>
    </row>
    <row r="119" spans="2:33" x14ac:dyDescent="0.25">
      <c r="B119" s="9">
        <v>39</v>
      </c>
      <c r="C119" s="72">
        <f>IF(IO.CONTROL!$C$14&gt;$B119,0,STAND.PARAMS!$K$166*IO.CONTROL!$F$19)</f>
        <v>-83884.455000000002</v>
      </c>
      <c r="D119" s="72">
        <f>IF(IO.CONTROL!$C$14&gt;$B119,0,STAND.PARAMS!$K$166*IO.CONTROL!$F$20)</f>
        <v>-128622.83099999999</v>
      </c>
      <c r="E119" s="72">
        <f>IF(IO.CONTROL!$C$14&gt;$B119,0,(VLOOKUP($B119-IO.CONTROL!$C$14,STAND.PARAMS!$K$209:$U$264,7)+VLOOKUP($B119-IO.CONTROL!$C$14,STAND.PARAMS!$K$209:$U$264,8)+VLOOKUP($B119-IO.CONTROL!$C$14,STAND.PARAMS!$K$209:$U$264,9)+VLOOKUP($B119-IO.CONTROL!$C$14,STAND.PARAMS!$K$209:$U$264,10)+VLOOKUP($B119-IO.CONTROL!$C$14,STAND.PARAMS!$K$209:$U$264,11))*IO.CONTROL!$F$21)</f>
        <v>-3718950.4722239999</v>
      </c>
      <c r="F119" s="72">
        <f>IF(IO.CONTROL!$C$14&gt;$B119,0,VLOOKUP($B119-IO.CONTROL!$C$14,STAND.PARAMS!$K$209:$U$264,6)*IO.CONTROL!$F$22)</f>
        <v>-3437864.5807500002</v>
      </c>
      <c r="G119" s="72">
        <f>IF(IO.CONTROL!$C$14&gt;$B119,0,(STAND.PARAMS!$C$19/IO.CONTROL!$C$10)*10*IO.CONTROL!$F$23)</f>
        <v>-209711.13749999998</v>
      </c>
      <c r="H119" s="72">
        <f>IF(IO.CONTROL!$C$14&gt;$B119,0,(STAND.PARAMS!$C$19-(STAND.PARAMS!$C$19/IO.CONTROL!$C$10)*10)*IO.CONTROL!$F$24)</f>
        <v>-310372.48350000003</v>
      </c>
      <c r="I119" s="72">
        <f>IF(IO.CONTROL!$C$14&gt;$B119,0,(VLOOKUP($B119-IO.CONTROL!$C$14,STAND.PARAMS!$K$209:$U$264,3)*IO.CONTROL!$F$26+VLOOKUP($B119-IO.CONTROL!$C$14,STAND.PARAMS!$K$209:$U$264,4)*IO.CONTROL!$F$27+VLOOKUP($B119-IO.CONTROL!$C$14,STAND.PARAMS!$K$209:$U$264,5)*IO.CONTROL!$F$28+VLOOKUP($B119-IO.CONTROL!$C$14,STAND.PARAMS!$K$209:$U$264,6)*IO.CONTROL!$F$29))</f>
        <v>-33689.000700000004</v>
      </c>
      <c r="J119" s="72">
        <f>IF(IO.CONTROL!$C$14&gt;$B119,0,(VLOOKUP($B119-IO.CONTROL!$C$14,STAND.PARAMS!$K$209:$U$264,3)*IO.CONTROL!$F$31+VLOOKUP($B119-IO.CONTROL!$C$14,STAND.PARAMS!$K$209:$U$264,4)*IO.CONTROL!$F$32+VLOOKUP($B119-IO.CONTROL!$C$14,STAND.PARAMS!$K$209:$U$264,5)*IO.CONTROL!$F$33+VLOOKUP($B119-IO.CONTROL!$C$14,STAND.PARAMS!$K$209:$U$264,6)*IO.CONTROL!$F$34))</f>
        <v>-451255.29884999996</v>
      </c>
      <c r="K119" s="72">
        <f>IF(IO.CONTROL!$C$14&gt;$B119,0,(VLOOKUP($B119-IO.CONTROL!$C$14,STAND.PARAMS!$K$209:$U$264,8)*IO.CONTROL!$F$36+VLOOKUP($B119-IO.CONTROL!$C$14,STAND.PARAMS!$K$209:$U$264,9)*IO.CONTROL!$F$37+VLOOKUP($B119-IO.CONTROL!$C$14,STAND.PARAMS!$K$209:$U$264,10)*IO.CONTROL!$F$38+VLOOKUP($B119-IO.CONTROL!$C$14,STAND.PARAMS!$K$209:$U$264,11)*IO.CONTROL!$F$39))</f>
        <v>-367671.54395999998</v>
      </c>
      <c r="L119" s="72">
        <f>IF(IO.CONTROL!$C$14&gt;$B119,0,(VLOOKUP($B119-IO.CONTROL!$C$14,STAND.PARAMS!$K$209:$U$264,2)*IO.CONTROL!$F$41+VLOOKUP($B119-IO.CONTROL!$C$14,STAND.PARAMS!$K$209:$U$264,3)*IO.CONTROL!$F$42+VLOOKUP($B119-IO.CONTROL!$C$14,STAND.PARAMS!$K$209:$U$264,4)*IO.CONTROL!$F$43+VLOOKUP($B119-IO.CONTROL!$C$14,STAND.PARAMS!$K$209:$U$264,5)*IO.CONTROL!$F$44+VLOOKUP($B119-IO.CONTROL!$C$14,STAND.PARAMS!$K$209:$U$264,6)*IO.CONTROL!$F$45))</f>
        <v>-1025468.8177499999</v>
      </c>
      <c r="M119" s="72">
        <f>IF(IO.CONTROL!$C$14&gt;$B119,0,((VLOOKUP($B119-IO.CONTROL!$C$14,STAND.PARAMS!$K$209:$U$264,7)*IO.CONTROL!$F$53*IO.CONTROL!$F$45+VLOOKUP($B119-IO.CONTROL!$C$14,STAND.PARAMS!$K$209:$U$264,8)*IO.CONTROL!$F$54*IO.CONTROL!$F$46+VLOOKUP($B119-IO.CONTROL!$C$14,STAND.PARAMS!$K$209:$U$264,9)*IO.CONTROL!$F$55*IO.CONTROL!$F$47+VLOOKUP($B119-IO.CONTROL!$C$14,STAND.PARAMS!$K$209:$U$264,10)*IO.CONTROL!$F$56*IO.CONTROL!$F$48+VLOOKUP($B119-IO.CONTROL!$C$14,STAND.PARAMS!$K$209:$U$264,11)*IO.CONTROL!$F$57*IO.CONTROL!$F$49)))</f>
        <v>-1120781.2341374997</v>
      </c>
      <c r="N119" s="72">
        <f t="shared" si="0"/>
        <v>-10888271.855371499</v>
      </c>
      <c r="O119" s="73">
        <f>IF(IO.CONTROL!$C$14&gt;$B119,0,((VLOOKUP($B119-IO.CONTROL!$C$14,STAND.PARAMS!$K$209:$U$264,7)*IO.CONTROL!$F$53+VLOOKUP($B119-IO.CONTROL!$C$14,STAND.PARAMS!$K$209:$U$264,8)*IO.CONTROL!$F$54+VLOOKUP($B119-IO.CONTROL!$C$14,STAND.PARAMS!$K$209:$U$264,9)*IO.CONTROL!$F$55+VLOOKUP($B119-IO.CONTROL!$C$14,STAND.PARAMS!$K$209:$U$264,10)*IO.CONTROL!$F$56+VLOOKUP($B119-IO.CONTROL!$C$14,STAND.PARAMS!$K$209:$U$264,11)*IO.CONTROL!$F$57)))</f>
        <v>37359374.471249998</v>
      </c>
      <c r="P119" s="72">
        <f t="shared" si="4"/>
        <v>-10888271.855371499</v>
      </c>
      <c r="Q119" s="110">
        <f t="shared" si="5"/>
        <v>37359374.471249998</v>
      </c>
      <c r="R119" s="114"/>
      <c r="S119" s="72"/>
      <c r="T119" s="72"/>
      <c r="U119" s="72"/>
      <c r="V119" s="72"/>
      <c r="W119" s="72"/>
      <c r="X119" s="72"/>
      <c r="Y119" s="110"/>
      <c r="Z119" s="72">
        <f t="shared" si="1"/>
        <v>-10888271.855371499</v>
      </c>
      <c r="AA119" s="72">
        <f>Z119/(1+IO.CONTROL!$C$13)^AF119</f>
        <v>-778021.54911703372</v>
      </c>
      <c r="AB119" s="72">
        <f t="shared" si="2"/>
        <v>37359374.471249998</v>
      </c>
      <c r="AC119" s="72">
        <f>AB119/(1+IO.CONTROL!$C$13)^AF119</f>
        <v>2669514.3900017515</v>
      </c>
      <c r="AD119" s="72">
        <f t="shared" si="3"/>
        <v>26471102.6158785</v>
      </c>
      <c r="AE119" s="72">
        <f>AD119/(1+IO.CONTROL!$C$13)^B119</f>
        <v>1891492.8408847179</v>
      </c>
      <c r="AF119" s="10">
        <v>39</v>
      </c>
      <c r="AG119" s="121"/>
    </row>
    <row r="120" spans="2:33" x14ac:dyDescent="0.25">
      <c r="B120" s="9">
        <v>40</v>
      </c>
      <c r="C120" s="72">
        <f>IF(IO.CONTROL!$C$14&gt;$B120,0,STAND.PARAMS!$K$166*IO.CONTROL!$F$19)</f>
        <v>-83884.455000000002</v>
      </c>
      <c r="D120" s="72">
        <f>IF(IO.CONTROL!$C$14&gt;$B120,0,STAND.PARAMS!$K$166*IO.CONTROL!$F$20)</f>
        <v>-128622.83099999999</v>
      </c>
      <c r="E120" s="72">
        <f>IF(IO.CONTROL!$C$14&gt;$B120,0,(VLOOKUP($B120-IO.CONTROL!$C$14,STAND.PARAMS!$K$209:$U$264,7)+VLOOKUP($B120-IO.CONTROL!$C$14,STAND.PARAMS!$K$209:$U$264,8)+VLOOKUP($B120-IO.CONTROL!$C$14,STAND.PARAMS!$K$209:$U$264,9)+VLOOKUP($B120-IO.CONTROL!$C$14,STAND.PARAMS!$K$209:$U$264,10)+VLOOKUP($B120-IO.CONTROL!$C$14,STAND.PARAMS!$K$209:$U$264,11))*IO.CONTROL!$F$21)</f>
        <v>-3718950.4722239999</v>
      </c>
      <c r="F120" s="72">
        <f>IF(IO.CONTROL!$C$14&gt;$B120,0,VLOOKUP($B120-IO.CONTROL!$C$14,STAND.PARAMS!$K$209:$U$264,6)*IO.CONTROL!$F$22)</f>
        <v>-3437864.5807500002</v>
      </c>
      <c r="G120" s="72">
        <f>IF(IO.CONTROL!$C$14&gt;$B120,0,(STAND.PARAMS!$C$19/IO.CONTROL!$C$10)*10*IO.CONTROL!$F$23)</f>
        <v>-209711.13749999998</v>
      </c>
      <c r="H120" s="72">
        <f>IF(IO.CONTROL!$C$14&gt;$B120,0,(STAND.PARAMS!$C$19-(STAND.PARAMS!$C$19/IO.CONTROL!$C$10)*10)*IO.CONTROL!$F$24)</f>
        <v>-310372.48350000003</v>
      </c>
      <c r="I120" s="72">
        <f>IF(IO.CONTROL!$C$14&gt;$B120,0,(VLOOKUP($B120-IO.CONTROL!$C$14,STAND.PARAMS!$K$209:$U$264,3)*IO.CONTROL!$F$26+VLOOKUP($B120-IO.CONTROL!$C$14,STAND.PARAMS!$K$209:$U$264,4)*IO.CONTROL!$F$27+VLOOKUP($B120-IO.CONTROL!$C$14,STAND.PARAMS!$K$209:$U$264,5)*IO.CONTROL!$F$28+VLOOKUP($B120-IO.CONTROL!$C$14,STAND.PARAMS!$K$209:$U$264,6)*IO.CONTROL!$F$29))</f>
        <v>-33689.000700000004</v>
      </c>
      <c r="J120" s="72">
        <f>IF(IO.CONTROL!$C$14&gt;$B120,0,(VLOOKUP($B120-IO.CONTROL!$C$14,STAND.PARAMS!$K$209:$U$264,3)*IO.CONTROL!$F$31+VLOOKUP($B120-IO.CONTROL!$C$14,STAND.PARAMS!$K$209:$U$264,4)*IO.CONTROL!$F$32+VLOOKUP($B120-IO.CONTROL!$C$14,STAND.PARAMS!$K$209:$U$264,5)*IO.CONTROL!$F$33+VLOOKUP($B120-IO.CONTROL!$C$14,STAND.PARAMS!$K$209:$U$264,6)*IO.CONTROL!$F$34))</f>
        <v>-451255.29884999996</v>
      </c>
      <c r="K120" s="72">
        <f>IF(IO.CONTROL!$C$14&gt;$B120,0,(VLOOKUP($B120-IO.CONTROL!$C$14,STAND.PARAMS!$K$209:$U$264,8)*IO.CONTROL!$F$36+VLOOKUP($B120-IO.CONTROL!$C$14,STAND.PARAMS!$K$209:$U$264,9)*IO.CONTROL!$F$37+VLOOKUP($B120-IO.CONTROL!$C$14,STAND.PARAMS!$K$209:$U$264,10)*IO.CONTROL!$F$38+VLOOKUP($B120-IO.CONTROL!$C$14,STAND.PARAMS!$K$209:$U$264,11)*IO.CONTROL!$F$39))</f>
        <v>-367671.54395999998</v>
      </c>
      <c r="L120" s="72">
        <f>IF(IO.CONTROL!$C$14&gt;$B120,0,(VLOOKUP($B120-IO.CONTROL!$C$14,STAND.PARAMS!$K$209:$U$264,2)*IO.CONTROL!$F$41+VLOOKUP($B120-IO.CONTROL!$C$14,STAND.PARAMS!$K$209:$U$264,3)*IO.CONTROL!$F$42+VLOOKUP($B120-IO.CONTROL!$C$14,STAND.PARAMS!$K$209:$U$264,4)*IO.CONTROL!$F$43+VLOOKUP($B120-IO.CONTROL!$C$14,STAND.PARAMS!$K$209:$U$264,5)*IO.CONTROL!$F$44+VLOOKUP($B120-IO.CONTROL!$C$14,STAND.PARAMS!$K$209:$U$264,6)*IO.CONTROL!$F$45))</f>
        <v>-1025468.8177499999</v>
      </c>
      <c r="M120" s="72">
        <f>IF(IO.CONTROL!$C$14&gt;$B120,0,((VLOOKUP($B120-IO.CONTROL!$C$14,STAND.PARAMS!$K$209:$U$264,7)*IO.CONTROL!$F$53*IO.CONTROL!$F$45+VLOOKUP($B120-IO.CONTROL!$C$14,STAND.PARAMS!$K$209:$U$264,8)*IO.CONTROL!$F$54*IO.CONTROL!$F$46+VLOOKUP($B120-IO.CONTROL!$C$14,STAND.PARAMS!$K$209:$U$264,9)*IO.CONTROL!$F$55*IO.CONTROL!$F$47+VLOOKUP($B120-IO.CONTROL!$C$14,STAND.PARAMS!$K$209:$U$264,10)*IO.CONTROL!$F$56*IO.CONTROL!$F$48+VLOOKUP($B120-IO.CONTROL!$C$14,STAND.PARAMS!$K$209:$U$264,11)*IO.CONTROL!$F$57*IO.CONTROL!$F$49)))</f>
        <v>-1120781.2341374997</v>
      </c>
      <c r="N120" s="72">
        <f t="shared" si="0"/>
        <v>-10888271.855371499</v>
      </c>
      <c r="O120" s="73">
        <f>IF(IO.CONTROL!$C$14&gt;$B120,0,((VLOOKUP($B120-IO.CONTROL!$C$14,STAND.PARAMS!$K$209:$U$264,7)*IO.CONTROL!$F$53+VLOOKUP($B120-IO.CONTROL!$C$14,STAND.PARAMS!$K$209:$U$264,8)*IO.CONTROL!$F$54+VLOOKUP($B120-IO.CONTROL!$C$14,STAND.PARAMS!$K$209:$U$264,9)*IO.CONTROL!$F$55+VLOOKUP($B120-IO.CONTROL!$C$14,STAND.PARAMS!$K$209:$U$264,10)*IO.CONTROL!$F$56+VLOOKUP($B120-IO.CONTROL!$C$14,STAND.PARAMS!$K$209:$U$264,11)*IO.CONTROL!$F$57)))</f>
        <v>37359374.471249998</v>
      </c>
      <c r="P120" s="72">
        <f t="shared" si="4"/>
        <v>-10888271.855371499</v>
      </c>
      <c r="Q120" s="110">
        <f t="shared" si="5"/>
        <v>37359374.471249998</v>
      </c>
      <c r="R120" s="114"/>
      <c r="S120" s="72"/>
      <c r="T120" s="72"/>
      <c r="U120" s="72"/>
      <c r="V120" s="72"/>
      <c r="W120" s="72"/>
      <c r="X120" s="72"/>
      <c r="Y120" s="110"/>
      <c r="Z120" s="72">
        <f t="shared" si="1"/>
        <v>-10888271.855371499</v>
      </c>
      <c r="AA120" s="72">
        <f>Z120/(1+IO.CONTROL!$C$13)^AF120</f>
        <v>-727122.94310003158</v>
      </c>
      <c r="AB120" s="72">
        <f t="shared" si="2"/>
        <v>37359374.471249998</v>
      </c>
      <c r="AC120" s="72">
        <f>AB120/(1+IO.CONTROL!$C$13)^AF120</f>
        <v>2494873.2616838799</v>
      </c>
      <c r="AD120" s="72">
        <f t="shared" si="3"/>
        <v>26471102.6158785</v>
      </c>
      <c r="AE120" s="72">
        <f>AD120/(1+IO.CONTROL!$C$13)^B120</f>
        <v>1767750.3185838484</v>
      </c>
      <c r="AF120" s="10">
        <v>40</v>
      </c>
      <c r="AG120" s="121"/>
    </row>
    <row r="121" spans="2:33" x14ac:dyDescent="0.25">
      <c r="B121" s="9">
        <v>41</v>
      </c>
      <c r="C121" s="72">
        <f>IF(IO.CONTROL!$C$14&gt;$B121,0,STAND.PARAMS!$K$166*IO.CONTROL!$F$19)</f>
        <v>-83884.455000000002</v>
      </c>
      <c r="D121" s="72">
        <f>IF(IO.CONTROL!$C$14&gt;$B121,0,STAND.PARAMS!$K$166*IO.CONTROL!$F$20)</f>
        <v>-128622.83099999999</v>
      </c>
      <c r="E121" s="72">
        <f>IF(IO.CONTROL!$C$14&gt;$B121,0,(VLOOKUP($B121-IO.CONTROL!$C$14,STAND.PARAMS!$K$209:$U$264,7)+VLOOKUP($B121-IO.CONTROL!$C$14,STAND.PARAMS!$K$209:$U$264,8)+VLOOKUP($B121-IO.CONTROL!$C$14,STAND.PARAMS!$K$209:$U$264,9)+VLOOKUP($B121-IO.CONTROL!$C$14,STAND.PARAMS!$K$209:$U$264,10)+VLOOKUP($B121-IO.CONTROL!$C$14,STAND.PARAMS!$K$209:$U$264,11))*IO.CONTROL!$F$21)</f>
        <v>-3718950.4722239999</v>
      </c>
      <c r="F121" s="72">
        <f>IF(IO.CONTROL!$C$14&gt;$B121,0,VLOOKUP($B121-IO.CONTROL!$C$14,STAND.PARAMS!$K$209:$U$264,6)*IO.CONTROL!$F$22)</f>
        <v>-3437864.5807500002</v>
      </c>
      <c r="G121" s="72">
        <f>IF(IO.CONTROL!$C$14&gt;$B121,0,(STAND.PARAMS!$C$19/IO.CONTROL!$C$10)*10*IO.CONTROL!$F$23)</f>
        <v>-209711.13749999998</v>
      </c>
      <c r="H121" s="72">
        <f>IF(IO.CONTROL!$C$14&gt;$B121,0,(STAND.PARAMS!$C$19-(STAND.PARAMS!$C$19/IO.CONTROL!$C$10)*10)*IO.CONTROL!$F$24)</f>
        <v>-310372.48350000003</v>
      </c>
      <c r="I121" s="72">
        <f>IF(IO.CONTROL!$C$14&gt;$B121,0,(VLOOKUP($B121-IO.CONTROL!$C$14,STAND.PARAMS!$K$209:$U$264,3)*IO.CONTROL!$F$26+VLOOKUP($B121-IO.CONTROL!$C$14,STAND.PARAMS!$K$209:$U$264,4)*IO.CONTROL!$F$27+VLOOKUP($B121-IO.CONTROL!$C$14,STAND.PARAMS!$K$209:$U$264,5)*IO.CONTROL!$F$28+VLOOKUP($B121-IO.CONTROL!$C$14,STAND.PARAMS!$K$209:$U$264,6)*IO.CONTROL!$F$29))</f>
        <v>-33689.000700000004</v>
      </c>
      <c r="J121" s="72">
        <f>IF(IO.CONTROL!$C$14&gt;$B121,0,(VLOOKUP($B121-IO.CONTROL!$C$14,STAND.PARAMS!$K$209:$U$264,3)*IO.CONTROL!$F$31+VLOOKUP($B121-IO.CONTROL!$C$14,STAND.PARAMS!$K$209:$U$264,4)*IO.CONTROL!$F$32+VLOOKUP($B121-IO.CONTROL!$C$14,STAND.PARAMS!$K$209:$U$264,5)*IO.CONTROL!$F$33+VLOOKUP($B121-IO.CONTROL!$C$14,STAND.PARAMS!$K$209:$U$264,6)*IO.CONTROL!$F$34))</f>
        <v>-451255.29884999996</v>
      </c>
      <c r="K121" s="72">
        <f>IF(IO.CONTROL!$C$14&gt;$B121,0,(VLOOKUP($B121-IO.CONTROL!$C$14,STAND.PARAMS!$K$209:$U$264,8)*IO.CONTROL!$F$36+VLOOKUP($B121-IO.CONTROL!$C$14,STAND.PARAMS!$K$209:$U$264,9)*IO.CONTROL!$F$37+VLOOKUP($B121-IO.CONTROL!$C$14,STAND.PARAMS!$K$209:$U$264,10)*IO.CONTROL!$F$38+VLOOKUP($B121-IO.CONTROL!$C$14,STAND.PARAMS!$K$209:$U$264,11)*IO.CONTROL!$F$39))</f>
        <v>-367671.54395999998</v>
      </c>
      <c r="L121" s="72">
        <f>IF(IO.CONTROL!$C$14&gt;$B121,0,(VLOOKUP($B121-IO.CONTROL!$C$14,STAND.PARAMS!$K$209:$U$264,2)*IO.CONTROL!$F$41+VLOOKUP($B121-IO.CONTROL!$C$14,STAND.PARAMS!$K$209:$U$264,3)*IO.CONTROL!$F$42+VLOOKUP($B121-IO.CONTROL!$C$14,STAND.PARAMS!$K$209:$U$264,4)*IO.CONTROL!$F$43+VLOOKUP($B121-IO.CONTROL!$C$14,STAND.PARAMS!$K$209:$U$264,5)*IO.CONTROL!$F$44+VLOOKUP($B121-IO.CONTROL!$C$14,STAND.PARAMS!$K$209:$U$264,6)*IO.CONTROL!$F$45))</f>
        <v>-1025468.8177499999</v>
      </c>
      <c r="M121" s="72">
        <f>IF(IO.CONTROL!$C$14&gt;$B121,0,((VLOOKUP($B121-IO.CONTROL!$C$14,STAND.PARAMS!$K$209:$U$264,7)*IO.CONTROL!$F$53*IO.CONTROL!$F$45+VLOOKUP($B121-IO.CONTROL!$C$14,STAND.PARAMS!$K$209:$U$264,8)*IO.CONTROL!$F$54*IO.CONTROL!$F$46+VLOOKUP($B121-IO.CONTROL!$C$14,STAND.PARAMS!$K$209:$U$264,9)*IO.CONTROL!$F$55*IO.CONTROL!$F$47+VLOOKUP($B121-IO.CONTROL!$C$14,STAND.PARAMS!$K$209:$U$264,10)*IO.CONTROL!$F$56*IO.CONTROL!$F$48+VLOOKUP($B121-IO.CONTROL!$C$14,STAND.PARAMS!$K$209:$U$264,11)*IO.CONTROL!$F$57*IO.CONTROL!$F$49)))</f>
        <v>-1120781.2341374997</v>
      </c>
      <c r="N121" s="72">
        <f t="shared" si="0"/>
        <v>-10888271.855371499</v>
      </c>
      <c r="O121" s="73">
        <f>IF(IO.CONTROL!$C$14&gt;$B121,0,((VLOOKUP($B121-IO.CONTROL!$C$14,STAND.PARAMS!$K$209:$U$264,7)*IO.CONTROL!$F$53+VLOOKUP($B121-IO.CONTROL!$C$14,STAND.PARAMS!$K$209:$U$264,8)*IO.CONTROL!$F$54+VLOOKUP($B121-IO.CONTROL!$C$14,STAND.PARAMS!$K$209:$U$264,9)*IO.CONTROL!$F$55+VLOOKUP($B121-IO.CONTROL!$C$14,STAND.PARAMS!$K$209:$U$264,10)*IO.CONTROL!$F$56+VLOOKUP($B121-IO.CONTROL!$C$14,STAND.PARAMS!$K$209:$U$264,11)*IO.CONTROL!$F$57)))</f>
        <v>37359374.471249998</v>
      </c>
      <c r="P121" s="72">
        <f t="shared" si="4"/>
        <v>-10888271.855371499</v>
      </c>
      <c r="Q121" s="110">
        <f t="shared" si="5"/>
        <v>37359374.471249998</v>
      </c>
      <c r="R121" s="114"/>
      <c r="S121" s="72"/>
      <c r="T121" s="72"/>
      <c r="U121" s="72"/>
      <c r="V121" s="72"/>
      <c r="W121" s="72"/>
      <c r="X121" s="72"/>
      <c r="Y121" s="110"/>
      <c r="Z121" s="72">
        <f t="shared" si="1"/>
        <v>-10888271.855371499</v>
      </c>
      <c r="AA121" s="72">
        <f>Z121/(1+IO.CONTROL!$C$13)^AF121</f>
        <v>-679554.15242993599</v>
      </c>
      <c r="AB121" s="72">
        <f t="shared" si="2"/>
        <v>37359374.471249998</v>
      </c>
      <c r="AC121" s="72">
        <f>AB121/(1+IO.CONTROL!$C$13)^AF121</f>
        <v>2331657.2539101681</v>
      </c>
      <c r="AD121" s="72">
        <f t="shared" si="3"/>
        <v>26471102.6158785</v>
      </c>
      <c r="AE121" s="72">
        <f>AD121/(1+IO.CONTROL!$C$13)^B121</f>
        <v>1652103.1014802321</v>
      </c>
      <c r="AF121" s="10">
        <v>41</v>
      </c>
      <c r="AG121" s="121"/>
    </row>
    <row r="122" spans="2:33" x14ac:dyDescent="0.25">
      <c r="B122" s="9">
        <v>42</v>
      </c>
      <c r="C122" s="72">
        <f>IF(IO.CONTROL!$C$14&gt;$B122,0,STAND.PARAMS!$K$166*IO.CONTROL!$F$19)</f>
        <v>-83884.455000000002</v>
      </c>
      <c r="D122" s="72">
        <f>IF(IO.CONTROL!$C$14&gt;$B122,0,STAND.PARAMS!$K$166*IO.CONTROL!$F$20)</f>
        <v>-128622.83099999999</v>
      </c>
      <c r="E122" s="72">
        <f>IF(IO.CONTROL!$C$14&gt;$B122,0,(VLOOKUP($B122-IO.CONTROL!$C$14,STAND.PARAMS!$K$209:$U$264,7)+VLOOKUP($B122-IO.CONTROL!$C$14,STAND.PARAMS!$K$209:$U$264,8)+VLOOKUP($B122-IO.CONTROL!$C$14,STAND.PARAMS!$K$209:$U$264,9)+VLOOKUP($B122-IO.CONTROL!$C$14,STAND.PARAMS!$K$209:$U$264,10)+VLOOKUP($B122-IO.CONTROL!$C$14,STAND.PARAMS!$K$209:$U$264,11))*IO.CONTROL!$F$21)</f>
        <v>-3718950.4722239999</v>
      </c>
      <c r="F122" s="72">
        <f>IF(IO.CONTROL!$C$14&gt;$B122,0,VLOOKUP($B122-IO.CONTROL!$C$14,STAND.PARAMS!$K$209:$U$264,6)*IO.CONTROL!$F$22)</f>
        <v>-3437864.5807500002</v>
      </c>
      <c r="G122" s="72">
        <f>IF(IO.CONTROL!$C$14&gt;$B122,0,(STAND.PARAMS!$C$19/IO.CONTROL!$C$10)*10*IO.CONTROL!$F$23)</f>
        <v>-209711.13749999998</v>
      </c>
      <c r="H122" s="72">
        <f>IF(IO.CONTROL!$C$14&gt;$B122,0,(STAND.PARAMS!$C$19-(STAND.PARAMS!$C$19/IO.CONTROL!$C$10)*10)*IO.CONTROL!$F$24)</f>
        <v>-310372.48350000003</v>
      </c>
      <c r="I122" s="72">
        <f>IF(IO.CONTROL!$C$14&gt;$B122,0,(VLOOKUP($B122-IO.CONTROL!$C$14,STAND.PARAMS!$K$209:$U$264,3)*IO.CONTROL!$F$26+VLOOKUP($B122-IO.CONTROL!$C$14,STAND.PARAMS!$K$209:$U$264,4)*IO.CONTROL!$F$27+VLOOKUP($B122-IO.CONTROL!$C$14,STAND.PARAMS!$K$209:$U$264,5)*IO.CONTROL!$F$28+VLOOKUP($B122-IO.CONTROL!$C$14,STAND.PARAMS!$K$209:$U$264,6)*IO.CONTROL!$F$29))</f>
        <v>-33689.000700000004</v>
      </c>
      <c r="J122" s="72">
        <f>IF(IO.CONTROL!$C$14&gt;$B122,0,(VLOOKUP($B122-IO.CONTROL!$C$14,STAND.PARAMS!$K$209:$U$264,3)*IO.CONTROL!$F$31+VLOOKUP($B122-IO.CONTROL!$C$14,STAND.PARAMS!$K$209:$U$264,4)*IO.CONTROL!$F$32+VLOOKUP($B122-IO.CONTROL!$C$14,STAND.PARAMS!$K$209:$U$264,5)*IO.CONTROL!$F$33+VLOOKUP($B122-IO.CONTROL!$C$14,STAND.PARAMS!$K$209:$U$264,6)*IO.CONTROL!$F$34))</f>
        <v>-451255.29884999996</v>
      </c>
      <c r="K122" s="72">
        <f>IF(IO.CONTROL!$C$14&gt;$B122,0,(VLOOKUP($B122-IO.CONTROL!$C$14,STAND.PARAMS!$K$209:$U$264,8)*IO.CONTROL!$F$36+VLOOKUP($B122-IO.CONTROL!$C$14,STAND.PARAMS!$K$209:$U$264,9)*IO.CONTROL!$F$37+VLOOKUP($B122-IO.CONTROL!$C$14,STAND.PARAMS!$K$209:$U$264,10)*IO.CONTROL!$F$38+VLOOKUP($B122-IO.CONTROL!$C$14,STAND.PARAMS!$K$209:$U$264,11)*IO.CONTROL!$F$39))</f>
        <v>-367671.54395999998</v>
      </c>
      <c r="L122" s="72">
        <f>IF(IO.CONTROL!$C$14&gt;$B122,0,(VLOOKUP($B122-IO.CONTROL!$C$14,STAND.PARAMS!$K$209:$U$264,2)*IO.CONTROL!$F$41+VLOOKUP($B122-IO.CONTROL!$C$14,STAND.PARAMS!$K$209:$U$264,3)*IO.CONTROL!$F$42+VLOOKUP($B122-IO.CONTROL!$C$14,STAND.PARAMS!$K$209:$U$264,4)*IO.CONTROL!$F$43+VLOOKUP($B122-IO.CONTROL!$C$14,STAND.PARAMS!$K$209:$U$264,5)*IO.CONTROL!$F$44+VLOOKUP($B122-IO.CONTROL!$C$14,STAND.PARAMS!$K$209:$U$264,6)*IO.CONTROL!$F$45))</f>
        <v>-1025468.8177499999</v>
      </c>
      <c r="M122" s="72">
        <f>IF(IO.CONTROL!$C$14&gt;$B122,0,((VLOOKUP($B122-IO.CONTROL!$C$14,STAND.PARAMS!$K$209:$U$264,7)*IO.CONTROL!$F$53*IO.CONTROL!$F$45+VLOOKUP($B122-IO.CONTROL!$C$14,STAND.PARAMS!$K$209:$U$264,8)*IO.CONTROL!$F$54*IO.CONTROL!$F$46+VLOOKUP($B122-IO.CONTROL!$C$14,STAND.PARAMS!$K$209:$U$264,9)*IO.CONTROL!$F$55*IO.CONTROL!$F$47+VLOOKUP($B122-IO.CONTROL!$C$14,STAND.PARAMS!$K$209:$U$264,10)*IO.CONTROL!$F$56*IO.CONTROL!$F$48+VLOOKUP($B122-IO.CONTROL!$C$14,STAND.PARAMS!$K$209:$U$264,11)*IO.CONTROL!$F$57*IO.CONTROL!$F$49)))</f>
        <v>-1120781.2341374997</v>
      </c>
      <c r="N122" s="72">
        <f t="shared" si="0"/>
        <v>-10888271.855371499</v>
      </c>
      <c r="O122" s="73">
        <f>IF(IO.CONTROL!$C$14&gt;$B122,0,((VLOOKUP($B122-IO.CONTROL!$C$14,STAND.PARAMS!$K$209:$U$264,7)*IO.CONTROL!$F$53+VLOOKUP($B122-IO.CONTROL!$C$14,STAND.PARAMS!$K$209:$U$264,8)*IO.CONTROL!$F$54+VLOOKUP($B122-IO.CONTROL!$C$14,STAND.PARAMS!$K$209:$U$264,9)*IO.CONTROL!$F$55+VLOOKUP($B122-IO.CONTROL!$C$14,STAND.PARAMS!$K$209:$U$264,10)*IO.CONTROL!$F$56+VLOOKUP($B122-IO.CONTROL!$C$14,STAND.PARAMS!$K$209:$U$264,11)*IO.CONTROL!$F$57)))</f>
        <v>37359374.471249998</v>
      </c>
      <c r="P122" s="72">
        <f t="shared" si="4"/>
        <v>-10888271.855371499</v>
      </c>
      <c r="Q122" s="110">
        <f t="shared" si="5"/>
        <v>37359374.471249998</v>
      </c>
      <c r="R122" s="114"/>
      <c r="S122" s="72"/>
      <c r="T122" s="72"/>
      <c r="U122" s="72"/>
      <c r="V122" s="72"/>
      <c r="W122" s="72"/>
      <c r="X122" s="72"/>
      <c r="Y122" s="110"/>
      <c r="Z122" s="72">
        <f t="shared" si="1"/>
        <v>-10888271.855371499</v>
      </c>
      <c r="AA122" s="72">
        <f>Z122/(1+IO.CONTROL!$C$13)^AF122</f>
        <v>-635097.33871956647</v>
      </c>
      <c r="AB122" s="72">
        <f t="shared" si="2"/>
        <v>37359374.471249998</v>
      </c>
      <c r="AC122" s="72">
        <f>AB122/(1+IO.CONTROL!$C$13)^AF122</f>
        <v>2179118.9288880075</v>
      </c>
      <c r="AD122" s="72">
        <f t="shared" si="3"/>
        <v>26471102.6158785</v>
      </c>
      <c r="AE122" s="72">
        <f>AD122/(1+IO.CONTROL!$C$13)^B122</f>
        <v>1544021.5901684414</v>
      </c>
      <c r="AF122" s="10">
        <v>42</v>
      </c>
      <c r="AG122" s="121"/>
    </row>
    <row r="123" spans="2:33" x14ac:dyDescent="0.25">
      <c r="B123" s="9">
        <v>43</v>
      </c>
      <c r="C123" s="72">
        <f>IF(IO.CONTROL!$C$14&gt;$B123,0,STAND.PARAMS!$K$166*IO.CONTROL!$F$19)</f>
        <v>-83884.455000000002</v>
      </c>
      <c r="D123" s="72">
        <f>IF(IO.CONTROL!$C$14&gt;$B123,0,STAND.PARAMS!$K$166*IO.CONTROL!$F$20)</f>
        <v>-128622.83099999999</v>
      </c>
      <c r="E123" s="72">
        <f>IF(IO.CONTROL!$C$14&gt;$B123,0,(VLOOKUP($B123-IO.CONTROL!$C$14,STAND.PARAMS!$K$209:$U$264,7)+VLOOKUP($B123-IO.CONTROL!$C$14,STAND.PARAMS!$K$209:$U$264,8)+VLOOKUP($B123-IO.CONTROL!$C$14,STAND.PARAMS!$K$209:$U$264,9)+VLOOKUP($B123-IO.CONTROL!$C$14,STAND.PARAMS!$K$209:$U$264,10)+VLOOKUP($B123-IO.CONTROL!$C$14,STAND.PARAMS!$K$209:$U$264,11))*IO.CONTROL!$F$21)</f>
        <v>-3950313.9318240006</v>
      </c>
      <c r="F123" s="72">
        <f>IF(IO.CONTROL!$C$14&gt;$B123,0,VLOOKUP($B123-IO.CONTROL!$C$14,STAND.PARAMS!$K$209:$U$264,6)*IO.CONTROL!$F$22)</f>
        <v>-3437864.5807500002</v>
      </c>
      <c r="G123" s="72">
        <f>IF(IO.CONTROL!$C$14&gt;$B123,0,(STAND.PARAMS!$C$19/IO.CONTROL!$C$10)*10*IO.CONTROL!$F$23)</f>
        <v>-209711.13749999998</v>
      </c>
      <c r="H123" s="72">
        <f>IF(IO.CONTROL!$C$14&gt;$B123,0,(STAND.PARAMS!$C$19-(STAND.PARAMS!$C$19/IO.CONTROL!$C$10)*10)*IO.CONTROL!$F$24)</f>
        <v>-310372.48350000003</v>
      </c>
      <c r="I123" s="72">
        <f>IF(IO.CONTROL!$C$14&gt;$B123,0,(VLOOKUP($B123-IO.CONTROL!$C$14,STAND.PARAMS!$K$209:$U$264,3)*IO.CONTROL!$F$26+VLOOKUP($B123-IO.CONTROL!$C$14,STAND.PARAMS!$K$209:$U$264,4)*IO.CONTROL!$F$27+VLOOKUP($B123-IO.CONTROL!$C$14,STAND.PARAMS!$K$209:$U$264,5)*IO.CONTROL!$F$28+VLOOKUP($B123-IO.CONTROL!$C$14,STAND.PARAMS!$K$209:$U$264,6)*IO.CONTROL!$F$29))</f>
        <v>-43710.062400000003</v>
      </c>
      <c r="J123" s="72">
        <f>IF(IO.CONTROL!$C$14&gt;$B123,0,(VLOOKUP($B123-IO.CONTROL!$C$14,STAND.PARAMS!$K$209:$U$264,3)*IO.CONTROL!$F$31+VLOOKUP($B123-IO.CONTROL!$C$14,STAND.PARAMS!$K$209:$U$264,4)*IO.CONTROL!$F$32+VLOOKUP($B123-IO.CONTROL!$C$14,STAND.PARAMS!$K$209:$U$264,5)*IO.CONTROL!$F$33+VLOOKUP($B123-IO.CONTROL!$C$14,STAND.PARAMS!$K$209:$U$264,6)*IO.CONTROL!$F$34))</f>
        <v>-585484.78319999995</v>
      </c>
      <c r="K123" s="72">
        <f>IF(IO.CONTROL!$C$14&gt;$B123,0,(VLOOKUP($B123-IO.CONTROL!$C$14,STAND.PARAMS!$K$209:$U$264,8)*IO.CONTROL!$F$36+VLOOKUP($B123-IO.CONTROL!$C$14,STAND.PARAMS!$K$209:$U$264,9)*IO.CONTROL!$F$37+VLOOKUP($B123-IO.CONTROL!$C$14,STAND.PARAMS!$K$209:$U$264,10)*IO.CONTROL!$F$38+VLOOKUP($B123-IO.CONTROL!$C$14,STAND.PARAMS!$K$209:$U$264,11)*IO.CONTROL!$F$39))</f>
        <v>-392284.67795999994</v>
      </c>
      <c r="L123" s="72">
        <f>IF(IO.CONTROL!$C$14&gt;$B123,0,(VLOOKUP($B123-IO.CONTROL!$C$14,STAND.PARAMS!$K$209:$U$264,2)*IO.CONTROL!$F$41+VLOOKUP($B123-IO.CONTROL!$C$14,STAND.PARAMS!$K$209:$U$264,3)*IO.CONTROL!$F$42+VLOOKUP($B123-IO.CONTROL!$C$14,STAND.PARAMS!$K$209:$U$264,4)*IO.CONTROL!$F$43+VLOOKUP($B123-IO.CONTROL!$C$14,STAND.PARAMS!$K$209:$U$264,5)*IO.CONTROL!$F$44+VLOOKUP($B123-IO.CONTROL!$C$14,STAND.PARAMS!$K$209:$U$264,6)*IO.CONTROL!$F$45))</f>
        <v>-1330495.8712500001</v>
      </c>
      <c r="M123" s="72">
        <f>IF(IO.CONTROL!$C$14&gt;$B123,0,((VLOOKUP($B123-IO.CONTROL!$C$14,STAND.PARAMS!$K$209:$U$264,7)*IO.CONTROL!$F$53*IO.CONTROL!$F$45+VLOOKUP($B123-IO.CONTROL!$C$14,STAND.PARAMS!$K$209:$U$264,8)*IO.CONTROL!$F$54*IO.CONTROL!$F$46+VLOOKUP($B123-IO.CONTROL!$C$14,STAND.PARAMS!$K$209:$U$264,9)*IO.CONTROL!$F$55*IO.CONTROL!$F$47+VLOOKUP($B123-IO.CONTROL!$C$14,STAND.PARAMS!$K$209:$U$264,10)*IO.CONTROL!$F$56*IO.CONTROL!$F$48+VLOOKUP($B123-IO.CONTROL!$C$14,STAND.PARAMS!$K$209:$U$264,11)*IO.CONTROL!$F$57*IO.CONTROL!$F$49)))</f>
        <v>-1126026.6561374997</v>
      </c>
      <c r="N123" s="72">
        <f t="shared" si="0"/>
        <v>-11598771.4705215</v>
      </c>
      <c r="O123" s="73">
        <f>IF(IO.CONTROL!$C$14&gt;$B123,0,((VLOOKUP($B123-IO.CONTROL!$C$14,STAND.PARAMS!$K$209:$U$264,7)*IO.CONTROL!$F$53+VLOOKUP($B123-IO.CONTROL!$C$14,STAND.PARAMS!$K$209:$U$264,8)*IO.CONTROL!$F$54+VLOOKUP($B123-IO.CONTROL!$C$14,STAND.PARAMS!$K$209:$U$264,9)*IO.CONTROL!$F$55+VLOOKUP($B123-IO.CONTROL!$C$14,STAND.PARAMS!$K$209:$U$264,10)*IO.CONTROL!$F$56+VLOOKUP($B123-IO.CONTROL!$C$14,STAND.PARAMS!$K$209:$U$264,11)*IO.CONTROL!$F$57)))</f>
        <v>37534221.871249996</v>
      </c>
      <c r="P123" s="72">
        <f t="shared" si="4"/>
        <v>-11598771.4705215</v>
      </c>
      <c r="Q123" s="110">
        <f t="shared" si="5"/>
        <v>37534221.871249996</v>
      </c>
      <c r="R123" s="114"/>
      <c r="S123" s="72"/>
      <c r="T123" s="72"/>
      <c r="U123" s="72"/>
      <c r="V123" s="72"/>
      <c r="W123" s="72"/>
      <c r="X123" s="72"/>
      <c r="Y123" s="110"/>
      <c r="Z123" s="72">
        <f t="shared" si="1"/>
        <v>-11598771.4705215</v>
      </c>
      <c r="AA123" s="72">
        <f>Z123/(1+IO.CONTROL!$C$13)^AF123</f>
        <v>-632280.15515453962</v>
      </c>
      <c r="AB123" s="72">
        <f t="shared" si="2"/>
        <v>37534221.871249996</v>
      </c>
      <c r="AC123" s="72">
        <f>AB123/(1+IO.CONTROL!$C$13)^AF123</f>
        <v>2046091.1475559769</v>
      </c>
      <c r="AD123" s="72">
        <f t="shared" si="3"/>
        <v>25935450.400728494</v>
      </c>
      <c r="AE123" s="72">
        <f>AD123/(1+IO.CONTROL!$C$13)^B123</f>
        <v>1413810.9924014371</v>
      </c>
      <c r="AF123" s="10">
        <v>43</v>
      </c>
      <c r="AG123" s="121"/>
    </row>
    <row r="124" spans="2:33" x14ac:dyDescent="0.25">
      <c r="B124" s="9">
        <v>44</v>
      </c>
      <c r="C124" s="72">
        <f>IF(IO.CONTROL!$C$14&gt;$B124,0,STAND.PARAMS!$K$166*IO.CONTROL!$F$19)</f>
        <v>-83884.455000000002</v>
      </c>
      <c r="D124" s="72">
        <f>IF(IO.CONTROL!$C$14&gt;$B124,0,STAND.PARAMS!$K$166*IO.CONTROL!$F$20)</f>
        <v>-128622.83099999999</v>
      </c>
      <c r="E124" s="72">
        <f>IF(IO.CONTROL!$C$14&gt;$B124,0,(VLOOKUP($B124-IO.CONTROL!$C$14,STAND.PARAMS!$K$209:$U$264,7)+VLOOKUP($B124-IO.CONTROL!$C$14,STAND.PARAMS!$K$209:$U$264,8)+VLOOKUP($B124-IO.CONTROL!$C$14,STAND.PARAMS!$K$209:$U$264,9)+VLOOKUP($B124-IO.CONTROL!$C$14,STAND.PARAMS!$K$209:$U$264,10)+VLOOKUP($B124-IO.CONTROL!$C$14,STAND.PARAMS!$K$209:$U$264,11))*IO.CONTROL!$F$21)</f>
        <v>-3950313.9318240006</v>
      </c>
      <c r="F124" s="72">
        <f>IF(IO.CONTROL!$C$14&gt;$B124,0,VLOOKUP($B124-IO.CONTROL!$C$14,STAND.PARAMS!$K$209:$U$264,6)*IO.CONTROL!$F$22)</f>
        <v>-3437864.5807500002</v>
      </c>
      <c r="G124" s="72">
        <f>IF(IO.CONTROL!$C$14&gt;$B124,0,(STAND.PARAMS!$C$19/IO.CONTROL!$C$10)*10*IO.CONTROL!$F$23)</f>
        <v>-209711.13749999998</v>
      </c>
      <c r="H124" s="72">
        <f>IF(IO.CONTROL!$C$14&gt;$B124,0,(STAND.PARAMS!$C$19-(STAND.PARAMS!$C$19/IO.CONTROL!$C$10)*10)*IO.CONTROL!$F$24)</f>
        <v>-310372.48350000003</v>
      </c>
      <c r="I124" s="72">
        <f>IF(IO.CONTROL!$C$14&gt;$B124,0,(VLOOKUP($B124-IO.CONTROL!$C$14,STAND.PARAMS!$K$209:$U$264,3)*IO.CONTROL!$F$26+VLOOKUP($B124-IO.CONTROL!$C$14,STAND.PARAMS!$K$209:$U$264,4)*IO.CONTROL!$F$27+VLOOKUP($B124-IO.CONTROL!$C$14,STAND.PARAMS!$K$209:$U$264,5)*IO.CONTROL!$F$28+VLOOKUP($B124-IO.CONTROL!$C$14,STAND.PARAMS!$K$209:$U$264,6)*IO.CONTROL!$F$29))</f>
        <v>-43710.062400000003</v>
      </c>
      <c r="J124" s="72">
        <f>IF(IO.CONTROL!$C$14&gt;$B124,0,(VLOOKUP($B124-IO.CONTROL!$C$14,STAND.PARAMS!$K$209:$U$264,3)*IO.CONTROL!$F$31+VLOOKUP($B124-IO.CONTROL!$C$14,STAND.PARAMS!$K$209:$U$264,4)*IO.CONTROL!$F$32+VLOOKUP($B124-IO.CONTROL!$C$14,STAND.PARAMS!$K$209:$U$264,5)*IO.CONTROL!$F$33+VLOOKUP($B124-IO.CONTROL!$C$14,STAND.PARAMS!$K$209:$U$264,6)*IO.CONTROL!$F$34))</f>
        <v>-585484.78319999995</v>
      </c>
      <c r="K124" s="72">
        <f>IF(IO.CONTROL!$C$14&gt;$B124,0,(VLOOKUP($B124-IO.CONTROL!$C$14,STAND.PARAMS!$K$209:$U$264,8)*IO.CONTROL!$F$36+VLOOKUP($B124-IO.CONTROL!$C$14,STAND.PARAMS!$K$209:$U$264,9)*IO.CONTROL!$F$37+VLOOKUP($B124-IO.CONTROL!$C$14,STAND.PARAMS!$K$209:$U$264,10)*IO.CONTROL!$F$38+VLOOKUP($B124-IO.CONTROL!$C$14,STAND.PARAMS!$K$209:$U$264,11)*IO.CONTROL!$F$39))</f>
        <v>-392284.67795999994</v>
      </c>
      <c r="L124" s="72">
        <f>IF(IO.CONTROL!$C$14&gt;$B124,0,(VLOOKUP($B124-IO.CONTROL!$C$14,STAND.PARAMS!$K$209:$U$264,2)*IO.CONTROL!$F$41+VLOOKUP($B124-IO.CONTROL!$C$14,STAND.PARAMS!$K$209:$U$264,3)*IO.CONTROL!$F$42+VLOOKUP($B124-IO.CONTROL!$C$14,STAND.PARAMS!$K$209:$U$264,4)*IO.CONTROL!$F$43+VLOOKUP($B124-IO.CONTROL!$C$14,STAND.PARAMS!$K$209:$U$264,5)*IO.CONTROL!$F$44+VLOOKUP($B124-IO.CONTROL!$C$14,STAND.PARAMS!$K$209:$U$264,6)*IO.CONTROL!$F$45))</f>
        <v>-1330495.8712500001</v>
      </c>
      <c r="M124" s="72">
        <f>IF(IO.CONTROL!$C$14&gt;$B124,0,((VLOOKUP($B124-IO.CONTROL!$C$14,STAND.PARAMS!$K$209:$U$264,7)*IO.CONTROL!$F$53*IO.CONTROL!$F$45+VLOOKUP($B124-IO.CONTROL!$C$14,STAND.PARAMS!$K$209:$U$264,8)*IO.CONTROL!$F$54*IO.CONTROL!$F$46+VLOOKUP($B124-IO.CONTROL!$C$14,STAND.PARAMS!$K$209:$U$264,9)*IO.CONTROL!$F$55*IO.CONTROL!$F$47+VLOOKUP($B124-IO.CONTROL!$C$14,STAND.PARAMS!$K$209:$U$264,10)*IO.CONTROL!$F$56*IO.CONTROL!$F$48+VLOOKUP($B124-IO.CONTROL!$C$14,STAND.PARAMS!$K$209:$U$264,11)*IO.CONTROL!$F$57*IO.CONTROL!$F$49)))</f>
        <v>-1126026.6561374997</v>
      </c>
      <c r="N124" s="72">
        <f t="shared" si="0"/>
        <v>-11598771.4705215</v>
      </c>
      <c r="O124" s="73">
        <f>IF(IO.CONTROL!$C$14&gt;$B124,0,((VLOOKUP($B124-IO.CONTROL!$C$14,STAND.PARAMS!$K$209:$U$264,7)*IO.CONTROL!$F$53+VLOOKUP($B124-IO.CONTROL!$C$14,STAND.PARAMS!$K$209:$U$264,8)*IO.CONTROL!$F$54+VLOOKUP($B124-IO.CONTROL!$C$14,STAND.PARAMS!$K$209:$U$264,9)*IO.CONTROL!$F$55+VLOOKUP($B124-IO.CONTROL!$C$14,STAND.PARAMS!$K$209:$U$264,10)*IO.CONTROL!$F$56+VLOOKUP($B124-IO.CONTROL!$C$14,STAND.PARAMS!$K$209:$U$264,11)*IO.CONTROL!$F$57)))</f>
        <v>37534221.871249996</v>
      </c>
      <c r="P124" s="72">
        <f t="shared" si="4"/>
        <v>-11598771.4705215</v>
      </c>
      <c r="Q124" s="110">
        <f t="shared" si="5"/>
        <v>37534221.871249996</v>
      </c>
      <c r="R124" s="114"/>
      <c r="S124" s="72"/>
      <c r="T124" s="72"/>
      <c r="U124" s="72"/>
      <c r="V124" s="72"/>
      <c r="W124" s="72"/>
      <c r="X124" s="72"/>
      <c r="Y124" s="110"/>
      <c r="Z124" s="72">
        <f t="shared" si="1"/>
        <v>-11598771.4705215</v>
      </c>
      <c r="AA124" s="72">
        <f>Z124/(1+IO.CONTROL!$C$13)^AF124</f>
        <v>-590916.03285471001</v>
      </c>
      <c r="AB124" s="72">
        <f t="shared" si="2"/>
        <v>37534221.871249996</v>
      </c>
      <c r="AC124" s="72">
        <f>AB124/(1+IO.CONTROL!$C$13)^AF124</f>
        <v>1912234.7173420349</v>
      </c>
      <c r="AD124" s="72">
        <f t="shared" si="3"/>
        <v>25935450.400728494</v>
      </c>
      <c r="AE124" s="72">
        <f>AD124/(1+IO.CONTROL!$C$13)^B124</f>
        <v>1321318.6844873247</v>
      </c>
      <c r="AF124" s="10">
        <v>44</v>
      </c>
      <c r="AG124" s="122" t="s">
        <v>217</v>
      </c>
    </row>
    <row r="125" spans="2:33" x14ac:dyDescent="0.25">
      <c r="B125" s="9"/>
      <c r="C125" s="72"/>
      <c r="D125" s="72"/>
      <c r="E125" s="72"/>
      <c r="F125" s="72"/>
      <c r="G125" s="72"/>
      <c r="H125" s="72"/>
      <c r="I125" s="72"/>
      <c r="J125" s="72"/>
      <c r="K125" s="72"/>
      <c r="L125" s="72"/>
      <c r="M125" s="72"/>
      <c r="N125" s="72"/>
      <c r="O125" s="73"/>
      <c r="P125" s="72"/>
      <c r="Q125" s="110"/>
      <c r="R125" s="114"/>
      <c r="S125" s="72"/>
      <c r="T125" s="72"/>
      <c r="U125" s="72"/>
      <c r="V125" s="72"/>
      <c r="W125" s="72"/>
      <c r="X125" s="72"/>
      <c r="Y125" s="110"/>
      <c r="Z125" s="72"/>
      <c r="AA125" s="72"/>
      <c r="AB125" s="72"/>
      <c r="AC125" s="72"/>
      <c r="AD125" s="72"/>
      <c r="AE125" s="72"/>
      <c r="AF125" s="10"/>
      <c r="AG125" s="121"/>
    </row>
    <row r="126" spans="2:33" x14ac:dyDescent="0.25">
      <c r="B126" s="9"/>
      <c r="C126" s="72"/>
      <c r="D126" s="72"/>
      <c r="E126" s="72"/>
      <c r="F126" s="72"/>
      <c r="G126" s="72"/>
      <c r="H126" s="72"/>
      <c r="I126" s="72"/>
      <c r="J126" s="72"/>
      <c r="K126" s="72"/>
      <c r="L126" s="72"/>
      <c r="M126" s="72"/>
      <c r="N126" s="72"/>
      <c r="O126" s="73"/>
      <c r="P126" s="72"/>
      <c r="Q126" s="110"/>
      <c r="R126" s="114"/>
      <c r="S126" s="72"/>
      <c r="T126" s="72"/>
      <c r="U126" s="72"/>
      <c r="V126" s="72"/>
      <c r="W126" s="72"/>
      <c r="X126" s="72"/>
      <c r="Y126" s="110"/>
      <c r="Z126" s="72"/>
      <c r="AA126" s="72"/>
      <c r="AB126" s="72"/>
      <c r="AC126" s="72"/>
      <c r="AD126" s="72"/>
      <c r="AE126" s="72"/>
      <c r="AF126" s="10"/>
      <c r="AG126" s="121"/>
    </row>
    <row r="127" spans="2:33" x14ac:dyDescent="0.25">
      <c r="B127" s="9"/>
      <c r="C127" s="72"/>
      <c r="D127" s="72"/>
      <c r="E127" s="72"/>
      <c r="F127" s="72"/>
      <c r="G127" s="72"/>
      <c r="H127" s="72"/>
      <c r="I127" s="72"/>
      <c r="J127" s="72"/>
      <c r="K127" s="72"/>
      <c r="L127" s="72"/>
      <c r="M127" s="72"/>
      <c r="N127" s="72"/>
      <c r="O127" s="73"/>
      <c r="P127" s="72"/>
      <c r="Q127" s="110"/>
      <c r="R127" s="114"/>
      <c r="S127" s="72"/>
      <c r="T127" s="72"/>
      <c r="U127" s="72"/>
      <c r="V127" s="72"/>
      <c r="W127" s="72"/>
      <c r="X127" s="72"/>
      <c r="Y127" s="110"/>
      <c r="Z127" s="72"/>
      <c r="AA127" s="72"/>
      <c r="AB127" s="72"/>
      <c r="AC127" s="72"/>
      <c r="AD127" s="72"/>
      <c r="AE127" s="72"/>
      <c r="AF127" s="10"/>
      <c r="AG127" s="121"/>
    </row>
    <row r="128" spans="2:33" x14ac:dyDescent="0.25">
      <c r="B128" s="9"/>
      <c r="C128" s="72"/>
      <c r="D128" s="72"/>
      <c r="E128" s="72"/>
      <c r="F128" s="72"/>
      <c r="G128" s="72"/>
      <c r="H128" s="72"/>
      <c r="I128" s="72"/>
      <c r="J128" s="72"/>
      <c r="K128" s="72"/>
      <c r="L128" s="72"/>
      <c r="M128" s="72"/>
      <c r="N128" s="72"/>
      <c r="O128" s="73"/>
      <c r="P128" s="72"/>
      <c r="Q128" s="110"/>
      <c r="R128" s="114"/>
      <c r="S128" s="72"/>
      <c r="T128" s="72"/>
      <c r="U128" s="72"/>
      <c r="V128" s="72"/>
      <c r="W128" s="72"/>
      <c r="X128" s="72"/>
      <c r="Y128" s="110"/>
      <c r="Z128" s="72"/>
      <c r="AA128" s="72">
        <f>($Z$124/IO.CONTROL!$C$13)/(((1+IO.CONTROL!$C$13)^($B$124+1))-1)</f>
        <v>-8283821.2681258572</v>
      </c>
      <c r="AB128" s="72"/>
      <c r="AC128" s="72">
        <f>($AB$124/IO.CONTROL!$C$13)/(((1+IO.CONTROL!$C$13)^($B$124+1))-1)</f>
        <v>26806872.280382607</v>
      </c>
      <c r="AD128" s="72"/>
      <c r="AE128" s="72">
        <f>($AD$124/IO.CONTROL!$C$13)/(((1+IO.CONTROL!$C$13)^($B$124+1))-1)</f>
        <v>18523051.012256749</v>
      </c>
      <c r="AF128" s="68" t="s">
        <v>218</v>
      </c>
      <c r="AG128" s="121"/>
    </row>
    <row r="129" spans="2:33" x14ac:dyDescent="0.25">
      <c r="B129" s="9"/>
      <c r="C129" s="72"/>
      <c r="D129" s="72"/>
      <c r="E129" s="72"/>
      <c r="F129" s="72"/>
      <c r="G129" s="72"/>
      <c r="H129" s="72"/>
      <c r="I129" s="72"/>
      <c r="J129" s="72"/>
      <c r="K129" s="72"/>
      <c r="L129" s="72"/>
      <c r="M129" s="72"/>
      <c r="N129" s="72"/>
      <c r="O129" s="73"/>
      <c r="P129" s="72"/>
      <c r="Q129" s="110"/>
      <c r="R129" s="114"/>
      <c r="S129" s="72"/>
      <c r="T129" s="72"/>
      <c r="U129" s="72"/>
      <c r="V129" s="72"/>
      <c r="W129" s="72"/>
      <c r="X129" s="72"/>
      <c r="Y129" s="110"/>
      <c r="Z129" s="72"/>
      <c r="AA129" s="72"/>
      <c r="AB129" s="72"/>
      <c r="AC129" s="72"/>
      <c r="AD129" s="72"/>
      <c r="AE129" s="72"/>
      <c r="AF129" s="10"/>
      <c r="AG129" s="121"/>
    </row>
    <row r="130" spans="2:33" x14ac:dyDescent="0.25">
      <c r="B130" s="9"/>
      <c r="C130" s="72"/>
      <c r="D130" s="72"/>
      <c r="E130" s="72"/>
      <c r="F130" s="72"/>
      <c r="G130" s="72"/>
      <c r="H130" s="72"/>
      <c r="I130" s="72"/>
      <c r="J130" s="72"/>
      <c r="K130" s="72"/>
      <c r="L130" s="72"/>
      <c r="M130" s="72"/>
      <c r="N130" s="72"/>
      <c r="O130" s="73"/>
      <c r="P130" s="72"/>
      <c r="Q130" s="110"/>
      <c r="R130" s="114"/>
      <c r="S130" s="72"/>
      <c r="T130" s="72"/>
      <c r="U130" s="72"/>
      <c r="V130" s="72"/>
      <c r="W130" s="72"/>
      <c r="X130" s="72"/>
      <c r="Y130" s="110"/>
      <c r="Z130" s="72"/>
      <c r="AA130" s="72"/>
      <c r="AB130" s="72"/>
      <c r="AC130" s="72"/>
      <c r="AD130" s="72"/>
      <c r="AE130" s="72"/>
      <c r="AF130" s="10"/>
      <c r="AG130" s="122"/>
    </row>
    <row r="131" spans="2:33" x14ac:dyDescent="0.25">
      <c r="B131" s="9"/>
      <c r="C131" s="72"/>
      <c r="D131" s="72"/>
      <c r="E131" s="72"/>
      <c r="F131" s="72"/>
      <c r="G131" s="72"/>
      <c r="H131" s="72"/>
      <c r="I131" s="72"/>
      <c r="J131" s="72"/>
      <c r="K131" s="72"/>
      <c r="L131" s="72"/>
      <c r="M131" s="72"/>
      <c r="N131" s="72"/>
      <c r="O131" s="73"/>
      <c r="P131" s="72"/>
      <c r="Q131" s="110"/>
      <c r="R131" s="114"/>
      <c r="S131" s="72"/>
      <c r="T131" s="72"/>
      <c r="U131" s="72"/>
      <c r="V131" s="72"/>
      <c r="W131" s="72"/>
      <c r="X131" s="72"/>
      <c r="Y131" s="110"/>
      <c r="Z131" s="72"/>
      <c r="AA131" s="72"/>
      <c r="AB131" s="72"/>
      <c r="AC131" s="72"/>
      <c r="AD131" s="72"/>
      <c r="AE131" s="72"/>
      <c r="AF131" s="10"/>
      <c r="AG131" s="121"/>
    </row>
    <row r="132" spans="2:33" x14ac:dyDescent="0.25">
      <c r="B132" s="9"/>
      <c r="C132" s="72"/>
      <c r="D132" s="72"/>
      <c r="E132" s="72"/>
      <c r="F132" s="72"/>
      <c r="G132" s="72"/>
      <c r="H132" s="72"/>
      <c r="I132" s="72"/>
      <c r="J132" s="72"/>
      <c r="K132" s="72"/>
      <c r="L132" s="72"/>
      <c r="M132" s="72"/>
      <c r="N132" s="72"/>
      <c r="O132" s="73"/>
      <c r="P132" s="72"/>
      <c r="Q132" s="110"/>
      <c r="R132" s="114"/>
      <c r="S132" s="72"/>
      <c r="T132" s="72"/>
      <c r="U132" s="72"/>
      <c r="V132" s="72"/>
      <c r="W132" s="72"/>
      <c r="X132" s="72"/>
      <c r="Y132" s="110"/>
      <c r="Z132" s="72"/>
      <c r="AA132" s="72"/>
      <c r="AB132" s="72"/>
      <c r="AC132" s="72"/>
      <c r="AD132" s="72"/>
      <c r="AE132" s="72"/>
      <c r="AF132" s="10"/>
      <c r="AG132" s="121"/>
    </row>
    <row r="133" spans="2:33" x14ac:dyDescent="0.25">
      <c r="B133" s="9"/>
      <c r="C133" s="72"/>
      <c r="D133" s="72"/>
      <c r="E133" s="72"/>
      <c r="F133" s="72"/>
      <c r="G133" s="72"/>
      <c r="H133" s="72"/>
      <c r="I133" s="72"/>
      <c r="J133" s="72"/>
      <c r="K133" s="72"/>
      <c r="L133" s="72"/>
      <c r="M133" s="72"/>
      <c r="N133" s="72"/>
      <c r="O133" s="73"/>
      <c r="P133" s="72"/>
      <c r="Q133" s="110"/>
      <c r="R133" s="114"/>
      <c r="S133" s="72"/>
      <c r="T133" s="72"/>
      <c r="U133" s="72"/>
      <c r="V133" s="72"/>
      <c r="W133" s="72"/>
      <c r="X133" s="72"/>
      <c r="Y133" s="110"/>
      <c r="Z133" s="72"/>
      <c r="AA133" s="72"/>
      <c r="AB133" s="72"/>
      <c r="AC133" s="72"/>
      <c r="AD133" s="72"/>
      <c r="AE133" s="72"/>
      <c r="AF133" s="10"/>
      <c r="AG133" s="121"/>
    </row>
    <row r="134" spans="2:33" x14ac:dyDescent="0.25">
      <c r="B134" s="9"/>
      <c r="C134" s="72"/>
      <c r="D134" s="72"/>
      <c r="E134" s="72"/>
      <c r="F134" s="72"/>
      <c r="G134" s="72"/>
      <c r="H134" s="72"/>
      <c r="I134" s="72"/>
      <c r="J134" s="72"/>
      <c r="K134" s="72"/>
      <c r="L134" s="72"/>
      <c r="M134" s="72"/>
      <c r="N134" s="72"/>
      <c r="O134" s="73"/>
      <c r="P134" s="72"/>
      <c r="Q134" s="110"/>
      <c r="R134" s="117"/>
      <c r="S134" s="102"/>
      <c r="T134" s="102"/>
      <c r="U134" s="102"/>
      <c r="V134" s="102"/>
      <c r="W134" s="102"/>
      <c r="X134" s="102"/>
      <c r="Y134" s="118"/>
      <c r="Z134" s="72"/>
      <c r="AA134" s="72"/>
      <c r="AB134" s="72"/>
      <c r="AC134" s="72"/>
      <c r="AD134" s="72"/>
      <c r="AE134" s="72"/>
      <c r="AF134" s="10"/>
      <c r="AG134" s="121"/>
    </row>
    <row r="135" spans="2:33" x14ac:dyDescent="0.25">
      <c r="B135" s="9"/>
      <c r="C135" s="72"/>
      <c r="D135" s="72"/>
      <c r="E135" s="72"/>
      <c r="F135" s="72"/>
      <c r="G135" s="72"/>
      <c r="H135" s="72"/>
      <c r="I135" s="72"/>
      <c r="J135" s="72"/>
      <c r="K135" s="72"/>
      <c r="L135" s="72"/>
      <c r="M135" s="72"/>
      <c r="N135" s="72"/>
      <c r="O135" s="73"/>
      <c r="P135" s="72"/>
      <c r="Q135" s="110"/>
      <c r="R135" s="117"/>
      <c r="S135" s="102"/>
      <c r="T135" s="102"/>
      <c r="U135" s="102"/>
      <c r="V135" s="102"/>
      <c r="W135" s="102"/>
      <c r="X135" s="102"/>
      <c r="Y135" s="118"/>
      <c r="Z135" s="72"/>
      <c r="AA135" s="72"/>
      <c r="AB135" s="72"/>
      <c r="AC135" s="72"/>
      <c r="AD135" s="72"/>
      <c r="AF135" s="10"/>
      <c r="AG135" s="121"/>
    </row>
    <row r="136" spans="2:33" x14ac:dyDescent="0.25">
      <c r="B136" s="103"/>
      <c r="C136" s="86"/>
      <c r="D136" s="86"/>
      <c r="E136" s="86"/>
      <c r="F136" s="86"/>
      <c r="G136" s="86"/>
      <c r="H136" s="86"/>
      <c r="I136" s="86"/>
      <c r="J136" s="86"/>
      <c r="K136" s="86"/>
      <c r="L136" s="86"/>
      <c r="M136" s="86"/>
      <c r="N136" s="86"/>
      <c r="O136" s="104"/>
      <c r="P136" s="86"/>
      <c r="Q136" s="111"/>
      <c r="R136" s="115"/>
      <c r="S136" s="86"/>
      <c r="T136" s="86"/>
      <c r="U136" s="86"/>
      <c r="V136" s="86"/>
      <c r="W136" s="86"/>
      <c r="X136" s="86"/>
      <c r="Y136" s="111"/>
      <c r="Z136" s="86"/>
      <c r="AA136" s="86"/>
      <c r="AB136" s="86"/>
      <c r="AC136" s="86"/>
      <c r="AD136" s="86"/>
      <c r="AE136" s="72"/>
      <c r="AG136" s="121"/>
    </row>
    <row r="137" spans="2:33" x14ac:dyDescent="0.25">
      <c r="B137" s="103"/>
      <c r="C137" s="86"/>
      <c r="D137" s="86"/>
      <c r="E137" s="86"/>
      <c r="F137" s="86"/>
      <c r="G137" s="86"/>
      <c r="H137" s="86"/>
      <c r="I137" s="86"/>
      <c r="J137" s="86"/>
      <c r="K137" s="86"/>
      <c r="L137" s="86"/>
      <c r="M137" s="86"/>
      <c r="N137" s="86"/>
      <c r="O137" s="104"/>
      <c r="P137" s="86"/>
      <c r="Q137" s="112"/>
      <c r="R137" s="114">
        <f>R78/(1+IO.CONTROL!$C$13)^$AF78+R79/(1+IO.CONTROL!$C$13)^$AF79+R80/(1+IO.CONTROL!$C$13)^$AF80+R81/(1+IO.CONTROL!$C$13)^$AF81+R82/(1+IO.CONTROL!$C$13)^$AF82</f>
        <v>0</v>
      </c>
      <c r="S137" s="72">
        <f>S78/(1+IO.CONTROL!$C$13)^$AF78+S79/(1+IO.CONTROL!$C$13)^$AF79+S80/(1+IO.CONTROL!$C$13)^$AF80+S81/(1+IO.CONTROL!$C$13)^$AF81+S82/(1+IO.CONTROL!$C$13)^$AF82</f>
        <v>0</v>
      </c>
      <c r="T137" s="72">
        <f>T78/(1+IO.CONTROL!$C$13)^$AF78+T79/(1+IO.CONTROL!$C$13)^$AF79+T80/(1+IO.CONTROL!$C$13)^$AF80+T81/(1+IO.CONTROL!$C$13)^$AF81+T82/(1+IO.CONTROL!$C$13)^$AF82</f>
        <v>0</v>
      </c>
      <c r="U137" s="72">
        <f>U78/(1+IO.CONTROL!$C$13)^$AF78+U79/(1+IO.CONTROL!$C$13)^$AF79+U80/(1+IO.CONTROL!$C$13)^$AF80+U81/(1+IO.CONTROL!$C$13)^$AF81+U82/(1+IO.CONTROL!$C$13)^$AF82</f>
        <v>0</v>
      </c>
      <c r="V137" s="72">
        <f>V78/(1+IO.CONTROL!$C$13)^$AF78+V79/(1+IO.CONTROL!$C$13)^$AF79+V80/(1+IO.CONTROL!$C$13)^$AF80+V81/(1+IO.CONTROL!$C$13)^$AF81+V82/(1+IO.CONTROL!$C$13)^$AF82</f>
        <v>0</v>
      </c>
      <c r="W137" s="72">
        <f>W78/(1+IO.CONTROL!$C$13)^$AF78+W79/(1+IO.CONTROL!$C$13)^$AF79+W80/(1+IO.CONTROL!$C$13)^$AF80+W81/(1+IO.CONTROL!$C$13)^$AF81+W82/(1+IO.CONTROL!$C$13)^$AF82</f>
        <v>0</v>
      </c>
      <c r="X137" s="72">
        <f>X78/(1+IO.CONTROL!$C$13)^$AF78+X79/(1+IO.CONTROL!$C$13)^$AF79+X80/(1+IO.CONTROL!$C$13)^$AF80+X81/(1+IO.CONTROL!$C$13)^$AF81+X82/(1+IO.CONTROL!$C$13)^$AF82</f>
        <v>0</v>
      </c>
      <c r="Y137" s="110">
        <f>SUM(R137:X137)</f>
        <v>0</v>
      </c>
      <c r="Z137" s="72"/>
      <c r="AA137" s="72">
        <f>SUM(AA78:AA136)</f>
        <v>-126833975.44954608</v>
      </c>
      <c r="AB137" s="86"/>
      <c r="AC137" s="72">
        <f>SUM(AC78:AC136)</f>
        <v>360281747.26361161</v>
      </c>
      <c r="AE137" s="72">
        <f>SUM(AE78:AE136)</f>
        <v>233447771.81406549</v>
      </c>
      <c r="AF137" s="105" t="s">
        <v>213</v>
      </c>
      <c r="AG137" s="121"/>
    </row>
    <row r="138" spans="2:33" ht="13.8" thickBot="1" x14ac:dyDescent="0.3">
      <c r="B138" s="19"/>
      <c r="C138" s="88"/>
      <c r="D138" s="88"/>
      <c r="E138" s="88"/>
      <c r="F138" s="88"/>
      <c r="G138" s="88"/>
      <c r="H138" s="88"/>
      <c r="I138" s="88"/>
      <c r="J138" s="88"/>
      <c r="K138" s="88"/>
      <c r="L138" s="88"/>
      <c r="M138" s="88"/>
      <c r="N138" s="88"/>
      <c r="O138" s="89"/>
      <c r="P138" s="88"/>
      <c r="Q138" s="113"/>
      <c r="R138" s="116"/>
      <c r="S138" s="88"/>
      <c r="T138" s="88"/>
      <c r="U138" s="88"/>
      <c r="V138" s="88"/>
      <c r="W138" s="88"/>
      <c r="X138" s="88"/>
      <c r="Y138" s="113"/>
      <c r="Z138" s="77"/>
      <c r="AA138" s="77"/>
      <c r="AB138" s="77"/>
      <c r="AC138" s="77"/>
      <c r="AD138" s="77"/>
      <c r="AE138" s="77"/>
      <c r="AF138" s="108"/>
      <c r="AG138" s="123"/>
    </row>
    <row r="139" spans="2:33" x14ac:dyDescent="0.25">
      <c r="AB139" s="86"/>
      <c r="AC139" s="86"/>
      <c r="AE139" s="72"/>
    </row>
    <row r="140" spans="2:33" x14ac:dyDescent="0.25">
      <c r="Z140" s="85"/>
      <c r="AA140" s="85"/>
      <c r="AB140" s="72"/>
      <c r="AC140" s="72"/>
      <c r="AD140" s="86"/>
      <c r="AE140" s="72"/>
    </row>
    <row r="141" spans="2:33" x14ac:dyDescent="0.25">
      <c r="AB141" s="86"/>
      <c r="AC141" s="86"/>
      <c r="AD141" s="86"/>
      <c r="AE141" s="86"/>
    </row>
  </sheetData>
  <mergeCells count="5">
    <mergeCell ref="C76:M76"/>
    <mergeCell ref="P76:Q76"/>
    <mergeCell ref="R76:X76"/>
    <mergeCell ref="C75:O75"/>
    <mergeCell ref="P75:Z75"/>
  </mergeCells>
  <printOptions gridLines="1"/>
  <pageMargins left="0.25" right="0.25" top="1.8" bottom="0.52" header="0.5" footer="0.5"/>
  <pageSetup scale="46" orientation="landscape" horizontalDpi="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2:W264"/>
  <sheetViews>
    <sheetView zoomScale="50" workbookViewId="0">
      <selection activeCell="E53" sqref="E53"/>
    </sheetView>
  </sheetViews>
  <sheetFormatPr defaultRowHeight="13.2" x14ac:dyDescent="0.25"/>
  <cols>
    <col min="1" max="1" width="34.6640625" customWidth="1"/>
    <col min="2" max="2" width="60.44140625" customWidth="1"/>
    <col min="3" max="3" width="25.6640625" customWidth="1"/>
    <col min="4" max="4" width="26.88671875" customWidth="1"/>
    <col min="5" max="8" width="25.6640625" customWidth="1"/>
    <col min="9" max="9" width="26.33203125" style="2" customWidth="1"/>
    <col min="10" max="10" width="18.88671875" style="45" customWidth="1"/>
    <col min="11" max="11" width="15.6640625" style="45" customWidth="1"/>
    <col min="12" max="15" width="12.6640625" style="2" customWidth="1"/>
    <col min="16" max="20" width="12.6640625" customWidth="1"/>
    <col min="21" max="21" width="16.6640625" customWidth="1"/>
    <col min="22" max="23" width="10.6640625" customWidth="1"/>
  </cols>
  <sheetData>
    <row r="2" spans="1:23" x14ac:dyDescent="0.25">
      <c r="A2" s="1" t="s">
        <v>200</v>
      </c>
    </row>
    <row r="3" spans="1:23" x14ac:dyDescent="0.25">
      <c r="B3" s="140" t="s">
        <v>44</v>
      </c>
      <c r="C3" s="143"/>
      <c r="D3" s="143"/>
      <c r="E3" s="143"/>
      <c r="F3" s="143"/>
      <c r="G3" s="1"/>
      <c r="H3" s="2"/>
      <c r="I3" s="1" t="s">
        <v>78</v>
      </c>
      <c r="J3" s="4">
        <f>(C19/IO.CONTROL!C10)*5</f>
        <v>3819.875</v>
      </c>
    </row>
    <row r="4" spans="1:23" x14ac:dyDescent="0.25">
      <c r="B4" s="3"/>
      <c r="C4" s="2"/>
      <c r="H4" s="2"/>
      <c r="I4" s="3" t="s">
        <v>93</v>
      </c>
      <c r="J4" s="46" t="s">
        <v>54</v>
      </c>
      <c r="L4" s="150" t="s">
        <v>79</v>
      </c>
      <c r="M4" s="164"/>
      <c r="N4" s="164"/>
      <c r="O4" s="164"/>
      <c r="P4" s="164"/>
      <c r="Q4" s="164"/>
      <c r="R4" s="164"/>
      <c r="S4" s="164"/>
      <c r="T4" s="164"/>
    </row>
    <row r="5" spans="1:23" x14ac:dyDescent="0.25">
      <c r="B5" s="26" t="s">
        <v>47</v>
      </c>
      <c r="C5" s="2"/>
      <c r="H5" s="2"/>
      <c r="J5" s="46" t="s">
        <v>6</v>
      </c>
      <c r="K5" s="46" t="s">
        <v>75</v>
      </c>
      <c r="L5" s="1">
        <v>1</v>
      </c>
      <c r="M5" s="1">
        <v>2</v>
      </c>
      <c r="N5" s="1">
        <v>3</v>
      </c>
      <c r="O5" s="1">
        <v>4</v>
      </c>
      <c r="P5" s="1">
        <v>5</v>
      </c>
      <c r="Q5" s="1">
        <v>6</v>
      </c>
      <c r="R5" s="1">
        <v>7</v>
      </c>
      <c r="S5" s="1">
        <v>8</v>
      </c>
      <c r="T5" s="1">
        <v>9</v>
      </c>
      <c r="U5" s="28"/>
      <c r="V5" s="28"/>
      <c r="W5" s="28"/>
    </row>
    <row r="6" spans="1:23" x14ac:dyDescent="0.25">
      <c r="B6" s="1" t="s">
        <v>104</v>
      </c>
      <c r="C6" s="1" t="s">
        <v>53</v>
      </c>
      <c r="D6" s="1" t="s">
        <v>56</v>
      </c>
      <c r="E6" s="1" t="s">
        <v>57</v>
      </c>
      <c r="F6" s="26" t="s">
        <v>58</v>
      </c>
      <c r="G6" s="1" t="s">
        <v>102</v>
      </c>
      <c r="I6" s="1" t="s">
        <v>62</v>
      </c>
      <c r="J6" s="46" t="s">
        <v>76</v>
      </c>
      <c r="K6" s="46" t="s">
        <v>77</v>
      </c>
      <c r="L6" s="32" t="s">
        <v>63</v>
      </c>
      <c r="M6" s="32" t="s">
        <v>64</v>
      </c>
      <c r="N6" s="32" t="s">
        <v>65</v>
      </c>
      <c r="O6" s="32" t="s">
        <v>66</v>
      </c>
      <c r="P6" s="32" t="s">
        <v>67</v>
      </c>
      <c r="Q6" s="32" t="s">
        <v>68</v>
      </c>
      <c r="R6" s="32" t="s">
        <v>69</v>
      </c>
      <c r="S6" s="32" t="s">
        <v>70</v>
      </c>
      <c r="T6" s="32" t="s">
        <v>71</v>
      </c>
      <c r="U6" s="32"/>
      <c r="V6" s="32"/>
      <c r="W6" s="32"/>
    </row>
    <row r="7" spans="1:23" x14ac:dyDescent="0.25">
      <c r="B7" s="3" t="s">
        <v>54</v>
      </c>
      <c r="C7" s="41">
        <v>899</v>
      </c>
      <c r="D7" s="42">
        <v>5</v>
      </c>
      <c r="E7" s="30">
        <v>41.57</v>
      </c>
      <c r="F7" s="30">
        <f t="shared" ref="F7:F18" si="0">E7*C$21</f>
        <v>40.322899999999997</v>
      </c>
      <c r="G7" s="1" t="s">
        <v>96</v>
      </c>
      <c r="I7" s="1">
        <v>1</v>
      </c>
      <c r="J7" s="32" t="s">
        <v>63</v>
      </c>
      <c r="K7" s="4">
        <f>IF(AND(D$7/5&gt;=0,D$7/5&lt;=I7),C$7,IF(AND(D$8/5&gt;=0,D$8/5&lt;=I7),C$8,0))</f>
        <v>899</v>
      </c>
      <c r="L7" s="4">
        <f>K25-L25</f>
        <v>0</v>
      </c>
      <c r="M7" s="4">
        <f>L25-M25</f>
        <v>0</v>
      </c>
      <c r="N7" s="4">
        <f>M25-N25</f>
        <v>0</v>
      </c>
      <c r="O7" s="4">
        <f>N25-O25</f>
        <v>0</v>
      </c>
      <c r="P7" s="4">
        <f>IF(P5*5&lt;=IO.CONTROL!$C$10,O25-P25,VLOOKUP((IO.CONTROL!$C$10/5),$I7:$T24,2+P5))</f>
        <v>0</v>
      </c>
      <c r="Q7" s="4">
        <f>IF(Q5*5&lt;=IO.CONTROL!$C$10,P25-Q25,VLOOKUP((IO.CONTROL!$C$10/5),$I7:$T24,2+Q5))</f>
        <v>0</v>
      </c>
      <c r="R7" s="4">
        <f>IF(R5*5&lt;=IO.CONTROL!$C$10,Q25-R25,VLOOKUP((IO.CONTROL!$C$10/5),$I7:$T24,2+R5))</f>
        <v>0</v>
      </c>
      <c r="S7" s="4">
        <f>IF(S5*5&lt;=IO.CONTROL!$C$10,R25-S25,VLOOKUP((IO.CONTROL!$C$10/5),$I7:$T24,2+S5))</f>
        <v>899</v>
      </c>
      <c r="T7" s="4">
        <f>IF(T5*5&lt;=IO.CONTROL!$C$10,S25-T25,VLOOKUP((IO.CONTROL!$C$10/5),$I7:$T24,2+T5))</f>
        <v>0</v>
      </c>
      <c r="U7" s="44"/>
      <c r="V7" s="44"/>
      <c r="W7" s="44"/>
    </row>
    <row r="8" spans="1:23" x14ac:dyDescent="0.25">
      <c r="B8" s="3" t="s">
        <v>54</v>
      </c>
      <c r="C8" s="2">
        <v>0</v>
      </c>
      <c r="D8" s="2">
        <v>0</v>
      </c>
      <c r="E8" s="1">
        <v>0</v>
      </c>
      <c r="F8" s="30">
        <f t="shared" si="0"/>
        <v>0</v>
      </c>
      <c r="G8" s="1"/>
      <c r="I8" s="1">
        <v>2</v>
      </c>
      <c r="J8" s="32" t="s">
        <v>64</v>
      </c>
      <c r="K8" s="4">
        <f>IF(AND(D$7/5&gt;I7,D$7/5&lt;=I8),C$7,IF(AND(D$8/5&gt;I7,D$8/5&lt;=I8),C$8,0))</f>
        <v>0</v>
      </c>
      <c r="L8" s="4">
        <f>IF($J$3-L$122-L$99-L$76-L$53-L$30-K8-K9-K10-K11-K12-K13-K14-K15-K16-K17-K18-K19-K20-K21-K22-K23&gt;0,K7-MIN($J$3-L$122-L$99-L$76-L$53-L$30-K8-K9-K10-K11-K12-K13-K14-K15-K16-K17-K18-K19-K20-K21-K22-K23,K7),K7)</f>
        <v>899</v>
      </c>
      <c r="M8" s="4">
        <f>L7</f>
        <v>0</v>
      </c>
      <c r="N8" s="4">
        <f t="shared" ref="N8:T11" si="1">M7</f>
        <v>0</v>
      </c>
      <c r="O8" s="4">
        <f t="shared" si="1"/>
        <v>0</v>
      </c>
      <c r="P8" s="4">
        <f t="shared" si="1"/>
        <v>0</v>
      </c>
      <c r="Q8" s="4">
        <f t="shared" si="1"/>
        <v>0</v>
      </c>
      <c r="R8" s="4">
        <f t="shared" si="1"/>
        <v>0</v>
      </c>
      <c r="S8" s="4">
        <f t="shared" si="1"/>
        <v>0</v>
      </c>
      <c r="T8" s="4">
        <f t="shared" si="1"/>
        <v>899</v>
      </c>
      <c r="U8" s="44"/>
      <c r="V8" s="44"/>
      <c r="W8" s="44"/>
    </row>
    <row r="9" spans="1:23" x14ac:dyDescent="0.25">
      <c r="B9" s="3" t="s">
        <v>48</v>
      </c>
      <c r="C9" s="41">
        <v>5166</v>
      </c>
      <c r="D9" s="42">
        <v>5</v>
      </c>
      <c r="E9" s="30">
        <v>31.34</v>
      </c>
      <c r="F9" s="30">
        <f t="shared" si="0"/>
        <v>30.399799999999999</v>
      </c>
      <c r="G9" s="1" t="s">
        <v>97</v>
      </c>
      <c r="I9" s="1">
        <v>3</v>
      </c>
      <c r="J9" s="32" t="s">
        <v>65</v>
      </c>
      <c r="K9" s="4">
        <f>IF(AND(D$7/5&gt;I8,D$7/5&lt;=I9),C$7,IF(AND(D$8/5&gt;I8,D$8/5&lt;=I9),C$8,0))</f>
        <v>0</v>
      </c>
      <c r="L9" s="4">
        <f>IF($J$3-L$122-L$99-L$76-L$53-L$30-K9-K10-K11-K12-K13-K14-K15-K16-K17-K18-K19-K20-K21-K22-K23&gt;0,K8-MIN($J$3-L$122-L$99-L$76-L$53-L$30-K9-K10-K11-K12-K13-K14-K15-K16-K17-K18-K19-K20-K21-K22-K23,K8),K8)</f>
        <v>0</v>
      </c>
      <c r="M9" s="4">
        <f>IF($J$3-M$122-M$99-M$76-M$53-M$30-L9-L10-L11-L12-L13-L14-L15-L16-L17-L18-L19-L20-L21-L22-L23&gt;0,L8-MIN($J$3-M$122-M$99-M$76-M$53-M$30-L9-L10-L11-L12-L13-L14-L15-L16-L17-L18-L19-L20-L21-L22-L23,L8),L8)</f>
        <v>899</v>
      </c>
      <c r="N9" s="4">
        <f>M8</f>
        <v>0</v>
      </c>
      <c r="O9" s="4">
        <f t="shared" si="1"/>
        <v>0</v>
      </c>
      <c r="P9" s="4">
        <f t="shared" si="1"/>
        <v>0</v>
      </c>
      <c r="Q9" s="4">
        <f t="shared" si="1"/>
        <v>0</v>
      </c>
      <c r="R9" s="4">
        <f t="shared" si="1"/>
        <v>0</v>
      </c>
      <c r="S9" s="4">
        <f t="shared" si="1"/>
        <v>0</v>
      </c>
      <c r="T9" s="4">
        <f t="shared" si="1"/>
        <v>0</v>
      </c>
      <c r="U9" s="44"/>
      <c r="V9" s="44"/>
      <c r="W9" s="44"/>
    </row>
    <row r="10" spans="1:23" x14ac:dyDescent="0.25">
      <c r="B10" s="3" t="s">
        <v>48</v>
      </c>
      <c r="C10" s="2">
        <v>0</v>
      </c>
      <c r="D10" s="2">
        <v>0</v>
      </c>
      <c r="E10" s="1">
        <v>0</v>
      </c>
      <c r="F10" s="30">
        <f t="shared" si="0"/>
        <v>0</v>
      </c>
      <c r="G10" s="1"/>
      <c r="I10" s="1">
        <v>4</v>
      </c>
      <c r="J10" s="32" t="s">
        <v>66</v>
      </c>
      <c r="K10" s="4">
        <f>IF(AND(D$7/5&gt;I9,D$7/5&lt;=I10),C$7,IF(AND(D$8/5&gt;I9,D$8/5&lt;=I10),C$8,0))</f>
        <v>0</v>
      </c>
      <c r="L10" s="4">
        <f>IF($J$3-L$122-L$99-L$76-L$53-L$30-K10-K11-K12-K13-K14-K15-K16-K17-K18-K19-K20-K21-K22-K23&gt;0,K9-MIN($J$3-L$122-L$99-L$76-L$53-L$30-K10-K11-K12-K13-K14-K15-K16-K17-K18-K19-K20-K21-K22-K23,K9),K9)</f>
        <v>0</v>
      </c>
      <c r="M10" s="4">
        <f>IF($J$3-M$122-M$99-M$76-M$53-M$30-L10-L11-L12-L13-L14-L15-L16-L17-L18-L19-L20-L21-L22-L23&gt;0,L9-MIN($J$3-M$122-M$99-M$76-M$53-M$30-L10-L11-L12-L13-L14-L15-L16-L17-L18-L19-L20-L21-L22-L23,L9),L9)</f>
        <v>0</v>
      </c>
      <c r="N10" s="4">
        <f>IF($J$3-N$122-N$99-N$76-N$53-N$30-M10-M11-M12-M13-M14-M15-M16-M17-M18-M19-M20-M21-M22-M23&gt;0,M9-MIN($J$3-N$122-N$99-N$76-N$53-N$30-M10-M11-M12-M13-M14-M15-M16-M17-M18-M19-M20-M21-M22-M23,M9),M9)</f>
        <v>899</v>
      </c>
      <c r="O10" s="4">
        <f>N9</f>
        <v>0</v>
      </c>
      <c r="P10" s="4">
        <f t="shared" si="1"/>
        <v>0</v>
      </c>
      <c r="Q10" s="4">
        <f t="shared" si="1"/>
        <v>0</v>
      </c>
      <c r="R10" s="4">
        <f t="shared" si="1"/>
        <v>0</v>
      </c>
      <c r="S10" s="4">
        <f t="shared" si="1"/>
        <v>0</v>
      </c>
      <c r="T10" s="4">
        <f t="shared" si="1"/>
        <v>0</v>
      </c>
      <c r="U10" s="44"/>
      <c r="V10" s="44"/>
      <c r="W10" s="44"/>
    </row>
    <row r="11" spans="1:23" x14ac:dyDescent="0.25">
      <c r="B11" s="3" t="s">
        <v>49</v>
      </c>
      <c r="C11" s="41">
        <v>3844</v>
      </c>
      <c r="D11" s="42">
        <v>20</v>
      </c>
      <c r="E11" s="30">
        <v>55.28</v>
      </c>
      <c r="F11" s="30">
        <f t="shared" si="0"/>
        <v>53.621600000000001</v>
      </c>
      <c r="G11" s="1" t="s">
        <v>98</v>
      </c>
      <c r="I11" s="1">
        <v>5</v>
      </c>
      <c r="J11" s="32" t="s">
        <v>67</v>
      </c>
      <c r="K11" s="4">
        <f>IF(AND(D$7/5&gt;I10,D$7/5&lt;=I11),C$7,IF(AND(D$8/5&gt;I10,D$8/5&lt;=I11),C$8,0))</f>
        <v>0</v>
      </c>
      <c r="L11" s="4">
        <f>IF($J$3-L$122-L$99-L$76-L$53-L$30-K11-K12-K13-K14-K15-K16-K17-K18-K19-K20-K21-K22-K23&gt;0,K10-MIN($J$3-L$122-L$99-L$76-L$53-L$30-K11-K12-K13-K14-K15-K16-K17-K18-K19-K20-K21-K22-K23,K10),K10)</f>
        <v>0</v>
      </c>
      <c r="M11" s="4">
        <f>IF($J$3-M$122-M$99-M$76-M$53-M$30-L11-L12-L13-L14-L15-L16-L17-L18-L19-L20-L21-L22-L23&gt;0,L10-MIN($J$3-M$122-M$99-M$76-M$53-M$30-L11-L12-L13-L14-L15-L16-L17-L18-L19-L20-L21-L22-L23,L10),L10)</f>
        <v>0</v>
      </c>
      <c r="N11" s="4">
        <f>IF($J$3-N$122-N$99-N$76-N$53-N$30-M11-M12-M13-M14-M15-M16-M17-M18-M19-M20-M21-M22-M23&gt;0,M10-MIN($J$3-N$122-N$99-N$76-N$53-N$30-M11-M12-M13-M14-M15-M16-M17-M18-M19-M20-M21-M22-M23,M10),M10)</f>
        <v>0</v>
      </c>
      <c r="O11" s="4">
        <f>IF($J$3-O$122-O$99-O$76-O$53-O$30-N11-N12-N13-N14-N15-N16-N17-N18-N19-N20-N21-N22-N23&gt;0,N10-MIN($J$3-O$122-O$99-O$76-O$53-O$30-N11-N12-N13-N14-N15-N16-N17-N18-N19-N20-N21-N22-N23,N10),N10)</f>
        <v>899</v>
      </c>
      <c r="P11" s="4">
        <f>O10</f>
        <v>0</v>
      </c>
      <c r="Q11" s="4">
        <f t="shared" si="1"/>
        <v>0</v>
      </c>
      <c r="R11" s="4">
        <f t="shared" si="1"/>
        <v>0</v>
      </c>
      <c r="S11" s="4">
        <f t="shared" si="1"/>
        <v>0</v>
      </c>
      <c r="T11" s="4">
        <f t="shared" si="1"/>
        <v>0</v>
      </c>
      <c r="U11" s="44"/>
      <c r="V11" s="44"/>
      <c r="W11" s="44"/>
    </row>
    <row r="12" spans="1:23" ht="15.6" x14ac:dyDescent="0.3">
      <c r="A12" s="40"/>
      <c r="B12" s="3" t="s">
        <v>49</v>
      </c>
      <c r="C12" s="2">
        <v>0</v>
      </c>
      <c r="D12" s="2">
        <v>0</v>
      </c>
      <c r="E12" s="1">
        <v>0</v>
      </c>
      <c r="F12" s="30">
        <f t="shared" si="0"/>
        <v>0</v>
      </c>
      <c r="G12" s="1"/>
      <c r="I12" s="1">
        <v>6</v>
      </c>
      <c r="J12" s="32" t="s">
        <v>68</v>
      </c>
      <c r="K12" s="4"/>
      <c r="L12" s="4">
        <f>IF($J$3-L$122-L$99-L$76-L$53-L$30-K12-K13-K14-K15-K16-K17-K18-K19-K20-K21-K22-K23&gt;0,K11-MIN($J$3-L$122-L$99-L$76-L$53-L$30-K12-K13-K14-K15-K16-K17-K18-K19-K20-K21-K22-K23,K11),K11)</f>
        <v>0</v>
      </c>
      <c r="M12" s="4">
        <f>IF($J$3-M$122-M$99-M$76-M$53-M$30-L12-L13-L14-L15-L16-L17-L18-L19-L20-L21-L22-L23&gt;0,L11-MIN($J$3-M$122-M$99-M$76-M$53-M$30-L12-L13-L14-L15-L16-L17-L18-L19-L20-L21-L22-L23,L11),L11)</f>
        <v>0</v>
      </c>
      <c r="N12" s="4">
        <f>IF($J$3-N$122-N$99-N$76-N$53-N$30-M12-M13-M14-M15-M16-M17-M18-M19-M20-M21-M22-M23&gt;0,M11-MIN($J$3-N$122-N$99-N$76-N$53-N$30-M12-M13-M14-M15-M16-M17-M18-M19-M20-M21-M22-M23,M11),M11)</f>
        <v>0</v>
      </c>
      <c r="O12" s="4">
        <f>IF($J$3-O$122-O$99-O$76-O$53-O$30-N12-N13-N14-N15-N16-N17-N18-N19-N20-N21-N22-N23&gt;0,N11-MIN($J$3-O$122-O$99-O$76-O$53-O$30-N12-N13-N14-N15-N16-N17-N18-N19-N20-N21-N22-N23,N11),N11)</f>
        <v>0</v>
      </c>
      <c r="P12" s="4">
        <f>IF($J$3-P$122-P$99-P$76-P$53-P$30-O12-O13-O14-O15-O16-O17-O18-O19-O20-O21-O22-O23&gt;0,O11-MIN($J$3-P$122-P$99-P$76-P$53-P$30-O12-O13-O14-O15-O16-O17-O18-O19-O20-O21-O22-O23,O11),O11)</f>
        <v>899</v>
      </c>
      <c r="Q12" s="4">
        <f>IF($I12*5&lt;=IO.CONTROL!$C$10,P11,0)</f>
        <v>0</v>
      </c>
      <c r="R12" s="4">
        <f>IF($I12*5&lt;=IO.CONTROL!$C$10,Q11,0)</f>
        <v>0</v>
      </c>
      <c r="S12" s="4">
        <f>IF($I12*5&lt;=IO.CONTROL!$C$10,R11,0)</f>
        <v>0</v>
      </c>
      <c r="T12" s="4">
        <f>IF($I12*5&lt;=IO.CONTROL!$C$10,S11,0)</f>
        <v>0</v>
      </c>
      <c r="U12" s="44"/>
      <c r="V12" s="44"/>
      <c r="W12" s="44"/>
    </row>
    <row r="13" spans="1:23" x14ac:dyDescent="0.25">
      <c r="B13" s="3" t="s">
        <v>50</v>
      </c>
      <c r="C13" s="41">
        <v>6145</v>
      </c>
      <c r="D13" s="42">
        <v>30</v>
      </c>
      <c r="E13" s="30">
        <v>81.7</v>
      </c>
      <c r="F13" s="30">
        <f t="shared" si="0"/>
        <v>79.248999999999995</v>
      </c>
      <c r="G13" s="1" t="s">
        <v>99</v>
      </c>
      <c r="I13" s="1">
        <v>7</v>
      </c>
      <c r="J13" s="32" t="s">
        <v>69</v>
      </c>
      <c r="K13" s="4"/>
      <c r="L13" s="4"/>
      <c r="M13" s="4">
        <f>IF($J$3-M$122-M$99-M$76-M$53-M$30-L13-L14-L15-L16-L17-L18-L19-L20-L21-L22-L23&gt;0,L12-MIN($J$3-M$122-M$99-M$76-M$53-M$30-L13-L14-L15-L16-L17-L18-L19-L20-L21-L22-L23,L12),L12)</f>
        <v>0</v>
      </c>
      <c r="N13" s="4">
        <f>IF($J$3-N$122-N$99-N$76-N$53-N$30-M13-M14-M15-M16-M17-M18-M19-M20-M21-M22-M23&gt;0,M12-MIN($J$3-N$122-N$99-N$76-N$53-N$30-M13-M14-M15-M16-M17-M18-M19-M20-M21-M22-M23,M12),M12)</f>
        <v>0</v>
      </c>
      <c r="O13" s="4">
        <f>IF($J$3-O$122-O$99-O$76-O$53-O$30-N13-N14-N15-N16-N17-N18-N19-N20-N21-N22-N23&gt;0,N12-MIN($J$3-O$122-O$99-O$76-O$53-O$30-N13-N14-N15-N16-N17-N18-N19-N20-N21-N22-N23,N12),N12)</f>
        <v>0</v>
      </c>
      <c r="P13" s="4">
        <f>IF($J$3-P$122-P$99-P$76-P$53-P$30-O13-O14-O15-O16-O17-O18-O19-O20-O21-O22-O23&gt;0,O12-MIN($J$3-P$122-P$99-P$76-P$53-P$30-O13-O14-O15-O16-O17-O18-O19-O20-O21-O22-O23,O12),O12)</f>
        <v>0</v>
      </c>
      <c r="Q13" s="4">
        <f>IF($J$3-Q$122-Q$99-Q$76-Q$53-Q$30-P13-P14-P15-P16-P17-P18-P19-P20-P21-P22-P23&gt;0,P12-MIN($J$3-Q$122-Q$99-Q$76-Q$53-Q$30-P13-P14-P15-P16-P17-P18-P19-P20-P21-P22-P23,P12),P12)</f>
        <v>899</v>
      </c>
      <c r="R13" s="4">
        <f>IF($I13*5&lt;=IO.CONTROL!$C$10,Q12,0)</f>
        <v>0</v>
      </c>
      <c r="S13" s="4">
        <f>IF($I13*5&lt;=IO.CONTROL!$C$10,R12,0)</f>
        <v>0</v>
      </c>
      <c r="T13" s="4">
        <f>IF($I13*5&lt;=IO.CONTROL!$C$10,S12,0)</f>
        <v>0</v>
      </c>
      <c r="U13" s="44"/>
      <c r="V13" s="44"/>
      <c r="W13" s="44"/>
    </row>
    <row r="14" spans="1:23" x14ac:dyDescent="0.25">
      <c r="B14" s="3" t="s">
        <v>50</v>
      </c>
      <c r="C14" s="2">
        <v>0</v>
      </c>
      <c r="D14" s="2">
        <v>0</v>
      </c>
      <c r="E14" s="1">
        <v>0</v>
      </c>
      <c r="F14" s="30">
        <f t="shared" si="0"/>
        <v>0</v>
      </c>
      <c r="G14" s="1"/>
      <c r="I14" s="1">
        <v>8</v>
      </c>
      <c r="J14" s="32" t="s">
        <v>70</v>
      </c>
      <c r="K14" s="4"/>
      <c r="L14" s="4"/>
      <c r="M14" s="4"/>
      <c r="N14" s="4">
        <f>IF($J$3-N$122-N$99-N$76-N$53-N$30-M14-M15-M16-M17-M18-M19-M20-M21-M22-M23&gt;0,M13-MIN($J$3-N$122-N$99-N$76-N$53-N$30-M14-M15-M16-M17-M18-M19-M20-M21-M22-M23,M13),M13)</f>
        <v>0</v>
      </c>
      <c r="O14" s="4">
        <f>IF($J$3-O$122-O$99-O$76-O$53-O$30-N14-N15-N16-N17-N18-N19-N20-N21-N22-N23&gt;0,N13-MIN($J$3-O$122-O$99-O$76-O$53-O$30-N14-N15-N16-N17-N18-N19-N20-N21-N22-N23,N13),N13)</f>
        <v>0</v>
      </c>
      <c r="P14" s="4">
        <f>IF($J$3-P$122-P$99-P$76-P$53-P$30-O14-O15-O16-O17-O18-O19-O20-O21-O22-O23&gt;0,O13-MIN($J$3-P$122-P$99-P$76-P$53-P$30-O14-O15-O16-O17-O18-O19-O20-O21-O22-O23,O13),O13)</f>
        <v>0</v>
      </c>
      <c r="Q14" s="4">
        <f>IF($J$3-Q$122-Q$99-Q$76-Q$53-Q$30-P14-P15-P16-P17-P18-P19-P20-P21-P22-P23&gt;0,P13-MIN($J$3-Q$122-Q$99-Q$76-Q$53-Q$30-P14-P15-P16-P17-P18-P19-P20-P21-P22-P23,P13),P13)</f>
        <v>0</v>
      </c>
      <c r="R14" s="4">
        <f>IF($J$3-R$122-R$99-R$76-R$53-R$30-Q14-Q15-Q16-Q17-Q18-Q19-Q20-Q21-Q22-Q23&gt;0,Q13-MIN($J$3-R$122-R$99-R$76-R$53-R$30-Q14-Q15-Q16-Q17-Q18-Q19-Q20-Q21-Q22-Q23,Q13),Q13)</f>
        <v>899</v>
      </c>
      <c r="S14" s="4">
        <f>IF($I14*5&lt;=IO.CONTROL!$C$10,R13,0)</f>
        <v>0</v>
      </c>
      <c r="T14" s="4">
        <f>IF($I14*5&lt;=IO.CONTROL!$C$10,S13,0)</f>
        <v>0</v>
      </c>
      <c r="U14" s="44"/>
      <c r="V14" s="44"/>
      <c r="W14" s="44"/>
    </row>
    <row r="15" spans="1:23" x14ac:dyDescent="0.25">
      <c r="B15" s="3" t="s">
        <v>51</v>
      </c>
      <c r="C15" s="41">
        <v>4898</v>
      </c>
      <c r="D15" s="42">
        <v>50</v>
      </c>
      <c r="E15" s="30">
        <v>120.58</v>
      </c>
      <c r="F15" s="30">
        <f t="shared" si="0"/>
        <v>116.96259999999999</v>
      </c>
      <c r="G15" s="1" t="s">
        <v>100</v>
      </c>
      <c r="I15" s="1">
        <v>9</v>
      </c>
      <c r="J15" s="32" t="s">
        <v>71</v>
      </c>
      <c r="K15" s="4"/>
      <c r="L15" s="4"/>
      <c r="M15" s="4"/>
      <c r="N15" s="4"/>
      <c r="O15" s="4">
        <f>IF($J$3-O$122-O$99-O$76-O$53-O$30-N15-N16-N17-N18-N19-N20-N21-N22-N23&gt;0,N14-MIN($J$3-O$122-O$99-O$76-O$53-O$30-N15-N16-N17-N18-N19-N20-N21-N22-N23,N14),N14)</f>
        <v>0</v>
      </c>
      <c r="P15" s="4">
        <f>IF($J$3-P$122-P$99-P$76-P$53-P$30-O15-O16-O17-O18-O19-O20-O21-O22-O23&gt;0,O14-MIN($J$3-P$122-P$99-P$76-P$53-P$30-O15-O16-O17-O18-O19-O20-O21-O22-O23,O14),O14)</f>
        <v>0</v>
      </c>
      <c r="Q15" s="4">
        <f>IF($J$3-Q$122-Q$99-Q$76-Q$53-Q$30-P15-P16-P17-P18-P19-P20-P21-P22-P23&gt;0,P14-MIN($J$3-Q$122-Q$99-Q$76-Q$53-Q$30-P15-P16-P17-P18-P19-P20-P21-P22-P23,P14),P14)</f>
        <v>0</v>
      </c>
      <c r="R15" s="4">
        <f>IF($J$3-R$122-R$99-R$76-R$53-R$30-Q15-Q16-Q17-Q18-Q19-Q20-Q21-Q22-Q23&gt;0,Q14-MIN($J$3-R$122-R$99-R$76-R$53-R$30-Q15-Q16-Q17-Q18-Q19-Q20-Q21-Q22-Q23,Q14),Q14)</f>
        <v>0</v>
      </c>
      <c r="S15" s="4">
        <f>IF($J$3-S$122-S$99-S$76-S$53-S$30-R15-R16-R17-R18-R19-R20-R21-R22-R23&gt;0,R14-MIN($J$3-S$122-S$99-S$76-S$53-S$30-R15-R16-R17-R18-R19-R20-R21-R22-R23,R14),R14)</f>
        <v>0</v>
      </c>
      <c r="T15" s="4"/>
      <c r="U15" s="44"/>
      <c r="V15" s="44"/>
      <c r="W15" s="44"/>
    </row>
    <row r="16" spans="1:23" x14ac:dyDescent="0.25">
      <c r="B16" s="3" t="s">
        <v>51</v>
      </c>
      <c r="C16" s="2">
        <v>0</v>
      </c>
      <c r="D16" s="2">
        <v>0</v>
      </c>
      <c r="E16" s="1">
        <v>0</v>
      </c>
      <c r="F16" s="30">
        <f t="shared" si="0"/>
        <v>0</v>
      </c>
      <c r="G16" s="1"/>
      <c r="I16" s="1">
        <v>10</v>
      </c>
      <c r="J16" s="32" t="s">
        <v>72</v>
      </c>
      <c r="K16" s="4"/>
      <c r="L16" s="4"/>
      <c r="M16" s="4"/>
      <c r="N16" s="4"/>
      <c r="O16" s="4"/>
      <c r="P16" s="4">
        <f>IF($J$3-P$122-P$99-P$76-P$53-P$30-O16-O17-O18-O19-O20-O21-O22-O23&gt;0,O15-MIN($J$3-P$122-P$99-P$76-P$53-P$30-O16-O17-O18-O19-O20-O21-O22-O23,O15),O15)</f>
        <v>0</v>
      </c>
      <c r="Q16" s="4">
        <f>IF($J$3-Q$122-Q$99-Q$76-Q$53-Q$30-P16-P17-P18-P19-P20-P21-P22-P23&gt;0,P15-MIN($J$3-Q$122-Q$99-Q$76-Q$53-Q$30-P16-P17-P18-P19-P20-P21-P22-P23,P15),P15)</f>
        <v>0</v>
      </c>
      <c r="R16" s="4">
        <f>IF($J$3-R$122-R$99-R$76-R$53-R$30-Q16-Q17-Q18-Q19-Q20-Q21-Q22-Q23&gt;0,Q15-MIN($J$3-R$122-R$99-R$76-R$53-R$30-Q16-Q17-Q18-Q19-Q20-Q21-Q22-Q23,Q15),Q15)</f>
        <v>0</v>
      </c>
      <c r="S16" s="4">
        <f>IF($J$3-S$122-S$99-S$76-S$53-S$30-R16-R17-R18-R19-R20-R21-R22-R23&gt;0,R15-MIN($J$3-S$122-S$99-S$76-S$53-S$30-R16-R17-R18-R19-R20-R21-R22-R23,R15),R15)</f>
        <v>0</v>
      </c>
      <c r="T16" s="4">
        <f>IF($J$3-T$122-T$99-T$76-T$53-T$30-S16-S17-S18-S19-S20-S21-S22-S23&gt;0,S15-MIN($J$3-T$122-T$99-T$76-T$53-T$30-S16-S17-S18-S19-S20-S21-S22-S23,S15),S15)</f>
        <v>0</v>
      </c>
      <c r="U16" s="44"/>
      <c r="V16" s="44"/>
      <c r="W16" s="44"/>
    </row>
    <row r="17" spans="2:23" x14ac:dyDescent="0.25">
      <c r="B17" s="3" t="s">
        <v>52</v>
      </c>
      <c r="C17" s="41">
        <v>9607</v>
      </c>
      <c r="D17" s="42">
        <v>40</v>
      </c>
      <c r="E17" s="30">
        <v>44.65</v>
      </c>
      <c r="F17" s="30">
        <f t="shared" si="0"/>
        <v>43.310499999999998</v>
      </c>
      <c r="G17" s="1" t="s">
        <v>101</v>
      </c>
      <c r="I17" s="1">
        <v>11</v>
      </c>
      <c r="J17" s="32" t="s">
        <v>73</v>
      </c>
      <c r="K17" s="4"/>
      <c r="L17" s="4"/>
      <c r="M17" s="4"/>
      <c r="N17" s="4"/>
      <c r="O17" s="4"/>
      <c r="P17" s="4"/>
      <c r="Q17" s="4">
        <f>IF($J$3-Q$122-Q$99-Q$76-Q$53-Q$30-P17-P18-P19-P20-P21-P22-P23&gt;0,P16-MIN($J$3-Q$122-Q$99-Q$76-Q$53-Q$30-P17-P18-P19-P20-P21-P22-P23,P16),P16)</f>
        <v>0</v>
      </c>
      <c r="R17" s="4">
        <f>IF($J$3-R$122-R$99-R$76-R$53-R$30-Q17-Q18-Q19-Q20-Q21-Q22-Q23&gt;0,Q16-MIN($J$3-R$122-R$99-R$76-R$53-R$30-Q17-Q18-Q19-Q20-Q21-Q22-Q23,Q16),Q16)</f>
        <v>0</v>
      </c>
      <c r="S17" s="4">
        <f>IF($J$3-S$122-S$99-S$76-S$53-S$30-R17-R18-R19-R20-R21-R22-R23&gt;0,R16-MIN($J$3-S$122-S$99-S$76-S$53-S$30-R17-R18-R19-R20-R21-R22-R23,R16),R16)</f>
        <v>0</v>
      </c>
      <c r="T17" s="4">
        <f>IF($J$3-T$122-T$99-T$76-T$53-T$30-S17-S18-S19-S20-S21-S22-S23&gt;0,S16-MIN($J$3-T$122-T$99-T$76-T$53-T$30-S17-S18-S19-S20-S21-S22-S23,S16),S16)</f>
        <v>0</v>
      </c>
      <c r="U17" s="44"/>
      <c r="V17" s="44"/>
      <c r="W17" s="44"/>
    </row>
    <row r="18" spans="2:23" x14ac:dyDescent="0.25">
      <c r="B18" s="3" t="s">
        <v>52</v>
      </c>
      <c r="C18" s="2">
        <v>0</v>
      </c>
      <c r="D18" s="42">
        <v>0</v>
      </c>
      <c r="E18" s="1">
        <v>0</v>
      </c>
      <c r="F18" s="30">
        <f t="shared" si="0"/>
        <v>0</v>
      </c>
      <c r="H18" s="26"/>
      <c r="I18" s="1">
        <v>12</v>
      </c>
      <c r="J18" s="32" t="s">
        <v>74</v>
      </c>
      <c r="K18" s="4"/>
      <c r="L18" s="4"/>
      <c r="M18" s="4"/>
      <c r="N18" s="4"/>
      <c r="O18" s="4"/>
      <c r="P18" s="4"/>
      <c r="Q18" s="4"/>
      <c r="R18" s="4">
        <f>IF($J$3-R$122-R$99-R$76-R$53-R$30-Q18-Q19-Q20-Q21-Q22-Q23&gt;0,Q17-MIN($J$3-R$122-R$99-R$76-R$53-R$30-Q18-Q19-Q20-Q21-Q22-Q23,Q17),Q17)</f>
        <v>0</v>
      </c>
      <c r="S18" s="4">
        <f>IF($J$3-S$122-S$99-S$76-S$53-S$30-R18-R19-R20-R21-R22-R23&gt;0,R17-MIN($J$3-S$122-S$99-S$76-S$53-S$30-R18-R19-R20-R21-R22-R23,R17),R17)</f>
        <v>0</v>
      </c>
      <c r="T18" s="4">
        <f>IF($J$3-T$122-T$99-T$76-T$53-T$30-S18-S19-S20-S21-S22-S23&gt;0,S17-MIN($J$3-T$122-T$99-T$76-T$53-T$30-S18-S19-S20-S21-S22-S23,S17),S17)</f>
        <v>0</v>
      </c>
      <c r="U18" s="44"/>
      <c r="V18" s="44"/>
      <c r="W18" s="44"/>
    </row>
    <row r="19" spans="2:23" x14ac:dyDescent="0.25">
      <c r="B19" s="3" t="s">
        <v>55</v>
      </c>
      <c r="C19" s="4">
        <f>SUM(C7:C17)</f>
        <v>30559</v>
      </c>
      <c r="D19" s="2"/>
      <c r="I19" s="32" t="s">
        <v>80</v>
      </c>
      <c r="J19" s="46" t="s">
        <v>82</v>
      </c>
      <c r="K19" s="4"/>
      <c r="L19" s="4"/>
      <c r="M19" s="4"/>
      <c r="N19" s="4"/>
      <c r="O19" s="4"/>
      <c r="P19" s="4"/>
      <c r="Q19" s="4"/>
      <c r="R19" s="4"/>
      <c r="S19" s="4">
        <f>IF($J$3-S$122-S$99-S$76-S$53-S$30-R19-R20-R21-R22-R23&gt;0,R18-MIN($J$3-S$122-S$99-S$76-S$53-S$30-R19-R20-R21-R22-R23,R18),R18)</f>
        <v>0</v>
      </c>
      <c r="T19" s="4">
        <f>IF($J$3-T$122-T$99-T$76-T$53-T$30-S19-S20-S21-S22-S23&gt;0,S18-MIN($J$3-T$122-T$99-T$76-T$53-T$30-S19-S20-S21-S22-S23,S18),S18)</f>
        <v>0</v>
      </c>
    </row>
    <row r="20" spans="2:23" x14ac:dyDescent="0.25">
      <c r="C20" s="4"/>
      <c r="D20" s="2"/>
      <c r="I20" s="32" t="s">
        <v>81</v>
      </c>
      <c r="J20" s="46" t="s">
        <v>83</v>
      </c>
      <c r="K20" s="4"/>
      <c r="L20" s="4"/>
      <c r="M20" s="4"/>
      <c r="N20" s="4"/>
      <c r="O20" s="4"/>
      <c r="P20" s="4"/>
      <c r="Q20" s="4"/>
      <c r="R20" s="4"/>
      <c r="S20" s="4"/>
      <c r="T20" s="4">
        <f>IF($J$3-T$122-T$99-T$76-T$53-T$30-S20-S21-S22-S23&gt;0,S19-MIN($J$3-T$122-T$99-T$76-T$53-T$30-S20-S21-S22-S23,S19),S19)</f>
        <v>0</v>
      </c>
    </row>
    <row r="21" spans="2:23" x14ac:dyDescent="0.25">
      <c r="B21" s="3" t="s">
        <v>59</v>
      </c>
      <c r="C21" s="29">
        <v>0.97</v>
      </c>
      <c r="D21" s="140" t="s">
        <v>129</v>
      </c>
      <c r="E21" s="141"/>
      <c r="F21" s="141"/>
      <c r="G21" s="141"/>
      <c r="I21" s="32" t="s">
        <v>84</v>
      </c>
      <c r="J21" s="46" t="s">
        <v>88</v>
      </c>
      <c r="K21" s="46"/>
      <c r="L21" s="4"/>
      <c r="M21" s="4"/>
      <c r="N21" s="4"/>
      <c r="O21" s="4"/>
      <c r="P21" s="4"/>
      <c r="Q21" s="4"/>
      <c r="R21" s="4"/>
      <c r="S21" s="4"/>
      <c r="T21" s="4"/>
    </row>
    <row r="22" spans="2:23" x14ac:dyDescent="0.25">
      <c r="D22" s="65"/>
      <c r="E22" s="65"/>
      <c r="F22" s="65"/>
      <c r="G22" s="65"/>
      <c r="I22" s="32" t="s">
        <v>85</v>
      </c>
      <c r="J22" s="46" t="s">
        <v>89</v>
      </c>
      <c r="K22" s="46"/>
      <c r="L22" s="4"/>
      <c r="M22" s="4"/>
      <c r="N22" s="4"/>
      <c r="O22" s="4"/>
      <c r="P22" s="4"/>
      <c r="Q22" s="4"/>
      <c r="R22" s="4"/>
      <c r="S22" s="4"/>
      <c r="T22" s="4"/>
    </row>
    <row r="23" spans="2:23" x14ac:dyDescent="0.25">
      <c r="C23" s="172" t="s">
        <v>105</v>
      </c>
      <c r="D23" s="141"/>
      <c r="E23" s="141"/>
      <c r="F23" s="141"/>
      <c r="G23" s="141"/>
      <c r="I23" s="32" t="s">
        <v>86</v>
      </c>
      <c r="J23" s="46" t="s">
        <v>90</v>
      </c>
      <c r="K23" s="46"/>
      <c r="L23" s="4"/>
      <c r="M23" s="4"/>
      <c r="N23" s="4"/>
      <c r="O23" s="4"/>
      <c r="P23" s="4"/>
      <c r="Q23" s="4"/>
      <c r="R23" s="4"/>
      <c r="S23" s="4"/>
      <c r="T23" s="4"/>
    </row>
    <row r="24" spans="2:23" x14ac:dyDescent="0.25">
      <c r="C24" s="172" t="s">
        <v>103</v>
      </c>
      <c r="D24" s="141"/>
      <c r="E24" s="141"/>
      <c r="F24" s="141"/>
      <c r="G24" s="141"/>
      <c r="I24" s="32" t="s">
        <v>87</v>
      </c>
      <c r="J24" s="46" t="s">
        <v>91</v>
      </c>
      <c r="K24" s="46"/>
      <c r="L24" s="4"/>
      <c r="M24" s="4"/>
      <c r="N24" s="4"/>
      <c r="O24" s="4"/>
      <c r="P24" s="4"/>
      <c r="Q24" s="4"/>
      <c r="R24" s="4"/>
      <c r="S24" s="4"/>
      <c r="T24" s="4"/>
    </row>
    <row r="25" spans="2:23" x14ac:dyDescent="0.25">
      <c r="C25" s="4"/>
      <c r="D25" s="2"/>
      <c r="I25" s="32"/>
      <c r="J25" s="46" t="s">
        <v>92</v>
      </c>
      <c r="K25" s="4">
        <f>SUM(K7:K24)</f>
        <v>899</v>
      </c>
      <c r="L25" s="4">
        <f>SUM(L8:L24)</f>
        <v>899</v>
      </c>
      <c r="M25" s="4">
        <f>SUM(M9:M24)</f>
        <v>899</v>
      </c>
      <c r="N25" s="4">
        <f>SUM(N10:N24)</f>
        <v>899</v>
      </c>
      <c r="O25" s="4">
        <f>SUM(O11:O24)</f>
        <v>899</v>
      </c>
      <c r="P25" s="4">
        <f>SUM(P12:P24)</f>
        <v>899</v>
      </c>
      <c r="Q25" s="4">
        <f>SUM(Q13:Q24)</f>
        <v>899</v>
      </c>
      <c r="R25" s="4">
        <f>SUM(R14:R24)</f>
        <v>899</v>
      </c>
      <c r="S25" s="4">
        <f>SUM(S15:S24)</f>
        <v>0</v>
      </c>
      <c r="T25" s="4">
        <f>SUM(T16:T24)</f>
        <v>0</v>
      </c>
    </row>
    <row r="26" spans="2:23" x14ac:dyDescent="0.25">
      <c r="B26" s="3" t="s">
        <v>126</v>
      </c>
      <c r="C26" s="31">
        <v>10</v>
      </c>
      <c r="I26" s="32"/>
      <c r="J26" s="46"/>
      <c r="K26" s="46"/>
    </row>
    <row r="27" spans="2:23" x14ac:dyDescent="0.25">
      <c r="I27" s="3" t="s">
        <v>93</v>
      </c>
      <c r="J27" s="46" t="s">
        <v>48</v>
      </c>
      <c r="L27" s="150" t="s">
        <v>79</v>
      </c>
      <c r="M27" s="164"/>
      <c r="N27" s="164"/>
      <c r="O27" s="164"/>
      <c r="P27" s="164"/>
      <c r="Q27" s="164"/>
      <c r="R27" s="164"/>
      <c r="S27" s="164"/>
      <c r="T27" s="164"/>
    </row>
    <row r="28" spans="2:23" x14ac:dyDescent="0.25">
      <c r="B28" s="26" t="s">
        <v>113</v>
      </c>
      <c r="C28" s="4"/>
      <c r="D28" s="2"/>
      <c r="J28" s="46" t="s">
        <v>6</v>
      </c>
      <c r="K28" s="46" t="s">
        <v>75</v>
      </c>
      <c r="L28" s="1">
        <v>1</v>
      </c>
      <c r="M28" s="1">
        <v>2</v>
      </c>
      <c r="N28" s="1">
        <v>3</v>
      </c>
      <c r="O28" s="1">
        <v>4</v>
      </c>
      <c r="P28" s="1">
        <v>5</v>
      </c>
      <c r="Q28" s="1">
        <v>6</v>
      </c>
      <c r="R28" s="1">
        <v>7</v>
      </c>
      <c r="S28" s="1">
        <v>8</v>
      </c>
      <c r="T28" s="1">
        <v>9</v>
      </c>
      <c r="U28" s="28"/>
      <c r="V28" s="28"/>
      <c r="W28" s="28"/>
    </row>
    <row r="29" spans="2:23" x14ac:dyDescent="0.25">
      <c r="B29" s="1" t="s">
        <v>106</v>
      </c>
      <c r="C29" s="4" t="s">
        <v>107</v>
      </c>
      <c r="D29" s="1" t="s">
        <v>108</v>
      </c>
      <c r="I29" s="1" t="s">
        <v>62</v>
      </c>
      <c r="J29" s="46" t="s">
        <v>76</v>
      </c>
      <c r="K29" s="46" t="s">
        <v>77</v>
      </c>
      <c r="L29" s="32" t="s">
        <v>63</v>
      </c>
      <c r="M29" s="32" t="s">
        <v>64</v>
      </c>
      <c r="N29" s="32" t="s">
        <v>65</v>
      </c>
      <c r="O29" s="32" t="s">
        <v>66</v>
      </c>
      <c r="P29" s="32" t="s">
        <v>67</v>
      </c>
      <c r="Q29" s="32" t="s">
        <v>68</v>
      </c>
      <c r="R29" s="32" t="s">
        <v>69</v>
      </c>
      <c r="S29" s="32" t="s">
        <v>70</v>
      </c>
      <c r="T29" s="32" t="s">
        <v>71</v>
      </c>
      <c r="U29" s="32"/>
      <c r="V29" s="32"/>
      <c r="W29" s="32"/>
    </row>
    <row r="30" spans="2:23" x14ac:dyDescent="0.25">
      <c r="B30" s="3" t="s">
        <v>54</v>
      </c>
      <c r="C30" s="29">
        <v>116.96</v>
      </c>
      <c r="D30" s="30">
        <f>C30-$C$26</f>
        <v>106.96</v>
      </c>
      <c r="I30" s="1">
        <v>1</v>
      </c>
      <c r="J30" s="32" t="s">
        <v>63</v>
      </c>
      <c r="K30" s="4">
        <f>IF(AND(D$9/5&gt;=0,D$9/5&lt;=I30),C$9,IF(AND(D$10/5&gt;=0,D$10/5&lt;=I30),C$10,0))</f>
        <v>5166</v>
      </c>
      <c r="L30" s="4">
        <f>IF(L28*5&lt;=IO.CONTROL!$C$10,K48-L48,VLOOKUP((IO.CONTROL!$C$10/5)+1,$I30:$T47,3+L28))</f>
        <v>0</v>
      </c>
      <c r="M30" s="4">
        <f>IF(M28*5&lt;=IO.CONTROL!$C$10,L48-M48,VLOOKUP((IO.CONTROL!$C$10/5)+1,$I30:$T47,3+M28))</f>
        <v>0</v>
      </c>
      <c r="N30" s="4">
        <f>IF(N28*5&lt;=IO.CONTROL!$C$10,M48-N48,VLOOKUP((IO.CONTROL!$C$10/5)+1,$I30:$T47,3+N28))</f>
        <v>0</v>
      </c>
      <c r="O30" s="4">
        <f>IF(O28*5&lt;=IO.CONTROL!$C$10,N48-O48,VLOOKUP((IO.CONTROL!$C$10/5)+1,$I30:$T47,3+O28))</f>
        <v>0</v>
      </c>
      <c r="P30" s="4">
        <f>IF(P28*5&lt;=IO.CONTROL!$C$10,O48-P48,VLOOKUP((IO.CONTROL!$C$10/5),$I30:$T47,2+P28))</f>
        <v>0</v>
      </c>
      <c r="Q30" s="4">
        <f>IF(Q28*5&lt;=IO.CONTROL!$C$10,P48-Q48,VLOOKUP((IO.CONTROL!$C$10/5),$I30:$T47,2+Q28))</f>
        <v>0</v>
      </c>
      <c r="R30" s="4">
        <f>IF(R28*5&lt;=IO.CONTROL!$C$10,Q48-R48,VLOOKUP((IO.CONTROL!$C$10/5),$I30:$T47,2+R28))</f>
        <v>2245.125</v>
      </c>
      <c r="S30" s="4">
        <f>IF(S28*5&lt;=IO.CONTROL!$C$10,R48-S48,VLOOKUP((IO.CONTROL!$C$10/5),$I30:$T47,2+S28))</f>
        <v>2920.875</v>
      </c>
      <c r="T30" s="4">
        <f>IF(T28*5&lt;=IO.CONTROL!$C$10,S48-T48,VLOOKUP((IO.CONTROL!$C$10/5),$I30:$T47,2+T28))</f>
        <v>0</v>
      </c>
      <c r="U30" s="44"/>
      <c r="V30" s="44"/>
      <c r="W30" s="44"/>
    </row>
    <row r="31" spans="2:23" x14ac:dyDescent="0.25">
      <c r="B31" s="3" t="s">
        <v>54</v>
      </c>
      <c r="C31" s="29"/>
      <c r="D31" s="30"/>
      <c r="I31" s="1">
        <v>2</v>
      </c>
      <c r="J31" s="32" t="s">
        <v>64</v>
      </c>
      <c r="K31" s="4">
        <f>IF(AND(D$9/5&gt;I30,D$9/5&lt;=I31),C$9,IF(AND(D$10/5&gt;I30,D$10/5&lt;=I31),C$10,0))</f>
        <v>0</v>
      </c>
      <c r="L31" s="4">
        <f>IF($J$3-L$122-L$99-L$76-L$53-K31-K32-K33-K34-K35-K36-K37-K38-K39-K40-K41-K42-K43-K44-K45-K46&gt;0,K30-MIN($J$3-L$122-L$99-L$76-L$53-K31-K32-K33-K34-K35-K36-K37-K38-K39-K40-K41-K42-K43-K44-K45-K46,K30),K30)</f>
        <v>5166</v>
      </c>
      <c r="M31" s="4">
        <f>L30</f>
        <v>0</v>
      </c>
      <c r="N31" s="4">
        <f t="shared" ref="N31:T34" si="2">M30</f>
        <v>0</v>
      </c>
      <c r="O31" s="4">
        <f t="shared" si="2"/>
        <v>0</v>
      </c>
      <c r="P31" s="4">
        <f t="shared" si="2"/>
        <v>0</v>
      </c>
      <c r="Q31" s="4">
        <f t="shared" si="2"/>
        <v>0</v>
      </c>
      <c r="R31" s="4">
        <f t="shared" si="2"/>
        <v>0</v>
      </c>
      <c r="S31" s="4">
        <f t="shared" si="2"/>
        <v>2245.125</v>
      </c>
      <c r="T31" s="4">
        <f t="shared" si="2"/>
        <v>2920.875</v>
      </c>
      <c r="U31" s="44"/>
      <c r="V31" s="44"/>
      <c r="W31" s="44"/>
    </row>
    <row r="32" spans="2:23" x14ac:dyDescent="0.25">
      <c r="B32" s="3" t="s">
        <v>48</v>
      </c>
      <c r="C32" s="29">
        <v>116.96</v>
      </c>
      <c r="D32" s="30">
        <f t="shared" ref="D32:D40" si="3">C32-$C$26</f>
        <v>106.96</v>
      </c>
      <c r="I32" s="1">
        <v>3</v>
      </c>
      <c r="J32" s="32" t="s">
        <v>65</v>
      </c>
      <c r="K32" s="4">
        <f>IF(AND(D$9/5&gt;I31,D$9/5&lt;=I32),C$9,IF(AND(D$10/5&gt;I31,D$10/5&lt;=I32),C$10,0))</f>
        <v>0</v>
      </c>
      <c r="L32" s="4">
        <f>IF($J$3-L$122-L$99-L$76-L$53-K32-K33-K34-K35-K36-K37-K38-K39-K40-K41-K42-K43-K44-K45-K46&gt;0,K31-MIN($J$3-L$122-L$99-L$76-L$53-K32-K33-K34-K35-K36-K37-K38-K39-K40-K41-K42-K43-K44-K45-K46,K31),K31)</f>
        <v>0</v>
      </c>
      <c r="M32" s="4">
        <f>IF($J$3-M$122-M$99-M$76-M$53-L32-L33-L34-L35-L36-L37-L38-L39-L40-L41-L42-L43-L44-L45-L46&gt;0,L31-MIN($J$3-M$122-M$99-M$76-M$53-L32-L33-L34-L35-L36-L37-L38-L39-L40-L41-L42-L43-L44-L45-L46,L31),L31)</f>
        <v>5166</v>
      </c>
      <c r="N32" s="4">
        <f>M31</f>
        <v>0</v>
      </c>
      <c r="O32" s="4">
        <f t="shared" si="2"/>
        <v>0</v>
      </c>
      <c r="P32" s="4">
        <f t="shared" si="2"/>
        <v>0</v>
      </c>
      <c r="Q32" s="4">
        <f t="shared" si="2"/>
        <v>0</v>
      </c>
      <c r="R32" s="4">
        <f t="shared" si="2"/>
        <v>0</v>
      </c>
      <c r="S32" s="4">
        <f t="shared" si="2"/>
        <v>0</v>
      </c>
      <c r="T32" s="4">
        <f t="shared" si="2"/>
        <v>2245.125</v>
      </c>
      <c r="U32" s="44"/>
      <c r="V32" s="44"/>
      <c r="W32" s="44"/>
    </row>
    <row r="33" spans="2:23" x14ac:dyDescent="0.25">
      <c r="B33" s="3" t="s">
        <v>48</v>
      </c>
      <c r="C33" s="29"/>
      <c r="D33" s="30"/>
      <c r="I33" s="1">
        <v>4</v>
      </c>
      <c r="J33" s="32" t="s">
        <v>66</v>
      </c>
      <c r="K33" s="4">
        <f>IF(AND(D$9/5&gt;I32,D$9/5&lt;=I33),C$9,IF(AND(D$10/5&gt;I32,D$10/5&lt;=I33),C$10,0))</f>
        <v>0</v>
      </c>
      <c r="L33" s="4">
        <f>IF($J$3-L$122-L$99-L$76-L$53-K33-K34-K35-K36-K37-K38-K39-K40-K41-K42-K43-K44-K45-K46&gt;0,K32-MIN($J$3-L$122-L$99-L$76-L$53-K33-K34-K35-K36-K37-K38-K39-K40-K41-K42-K43-K44-K45-K46,K32),K32)</f>
        <v>0</v>
      </c>
      <c r="M33" s="4">
        <f>IF($J$3-M$122-M$99-M$76-M$53-L33-L34-L35-L36-L37-L38-L39-L40-L41-L42-L43-L44-L45-L46&gt;0,L32-MIN($J$3-M$122-M$99-M$76-M$53-L33-L34-L35-L36-L37-L38-L39-L40-L41-L42-L43-L44-L45-L46,L32),L32)</f>
        <v>0</v>
      </c>
      <c r="N33" s="4">
        <f>IF($J$3-N$122-N$99-N$76-N$53-M33-M34-M35-M36-M37-M38-M39-M40-M41-M42-M43-M44-M45-M46&gt;0,M32-MIN($J$3-N$122-N$99-N$76-N$53-M33-M34-M35-M36-M37-M38-M39-M40-M41-M42-M43-M44-M45-M46,M32),M32)</f>
        <v>5166</v>
      </c>
      <c r="O33" s="4">
        <f>N32</f>
        <v>0</v>
      </c>
      <c r="P33" s="4">
        <f t="shared" si="2"/>
        <v>0</v>
      </c>
      <c r="Q33" s="4">
        <f t="shared" si="2"/>
        <v>0</v>
      </c>
      <c r="R33" s="4">
        <f t="shared" si="2"/>
        <v>0</v>
      </c>
      <c r="S33" s="4">
        <f t="shared" si="2"/>
        <v>0</v>
      </c>
      <c r="T33" s="4">
        <f t="shared" si="2"/>
        <v>0</v>
      </c>
      <c r="U33" s="44"/>
      <c r="V33" s="44"/>
      <c r="W33" s="44"/>
    </row>
    <row r="34" spans="2:23" x14ac:dyDescent="0.25">
      <c r="B34" s="3" t="s">
        <v>49</v>
      </c>
      <c r="C34" s="29">
        <v>116.96</v>
      </c>
      <c r="D34" s="30">
        <f t="shared" si="3"/>
        <v>106.96</v>
      </c>
      <c r="I34" s="1">
        <v>5</v>
      </c>
      <c r="J34" s="32" t="s">
        <v>67</v>
      </c>
      <c r="K34" s="4"/>
      <c r="L34" s="4">
        <f>IF($J$3-L$122-L$99-L$76-L$53-K34-K35-K36-K37-K38-K39-K40-K41-K42-K43-K44-K45-K46&gt;0,K33-MIN($J$3-L$122-L$99-L$76-L$53-K34-K35-K36-K37-K38-K39-K40-K41-K42-K43-K44-K45-K46,K33),K33)</f>
        <v>0</v>
      </c>
      <c r="M34" s="4">
        <f>IF($J$3-M$122-M$99-M$76-M$53-L34-L35-L36-L37-L38-L39-L40-L41-L42-L43-L44-L45-L46&gt;0,L33-MIN($J$3-M$122-M$99-M$76-M$53-L34-L35-L36-L37-L38-L39-L40-L41-L42-L43-L44-L45-L46,L33),L33)</f>
        <v>0</v>
      </c>
      <c r="N34" s="4">
        <f>IF($J$3-N$122-N$99-N$76-N$53-M34-M35-M36-M37-M38-M39-M40-M41-M42-M43-M44-M45-M46&gt;0,M33-MIN($J$3-N$122-N$99-N$76-N$53-M34-M35-M36-M37-M38-M39-M40-M41-M42-M43-M44-M45-M46,M33),M33)</f>
        <v>0</v>
      </c>
      <c r="O34" s="4">
        <f>IF($J$3-O$122-O$99-O$76-O$53-N34-N35-N36-N37-N38-N39-N40-N41-N42-N43-N44-N45-N46&gt;0,N33-MIN($J$3-O$122-O$99-O$76-O$53-N34-N35-N36-N37-N38-N39-N40-N41-N42-N43-N44-N45-N46,N33),N33)</f>
        <v>5166</v>
      </c>
      <c r="P34" s="4">
        <f>O33</f>
        <v>0</v>
      </c>
      <c r="Q34" s="4">
        <f t="shared" si="2"/>
        <v>0</v>
      </c>
      <c r="R34" s="4">
        <f t="shared" si="2"/>
        <v>0</v>
      </c>
      <c r="S34" s="4">
        <f t="shared" si="2"/>
        <v>0</v>
      </c>
      <c r="T34" s="4">
        <f t="shared" si="2"/>
        <v>0</v>
      </c>
      <c r="U34" s="44"/>
      <c r="V34" s="44"/>
      <c r="W34" s="44"/>
    </row>
    <row r="35" spans="2:23" x14ac:dyDescent="0.25">
      <c r="B35" s="3" t="s">
        <v>49</v>
      </c>
      <c r="C35" s="29"/>
      <c r="D35" s="30"/>
      <c r="I35" s="1">
        <v>6</v>
      </c>
      <c r="J35" s="32" t="s">
        <v>68</v>
      </c>
      <c r="K35" s="4"/>
      <c r="L35" s="4"/>
      <c r="M35" s="4">
        <f>IF($J$3-M$122-M$99-M$76-M$53-L35-L36-L37-L38-L39-L40-L41-L42-L43-L44-L45-L46&gt;0,L34-MIN($J$3-M$122-M$99-M$76-M$53-L35-L36-L37-L38-L39-L40-L41-L42-L43-L44-L45-L46,L34),L34)</f>
        <v>0</v>
      </c>
      <c r="N35" s="4">
        <f>IF($J$3-N$122-N$99-N$76-N$53-M35-M36-M37-M38-M39-M40-M41-M42-M43-M44-M45-M46&gt;0,M34-MIN($J$3-N$122-N$99-N$76-N$53-M35-M36-M37-M38-M39-M40-M41-M42-M43-M44-M45-M46,M34),M34)</f>
        <v>0</v>
      </c>
      <c r="O35" s="4">
        <f>IF($J$3-O$122-O$99-O$76-O$53-N35-N36-N37-N38-N39-N40-N41-N42-N43-N44-N45-N46&gt;0,N34-MIN($J$3-O$122-O$99-O$76-O$53-N35-N36-N37-N38-N39-N40-N41-N42-N43-N44-N45-N46,N34),N34)</f>
        <v>0</v>
      </c>
      <c r="P35" s="4">
        <f>IF($J$3-P$122-P$99-P$76-P$53-O35-O36-O37-O38-O39-O40-O41-O42-O43-O44-O45-O46&gt;0,O34-MIN($J$3-P$122-P$99-P$76-P$53-O35-O36-O37-O38-O39-O40-O41-O42-O43-O44-O45-O46,O34),O34)</f>
        <v>5166</v>
      </c>
      <c r="Q35" s="4">
        <f>IF($I35*5&lt;=IO.CONTROL!$C$10,P34,0)</f>
        <v>0</v>
      </c>
      <c r="R35" s="4">
        <f>IF($I35*5&lt;=IO.CONTROL!$C$10,Q34,0)</f>
        <v>0</v>
      </c>
      <c r="S35" s="4">
        <f>IF($I35*5&lt;=IO.CONTROL!$C$10,R34,0)</f>
        <v>0</v>
      </c>
      <c r="T35" s="4">
        <f>IF($I35*5&lt;=IO.CONTROL!$C$10,S34,0)</f>
        <v>0</v>
      </c>
      <c r="U35" s="44"/>
      <c r="V35" s="44"/>
      <c r="W35" s="44"/>
    </row>
    <row r="36" spans="2:23" x14ac:dyDescent="0.25">
      <c r="B36" s="3" t="s">
        <v>50</v>
      </c>
      <c r="C36" s="29">
        <v>116.96</v>
      </c>
      <c r="D36" s="30">
        <f t="shared" si="3"/>
        <v>106.96</v>
      </c>
      <c r="I36" s="1">
        <v>7</v>
      </c>
      <c r="J36" s="32" t="s">
        <v>69</v>
      </c>
      <c r="K36" s="4"/>
      <c r="L36" s="4"/>
      <c r="M36" s="4"/>
      <c r="N36" s="4">
        <f>IF($J$3-N$122-N$99-N$76-N$53-M36-M37-M38-M39-M40-M41-M42-M43-M44-M45-M46&gt;0,M35-MIN($J$3-N$122-N$99-N$76-N$53-M36-M37-M38-M39-M40-M41-M42-M43-M44-M45-M46,M35),M35)</f>
        <v>0</v>
      </c>
      <c r="O36" s="4">
        <f>IF($J$3-O$122-O$99-O$76-O$53-N36-N37-N38-N39-N40-N41-N42-N43-N44-N45-N46&gt;0,N35-MIN($J$3-O$122-O$99-O$76-O$53-N36-N37-N38-N39-N40-N41-N42-N43-N44-N45-N46,N35),N35)</f>
        <v>0</v>
      </c>
      <c r="P36" s="4">
        <f>IF($J$3-P$122-P$99-P$76-P$53-O36-O37-O38-O39-O40-O41-O42-O43-O44-O45-O46&gt;0,O35-MIN($J$3-P$122-P$99-P$76-P$53-O36-O37-O38-O39-O40-O41-O42-O43-O44-O45-O46,O35),O35)</f>
        <v>0</v>
      </c>
      <c r="Q36" s="4">
        <f>IF($J$3-Q$122-Q$99-Q$76-Q$53-P36-P37-P38-P39-P40-P41-P42-P43-P44-P45-P46&gt;0,P35-MIN($J$3-Q$122-Q$99-Q$76-Q$53-P36-P37-P38-P39-P40-P41-P42-P43-P44-P45-P46,P35),P35)</f>
        <v>5166</v>
      </c>
      <c r="R36" s="4">
        <f>IF($I36*5&lt;=IO.CONTROL!$C$10,Q35,0)</f>
        <v>0</v>
      </c>
      <c r="S36" s="4">
        <f>IF($I36*5&lt;=IO.CONTROL!$C$10,R35,0)</f>
        <v>0</v>
      </c>
      <c r="T36" s="4">
        <f>IF($I36*5&lt;=IO.CONTROL!$C$10,S35,0)</f>
        <v>0</v>
      </c>
      <c r="U36" s="44"/>
      <c r="V36" s="44"/>
      <c r="W36" s="44"/>
    </row>
    <row r="37" spans="2:23" x14ac:dyDescent="0.25">
      <c r="B37" s="3" t="s">
        <v>50</v>
      </c>
      <c r="C37" s="29"/>
      <c r="D37" s="30"/>
      <c r="I37" s="1">
        <v>8</v>
      </c>
      <c r="J37" s="32" t="s">
        <v>70</v>
      </c>
      <c r="K37" s="4"/>
      <c r="L37" s="4"/>
      <c r="M37" s="4"/>
      <c r="N37" s="4"/>
      <c r="O37" s="4">
        <f>IF($J$3-O$122-O$99-O$76-O$53-N37-N38-N39-N40-N41-N42-N43-N44-N45-N46&gt;0,N36-MIN($J$3-O$122-O$99-O$76-O$53-N37-N38-N39-N40-N41-N42-N43-N44-N45-N46,N36),N36)</f>
        <v>0</v>
      </c>
      <c r="P37" s="4">
        <f>IF($J$3-P$122-P$99-P$76-P$53-O37-O38-O39-O40-O41-O42-O43-O44-O45-O46&gt;0,O36-MIN($J$3-P$122-P$99-P$76-P$53-O37-O38-O39-O40-O41-O42-O43-O44-O45-O46,O36),O36)</f>
        <v>0</v>
      </c>
      <c r="Q37" s="4">
        <f>IF($J$3-Q$122-Q$99-Q$76-Q$53-P37-P38-P39-P40-P41-P42-P43-P44-P45-P46&gt;0,P36-MIN($J$3-Q$122-Q$99-Q$76-Q$53-P37-P38-P39-P40-P41-P42-P43-P44-P45-P46,P36),P36)</f>
        <v>0</v>
      </c>
      <c r="R37" s="4">
        <f>IF($J$3-R$122-R$99-R$76-R$53-Q37-Q38-Q39-Q40-Q41-Q42-Q43-Q44-Q45-Q46&gt;0,Q36-MIN($J$3-R$122-R$99-R$76-R$53-Q37-Q38-Q39-Q40-Q41-Q42-Q43-Q44-Q45-Q46,Q36),Q36)</f>
        <v>2920.875</v>
      </c>
      <c r="S37" s="4">
        <f>IF($I37*5&lt;=IO.CONTROL!$C$10,R36,0)</f>
        <v>0</v>
      </c>
      <c r="T37" s="4">
        <f>IF($I37*5&lt;=IO.CONTROL!$C$10,S36,0)</f>
        <v>0</v>
      </c>
      <c r="U37" s="44"/>
      <c r="V37" s="44"/>
      <c r="W37" s="44"/>
    </row>
    <row r="38" spans="2:23" x14ac:dyDescent="0.25">
      <c r="B38" s="3" t="s">
        <v>51</v>
      </c>
      <c r="C38" s="29">
        <v>116.96</v>
      </c>
      <c r="D38" s="30">
        <f t="shared" si="3"/>
        <v>106.96</v>
      </c>
      <c r="I38" s="1">
        <v>9</v>
      </c>
      <c r="J38" s="32" t="s">
        <v>71</v>
      </c>
      <c r="K38" s="4"/>
      <c r="L38" s="4"/>
      <c r="M38" s="4"/>
      <c r="N38" s="4"/>
      <c r="O38" s="4"/>
      <c r="P38" s="4">
        <f>IF($J$3-P$122-P$99-P$76-P$53-O38-O39-O40-O41-O42-O43-O44-O45-O46&gt;0,O37-MIN($J$3-P$122-P$99-P$76-P$53-O38-O39-O40-O41-O42-O43-O44-O45-O46,O37),O37)</f>
        <v>0</v>
      </c>
      <c r="Q38" s="4">
        <f>IF($J$3-Q$122-Q$99-Q$76-Q$53-P38-P39-P40-P41-P42-P43-P44-P45-P46&gt;0,P37-MIN($J$3-Q$122-Q$99-Q$76-Q$53-P38-P39-P40-P41-P42-P43-P44-P45-P46,P37),P37)</f>
        <v>0</v>
      </c>
      <c r="R38" s="4">
        <f>IF($J$3-R$122-R$99-R$76-R$53-Q38-Q39-Q40-Q41-Q42-Q43-Q44-Q45-Q46&gt;0,Q37-MIN($J$3-R$122-R$99-R$76-R$53-Q38-Q39-Q40-Q41-Q42-Q43-Q44-Q45-Q46,Q37),Q37)</f>
        <v>0</v>
      </c>
      <c r="S38" s="4">
        <f>IF($J$3-S$122-S$99-S$76-S$53-R38-R39-R40-R41-R42-R43-R44-R45-R46&gt;0,R37-MIN($J$3-S$122-S$99-S$76-S$53-R38-R39-R40-R41-R42-R43-R44-R45-R46,R37),R37)</f>
        <v>0</v>
      </c>
      <c r="T38" s="4"/>
      <c r="U38" s="44"/>
      <c r="V38" s="44"/>
      <c r="W38" s="44"/>
    </row>
    <row r="39" spans="2:23" x14ac:dyDescent="0.25">
      <c r="B39" s="3" t="s">
        <v>51</v>
      </c>
      <c r="C39" s="29"/>
      <c r="D39" s="30"/>
      <c r="I39" s="1">
        <v>10</v>
      </c>
      <c r="J39" s="32" t="s">
        <v>72</v>
      </c>
      <c r="K39" s="4"/>
      <c r="L39" s="4"/>
      <c r="M39" s="4"/>
      <c r="N39" s="4"/>
      <c r="O39" s="4"/>
      <c r="P39" s="4"/>
      <c r="Q39" s="4">
        <f>IF($J$3-Q$122-Q$99-Q$76-Q$53-P39-P40-P41-P42-P43-P44-P45-P46&gt;0,P38-MIN($J$3-Q$122-Q$99-Q$76-Q$53-P39-P40-P41-P42-P43-P44-P45-P46,P38),P38)</f>
        <v>0</v>
      </c>
      <c r="R39" s="4">
        <f>IF($J$3-R$122-R$99-R$76-R$53-Q39-Q40-Q41-Q42-Q43-Q44-Q45-Q46&gt;0,Q38-MIN($J$3-R$122-R$99-R$76-R$53-Q39-Q40-Q41-Q42-Q43-Q44-Q45-Q46,Q38),Q38)</f>
        <v>0</v>
      </c>
      <c r="S39" s="4">
        <f>IF($J$3-S$122-S$99-S$76-S$53-R39-R40-R41-R42-R43-R44-R45-R46&gt;0,R38-MIN($J$3-S$122-S$99-S$76-S$53-R39-R40-R41-R42-R43-R44-R45-R46,R38),R38)</f>
        <v>0</v>
      </c>
      <c r="T39" s="4">
        <f>IF($J$3-T$122-T$99-T$76-T$53-S39-S40-S41-S42-S43-S44-S45-S46&gt;0,S38-MIN($J$3-T$122-T$99-T$76-T$53-S39-S40-S41-S42-S43-S44-S45-S46,S38),S38)</f>
        <v>0</v>
      </c>
      <c r="U39" s="44"/>
      <c r="V39" s="44"/>
      <c r="W39" s="44"/>
    </row>
    <row r="40" spans="2:23" x14ac:dyDescent="0.25">
      <c r="B40" s="3" t="s">
        <v>52</v>
      </c>
      <c r="C40" s="29">
        <v>43.31</v>
      </c>
      <c r="D40" s="30">
        <f t="shared" si="3"/>
        <v>33.31</v>
      </c>
      <c r="I40" s="1">
        <v>11</v>
      </c>
      <c r="J40" s="32" t="s">
        <v>73</v>
      </c>
      <c r="K40" s="4"/>
      <c r="L40" s="4"/>
      <c r="M40" s="4"/>
      <c r="N40" s="4"/>
      <c r="O40" s="4"/>
      <c r="P40" s="4"/>
      <c r="Q40" s="4"/>
      <c r="R40" s="4">
        <f>IF($J$3-R$122-R$99-R$76-R$53-Q40-Q41-Q42-Q43-Q44-Q45-Q46&gt;0,Q39-MIN($J$3-R$122-R$99-R$76-R$53-Q40-Q41-Q42-Q43-Q44-Q45-Q46,Q39),Q39)</f>
        <v>0</v>
      </c>
      <c r="S40" s="4">
        <f>IF($J$3-S$122-S$99-S$76-S$53-R40-R41-R42-R43-R44-R45-R46&gt;0,R39-MIN($J$3-S$122-S$99-S$76-S$53-R40-R41-R42-R43-R44-R45-R46,R39),R39)</f>
        <v>0</v>
      </c>
      <c r="T40" s="4">
        <f>IF($J$3-T$122-T$99-T$76-T$53-S40-S41-S42-S43-S44-S45-S46&gt;0,S39-MIN($J$3-T$122-T$99-T$76-T$53-S40-S41-S42-S43-S44-S45-S46,S39),S39)</f>
        <v>0</v>
      </c>
      <c r="U40" s="44"/>
      <c r="V40" s="44"/>
      <c r="W40" s="44"/>
    </row>
    <row r="41" spans="2:23" x14ac:dyDescent="0.25">
      <c r="B41" s="3" t="s">
        <v>52</v>
      </c>
      <c r="C41" s="29"/>
      <c r="D41" s="1"/>
      <c r="I41" s="1">
        <v>12</v>
      </c>
      <c r="J41" s="32" t="s">
        <v>74</v>
      </c>
      <c r="K41" s="4"/>
      <c r="L41" s="4"/>
      <c r="M41" s="4"/>
      <c r="N41" s="4"/>
      <c r="O41" s="4"/>
      <c r="P41" s="4"/>
      <c r="Q41" s="4"/>
      <c r="R41" s="4"/>
      <c r="S41" s="4">
        <f>IF($J$3-S$122-S$99-S$76-S$53-R41-R42-R43-R44-R45-R46&gt;0,R40-MIN($J$3-S$122-S$99-S$76-S$53-R41-R42-R43-R44-R45-R46,R40),R40)</f>
        <v>0</v>
      </c>
      <c r="T41" s="4">
        <f>IF($J$3-T$122-T$99-T$76-T$53-S41-S42-S43-S44-S45-S46&gt;0,S40-MIN($J$3-T$122-T$99-T$76-T$53-S41-S42-S43-S44-S45-S46,S40),S40)</f>
        <v>0</v>
      </c>
      <c r="U41" s="44"/>
      <c r="V41" s="44"/>
      <c r="W41" s="44"/>
    </row>
    <row r="42" spans="2:23" x14ac:dyDescent="0.25">
      <c r="C42" s="4"/>
      <c r="D42" s="2"/>
      <c r="I42" s="32" t="s">
        <v>80</v>
      </c>
      <c r="J42" s="46" t="s">
        <v>82</v>
      </c>
      <c r="K42" s="4"/>
      <c r="L42" s="4"/>
      <c r="M42" s="4"/>
      <c r="N42" s="4"/>
      <c r="O42" s="4"/>
      <c r="P42" s="4"/>
      <c r="Q42" s="4"/>
      <c r="R42" s="4"/>
      <c r="S42" s="4"/>
      <c r="T42" s="4">
        <f>IF($J$3-T$122-T$99-T$76-T$53-S42-S43-S44-S45-S46&gt;0,S41-MIN($J$3-T$122-T$99-T$76-T$53-S42-S43-S44-S45-S46,S41),S41)</f>
        <v>0</v>
      </c>
    </row>
    <row r="43" spans="2:23" x14ac:dyDescent="0.25">
      <c r="B43" s="26" t="s">
        <v>114</v>
      </c>
      <c r="C43" s="4"/>
      <c r="D43" s="2"/>
      <c r="I43" s="32" t="s">
        <v>81</v>
      </c>
      <c r="J43" s="46" t="s">
        <v>83</v>
      </c>
      <c r="K43" s="4"/>
      <c r="L43" s="4"/>
      <c r="M43" s="4"/>
      <c r="N43" s="4"/>
      <c r="O43" s="4"/>
      <c r="P43" s="4"/>
      <c r="Q43" s="4"/>
      <c r="R43" s="4"/>
      <c r="S43" s="4"/>
      <c r="T43" s="4"/>
    </row>
    <row r="44" spans="2:23" x14ac:dyDescent="0.25">
      <c r="B44" s="1" t="s">
        <v>106</v>
      </c>
      <c r="C44" s="4" t="s">
        <v>107</v>
      </c>
      <c r="D44" s="1" t="s">
        <v>108</v>
      </c>
      <c r="I44" s="32" t="s">
        <v>84</v>
      </c>
      <c r="J44" s="46" t="s">
        <v>88</v>
      </c>
      <c r="K44" s="4"/>
      <c r="L44" s="4"/>
      <c r="M44" s="4"/>
      <c r="N44" s="4"/>
      <c r="O44" s="4"/>
      <c r="P44" s="4"/>
      <c r="Q44" s="4"/>
      <c r="R44" s="4"/>
      <c r="S44" s="4"/>
      <c r="T44" s="4"/>
    </row>
    <row r="45" spans="2:23" x14ac:dyDescent="0.25">
      <c r="B45" s="3" t="s">
        <v>52</v>
      </c>
      <c r="C45" s="29">
        <v>150</v>
      </c>
      <c r="D45" s="30">
        <f>C45-C$26</f>
        <v>140</v>
      </c>
      <c r="I45" s="32" t="s">
        <v>85</v>
      </c>
      <c r="J45" s="46" t="s">
        <v>89</v>
      </c>
      <c r="K45" s="4"/>
      <c r="L45" s="4"/>
      <c r="M45" s="4"/>
      <c r="N45" s="4"/>
      <c r="O45" s="4"/>
      <c r="P45" s="4"/>
      <c r="Q45" s="4"/>
      <c r="R45" s="4"/>
      <c r="S45" s="4"/>
      <c r="T45" s="4"/>
    </row>
    <row r="46" spans="2:23" x14ac:dyDescent="0.25">
      <c r="B46" s="3" t="s">
        <v>115</v>
      </c>
      <c r="C46" s="30">
        <f>VLOOKUP(IO.CONTROL!C10,'STD.TBLE.THINNED'!B11:O60,6)</f>
        <v>206.72541018058757</v>
      </c>
      <c r="D46" s="30">
        <f>C46-C$26</f>
        <v>196.72541018058757</v>
      </c>
      <c r="I46" s="32" t="s">
        <v>86</v>
      </c>
      <c r="J46" s="46" t="s">
        <v>90</v>
      </c>
      <c r="K46" s="4"/>
      <c r="L46" s="4"/>
      <c r="M46" s="4"/>
      <c r="N46" s="4"/>
      <c r="O46" s="4"/>
      <c r="P46" s="4"/>
      <c r="Q46" s="4"/>
      <c r="R46" s="4"/>
      <c r="S46" s="4"/>
      <c r="T46" s="4"/>
    </row>
    <row r="47" spans="2:23" x14ac:dyDescent="0.25">
      <c r="I47" s="32" t="s">
        <v>87</v>
      </c>
      <c r="J47" s="46" t="s">
        <v>91</v>
      </c>
      <c r="K47" s="4"/>
      <c r="L47" s="4"/>
      <c r="M47" s="4"/>
      <c r="N47" s="4"/>
      <c r="O47" s="4"/>
      <c r="P47" s="4"/>
      <c r="Q47" s="4"/>
      <c r="R47" s="4"/>
      <c r="S47" s="4"/>
      <c r="T47" s="4"/>
    </row>
    <row r="48" spans="2:23" x14ac:dyDescent="0.25">
      <c r="B48" s="26" t="s">
        <v>112</v>
      </c>
      <c r="C48" s="4"/>
      <c r="J48" s="46" t="s">
        <v>92</v>
      </c>
      <c r="K48" s="4">
        <f>SUM(K30:K47)</f>
        <v>5166</v>
      </c>
      <c r="L48" s="4">
        <f>SUM(L31:L47)</f>
        <v>5166</v>
      </c>
      <c r="M48" s="4">
        <f>SUM(M32:M47)</f>
        <v>5166</v>
      </c>
      <c r="N48" s="4">
        <f>SUM(N33:N47)</f>
        <v>5166</v>
      </c>
      <c r="O48" s="4">
        <f>SUM(O34:O47)</f>
        <v>5166</v>
      </c>
      <c r="P48" s="4">
        <f>SUM(P35:P47)</f>
        <v>5166</v>
      </c>
      <c r="Q48" s="4">
        <f>SUM(Q36:Q47)</f>
        <v>5166</v>
      </c>
      <c r="R48" s="4">
        <f>SUM(R37:R47)</f>
        <v>2920.875</v>
      </c>
      <c r="S48" s="4">
        <f>SUM(S38:S47)</f>
        <v>0</v>
      </c>
      <c r="T48" s="4">
        <f>SUM(T39:T47)</f>
        <v>0</v>
      </c>
    </row>
    <row r="49" spans="2:23" x14ac:dyDescent="0.25">
      <c r="B49" s="56" t="s">
        <v>109</v>
      </c>
      <c r="C49" s="29">
        <v>14</v>
      </c>
    </row>
    <row r="50" spans="2:23" x14ac:dyDescent="0.25">
      <c r="B50" s="3" t="s">
        <v>110</v>
      </c>
      <c r="C50" s="29">
        <v>21.35</v>
      </c>
      <c r="D50" s="30"/>
      <c r="I50" s="3" t="s">
        <v>93</v>
      </c>
      <c r="J50" s="46" t="s">
        <v>49</v>
      </c>
      <c r="L50" s="150" t="s">
        <v>79</v>
      </c>
      <c r="M50" s="164"/>
      <c r="N50" s="164"/>
      <c r="O50" s="164"/>
      <c r="P50" s="164"/>
      <c r="Q50" s="164"/>
      <c r="R50" s="164"/>
      <c r="S50" s="164"/>
      <c r="T50" s="164"/>
    </row>
    <row r="51" spans="2:23" x14ac:dyDescent="0.25">
      <c r="B51" s="3" t="s">
        <v>111</v>
      </c>
      <c r="C51" s="29">
        <v>30.73</v>
      </c>
      <c r="D51" s="1"/>
      <c r="J51" s="46" t="s">
        <v>6</v>
      </c>
      <c r="K51" s="46" t="s">
        <v>75</v>
      </c>
      <c r="L51" s="1">
        <v>1</v>
      </c>
      <c r="M51" s="1">
        <v>2</v>
      </c>
      <c r="N51" s="1">
        <v>3</v>
      </c>
      <c r="O51" s="1">
        <v>4</v>
      </c>
      <c r="P51" s="1">
        <v>5</v>
      </c>
      <c r="Q51" s="1">
        <v>6</v>
      </c>
      <c r="R51" s="1">
        <v>7</v>
      </c>
      <c r="S51" s="1">
        <v>8</v>
      </c>
      <c r="T51" s="1">
        <v>9</v>
      </c>
      <c r="U51" s="28"/>
      <c r="V51" s="28"/>
      <c r="W51" s="28"/>
    </row>
    <row r="52" spans="2:23" x14ac:dyDescent="0.25">
      <c r="B52" s="3"/>
      <c r="C52" s="29"/>
      <c r="D52" s="30"/>
      <c r="I52" s="1" t="s">
        <v>62</v>
      </c>
      <c r="J52" s="46" t="s">
        <v>76</v>
      </c>
      <c r="K52" s="46" t="s">
        <v>77</v>
      </c>
      <c r="L52" s="32" t="s">
        <v>63</v>
      </c>
      <c r="M52" s="32" t="s">
        <v>64</v>
      </c>
      <c r="N52" s="32" t="s">
        <v>65</v>
      </c>
      <c r="O52" s="32" t="s">
        <v>66</v>
      </c>
      <c r="P52" s="32" t="s">
        <v>67</v>
      </c>
      <c r="Q52" s="32" t="s">
        <v>68</v>
      </c>
      <c r="R52" s="32" t="s">
        <v>69</v>
      </c>
      <c r="S52" s="32" t="s">
        <v>70</v>
      </c>
      <c r="T52" s="32" t="s">
        <v>71</v>
      </c>
      <c r="U52" s="32"/>
      <c r="V52" s="32"/>
      <c r="W52" s="32"/>
    </row>
    <row r="53" spans="2:23" x14ac:dyDescent="0.25">
      <c r="B53" s="26" t="s">
        <v>116</v>
      </c>
      <c r="C53" s="4"/>
      <c r="D53" s="1"/>
      <c r="I53" s="1">
        <v>1</v>
      </c>
      <c r="J53" s="32" t="s">
        <v>63</v>
      </c>
      <c r="K53" s="4"/>
      <c r="L53" s="4">
        <f>IF(L51*5&lt;=IO.CONTROL!$C$10,K71-L71,VLOOKUP((IO.CONTROL!$C$10/5)+1,$I53:$T70,3+L51))</f>
        <v>0</v>
      </c>
      <c r="M53" s="4">
        <f>IF(M51*5&lt;=IO.CONTROL!$C$10,L71-M71,VLOOKUP((IO.CONTROL!$C$10/5)+1,$I53:$T70,3+M51))</f>
        <v>0</v>
      </c>
      <c r="N53" s="4">
        <f>IF(N51*5&lt;=IO.CONTROL!$C$10,M71-N71,VLOOKUP((IO.CONTROL!$C$10/5)+1,$I53:$T70,3+N51))</f>
        <v>0</v>
      </c>
      <c r="O53" s="4">
        <f>IF(O51*5&lt;=IO.CONTROL!$C$10,N71-O71,VLOOKUP((IO.CONTROL!$C$10/5)+1,$I53:$T70,3+O51))</f>
        <v>0</v>
      </c>
      <c r="P53" s="4">
        <f>IF(P51*5&lt;=IO.CONTROL!$C$10,O71-P71,VLOOKUP((IO.CONTROL!$C$10/5),$I53:$T70,2+P51))</f>
        <v>0</v>
      </c>
      <c r="Q53" s="4">
        <f>IF(Q51*5&lt;=IO.CONTROL!$C$10,P71-Q71,VLOOKUP((IO.CONTROL!$C$10/5),$I53:$T70,2+Q51))</f>
        <v>2269.25</v>
      </c>
      <c r="R53" s="4">
        <f>IF(R51*5&lt;=IO.CONTROL!$C$10,Q71-R71,VLOOKUP((IO.CONTROL!$C$10/5),$I53:$T70,2+R51))</f>
        <v>1574.75</v>
      </c>
      <c r="S53" s="4">
        <f>IF(S51*5&lt;=IO.CONTROL!$C$10,R71-S71,VLOOKUP((IO.CONTROL!$C$10/5),$I53:$T70,2+S51))</f>
        <v>0</v>
      </c>
      <c r="T53" s="4">
        <f>IF(T51*5&lt;=IO.CONTROL!$C$10,S71-T71,VLOOKUP((IO.CONTROL!$C$10/5),$I53:$T70,2+T51))</f>
        <v>0</v>
      </c>
      <c r="U53" s="44"/>
      <c r="V53" s="44"/>
      <c r="W53" s="44"/>
    </row>
    <row r="54" spans="2:23" x14ac:dyDescent="0.25">
      <c r="B54" s="56" t="s">
        <v>109</v>
      </c>
      <c r="C54" s="29">
        <v>14</v>
      </c>
      <c r="D54" s="30"/>
      <c r="I54" s="1">
        <v>2</v>
      </c>
      <c r="J54" s="32" t="s">
        <v>64</v>
      </c>
      <c r="K54" s="4">
        <f>IF(AND(D$11/5&gt;I53,D$11/5&lt;=I54),C$11,IF(AND(D$12/5&gt;I53,D$12/5&lt;=I54),C$12,0))</f>
        <v>0</v>
      </c>
      <c r="L54" s="27"/>
      <c r="M54" s="4">
        <f>L53</f>
        <v>0</v>
      </c>
      <c r="N54" s="4">
        <f t="shared" ref="N54:T57" si="4">M53</f>
        <v>0</v>
      </c>
      <c r="O54" s="4">
        <f t="shared" si="4"/>
        <v>0</v>
      </c>
      <c r="P54" s="4">
        <f t="shared" si="4"/>
        <v>0</v>
      </c>
      <c r="Q54" s="4">
        <f t="shared" si="4"/>
        <v>0</v>
      </c>
      <c r="R54" s="4">
        <f t="shared" si="4"/>
        <v>2269.25</v>
      </c>
      <c r="S54" s="4">
        <f t="shared" si="4"/>
        <v>1574.75</v>
      </c>
      <c r="T54" s="4">
        <f t="shared" si="4"/>
        <v>0</v>
      </c>
      <c r="U54" s="44"/>
      <c r="V54" s="44"/>
      <c r="W54" s="44"/>
    </row>
    <row r="55" spans="2:23" x14ac:dyDescent="0.25">
      <c r="B55" s="3" t="s">
        <v>110</v>
      </c>
      <c r="C55" s="29">
        <v>24.75</v>
      </c>
      <c r="D55" s="1"/>
      <c r="I55" s="1">
        <v>3</v>
      </c>
      <c r="J55" s="32" t="s">
        <v>65</v>
      </c>
      <c r="K55" s="4">
        <f>IF(AND(D$11/5&gt;I54,D$11/5&lt;=I55),C$11,IF(AND(D$12/5&gt;I54,D$12/5&lt;=I55),C$12,0))</f>
        <v>0</v>
      </c>
      <c r="L55" s="4">
        <f>IF($J$3-L$122-L$99-L$76-K55-K56-K57-K58-K59-K60-K61-K62-K63-K64-K65-K66-K67-K68-K69&gt;0,K54-MIN($J$3-L$122-L$99-L$76-K55-K56-K57-K58-K59-K60-K61-K62-K63-K64-K65-K66-K67-K68-K69,K54),K54)</f>
        <v>0</v>
      </c>
      <c r="M55" s="4"/>
      <c r="N55" s="4">
        <f>M54</f>
        <v>0</v>
      </c>
      <c r="O55" s="4">
        <f t="shared" si="4"/>
        <v>0</v>
      </c>
      <c r="P55" s="4">
        <f t="shared" si="4"/>
        <v>0</v>
      </c>
      <c r="Q55" s="4">
        <f t="shared" si="4"/>
        <v>0</v>
      </c>
      <c r="R55" s="4">
        <f t="shared" si="4"/>
        <v>0</v>
      </c>
      <c r="S55" s="4">
        <f t="shared" si="4"/>
        <v>2269.25</v>
      </c>
      <c r="T55" s="4">
        <f t="shared" si="4"/>
        <v>1574.75</v>
      </c>
      <c r="U55" s="44"/>
      <c r="V55" s="44"/>
      <c r="W55" s="44"/>
    </row>
    <row r="56" spans="2:23" x14ac:dyDescent="0.25">
      <c r="B56" s="3" t="s">
        <v>111</v>
      </c>
      <c r="C56" s="29">
        <v>80</v>
      </c>
      <c r="D56" s="30"/>
      <c r="I56" s="1">
        <v>4</v>
      </c>
      <c r="J56" s="32" t="s">
        <v>66</v>
      </c>
      <c r="K56" s="4">
        <f>IF(AND(D$11/5&gt;I55,D$11/5&lt;=I56),C$11,IF(AND(D$12/5&gt;I55,D$12/5&lt;=I56),C$12,0))</f>
        <v>3844</v>
      </c>
      <c r="L56" s="4">
        <f>IF($J$3-L$122-L$99-L$76-K56-K57-K58-K59-K60-K61-K62-K63-K64-K65-K66-K67-K68-K69&gt;0,K55-MIN($J$3-L$122-L$99-L$76-K56-K57-K58-K59-K60-K61-K62-K63-K64-K65-K66-K67-K68-K69,K55),K55)</f>
        <v>0</v>
      </c>
      <c r="M56" s="4">
        <f>IF($J$3-M$122-M$99-M$76-L56-L57-L58-L59-L60-L61-L62-L63-L64-L65-L66-L67-L68-L69&gt;0,L55-MIN($J$3-M$122-M$99-M$76-L56-L57-L58-L59-L60-L61-L62-L63-L64-L65-L66-L67-L68-L69,L55),L55)</f>
        <v>0</v>
      </c>
      <c r="N56" s="27"/>
      <c r="O56" s="4">
        <f>N55</f>
        <v>0</v>
      </c>
      <c r="P56" s="4">
        <f t="shared" si="4"/>
        <v>0</v>
      </c>
      <c r="Q56" s="4">
        <f t="shared" si="4"/>
        <v>0</v>
      </c>
      <c r="R56" s="4">
        <f t="shared" si="4"/>
        <v>0</v>
      </c>
      <c r="S56" s="4">
        <f t="shared" si="4"/>
        <v>0</v>
      </c>
      <c r="T56" s="4">
        <f t="shared" si="4"/>
        <v>2269.25</v>
      </c>
      <c r="U56" s="44"/>
      <c r="V56" s="44"/>
      <c r="W56" s="44"/>
    </row>
    <row r="57" spans="2:23" x14ac:dyDescent="0.25">
      <c r="B57" s="3"/>
      <c r="C57" s="29"/>
      <c r="D57" s="1"/>
      <c r="I57" s="1">
        <v>5</v>
      </c>
      <c r="J57" s="32" t="s">
        <v>67</v>
      </c>
      <c r="K57" s="4">
        <f>IF(AND(D$11/5&gt;I56,D$11/5&lt;=I57),C$11,IF(AND(D$12/5&gt;I56,D$12/5&lt;=I57),C$12,0))</f>
        <v>0</v>
      </c>
      <c r="L57" s="4">
        <f>IF($J$3-L$122-L$99-L$76-K57-K58-K59-K60-K61-K62-K63-K64-K65-K66-K67-K68-K69&gt;0,K56-MIN($J$3-L$122-L$99-L$76-K57-K58-K59-K60-K61-K62-K63-K64-K65-K66-K67-K68-K69,K56),K56)</f>
        <v>3844</v>
      </c>
      <c r="M57" s="4">
        <f>IF($J$3-M$122-M$99-M$76-L57-L58-L59-L60-L61-L62-L63-L64-L65-L66-L67-L68-L69&gt;0,L56-MIN($J$3-M$122-M$99-M$76-L57-L58-L59-L60-L61-L62-L63-L64-L65-L66-L67-L68-L69,L56),L56)</f>
        <v>0</v>
      </c>
      <c r="N57" s="4">
        <f>IF($J$3-N$122-N$99-N$76-M57-M58-M59-M60-M61-M62-M63-M64-M65-M66-M67-M68-M69&gt;0,M56-MIN($J$3-N$122-N$99-N$76-M57-M58-M59-M60-M61-M62-M63-M64-M65-M66-M67-M68-M69,M56),M56)</f>
        <v>0</v>
      </c>
      <c r="O57" s="27"/>
      <c r="P57" s="4">
        <f>O56</f>
        <v>0</v>
      </c>
      <c r="Q57" s="4">
        <f t="shared" si="4"/>
        <v>0</v>
      </c>
      <c r="R57" s="4">
        <f t="shared" si="4"/>
        <v>0</v>
      </c>
      <c r="S57" s="4">
        <f t="shared" si="4"/>
        <v>0</v>
      </c>
      <c r="T57" s="4">
        <f t="shared" si="4"/>
        <v>0</v>
      </c>
      <c r="U57" s="44"/>
      <c r="V57" s="44"/>
      <c r="W57" s="44"/>
    </row>
    <row r="58" spans="2:23" x14ac:dyDescent="0.25">
      <c r="B58" s="3"/>
      <c r="C58" s="29"/>
      <c r="D58" s="30"/>
      <c r="I58" s="1">
        <v>6</v>
      </c>
      <c r="J58" s="32" t="s">
        <v>68</v>
      </c>
      <c r="K58" s="4"/>
      <c r="L58" s="4">
        <f>IF($J$3-L$122-L$76-L$99-K58-K59-K60-K61-K62-K63-K64-K65-K66-K67-K68-K69&gt;0,K57-MIN($J$3-L$122-L$99-L$76-K58-K59-K60-K61-K62-K63-K64-K65-K66-K67-K68-K69,K57),K57)</f>
        <v>0</v>
      </c>
      <c r="M58" s="4">
        <f>IF($J$3-M$122-M$76-M$99-L58-L59-L60-L61-L62-L63-L64-L65-L66-L67-L68-L69&gt;0,L57-MIN($J$3-M$122-M$99-M$76-L58-L59-L60-L61-L62-L63-L64-L65-L66-L67-L68-L69,L57),L57)</f>
        <v>3844</v>
      </c>
      <c r="N58" s="4">
        <f>IF($J$3-N$122-N$76-N$99-M58-M59-M60-M61-M62-M63-M64-M65-M66-M67-M68-M69&gt;0,M57-MIN($J$3-N$122-N$99-N$76-M58-M59-M60-M61-M62-M63-M64-M65-M66-M67-M68-M69,M57),M57)</f>
        <v>0</v>
      </c>
      <c r="O58" s="4">
        <f>IF($J$3-O$122-O$76-O$99-N58-N59-N60-N61-N62-N63-N64-N65-N66-N67-N68-N69&gt;0,N57-MIN($J$3-O$122-O$99-O$76-N58-N59-N60-N61-N62-N63-N64-N65-N66-N67-N68-N69,N57),N57)</f>
        <v>0</v>
      </c>
      <c r="P58" s="44"/>
      <c r="Q58" s="4">
        <f>IF($I58*5&lt;=IO.CONTROL!$C$10,P57,0)</f>
        <v>0</v>
      </c>
      <c r="R58" s="4">
        <f>IF($I58*5&lt;=IO.CONTROL!$C$10,Q57,0)</f>
        <v>0</v>
      </c>
      <c r="S58" s="4">
        <f>IF($I58*5&lt;=IO.CONTROL!$C$10,R57,0)</f>
        <v>0</v>
      </c>
      <c r="T58" s="4">
        <f>IF($I58*5&lt;=IO.CONTROL!$C$10,S57,0)</f>
        <v>0</v>
      </c>
      <c r="U58" s="44"/>
      <c r="V58" s="44"/>
      <c r="W58" s="44"/>
    </row>
    <row r="59" spans="2:23" x14ac:dyDescent="0.25">
      <c r="B59" s="3"/>
      <c r="C59" s="29"/>
      <c r="D59" s="1"/>
      <c r="I59" s="1">
        <v>7</v>
      </c>
      <c r="J59" s="32" t="s">
        <v>69</v>
      </c>
      <c r="K59" s="4"/>
      <c r="L59" s="4"/>
      <c r="M59" s="4">
        <f>IF($J$3-M$122-M$99-M$76-L59-L60-L61-L62-L63-L64-L65-L66-L67-L68-L69&gt;0,L58-MIN($J$3-M$122-M$99-M$76-L59-L60-L61-L62-L63-L64-L65-L66-L67-L68-L69,L58),L58)</f>
        <v>0</v>
      </c>
      <c r="N59" s="4">
        <f>IF($J$3-N$122-N$99-N$76-M59-M60-M61-M62-M63-M64-M65-M66-M67-M68-M69&gt;0,M58-MIN($J$3-N$122-N$99-N$76-M59-M60-M61-M62-M63-M64-M65-M66-M67-M68-M69,M58),M58)</f>
        <v>3844</v>
      </c>
      <c r="O59" s="4">
        <f>IF($J$3-O$122-O$99-O$76-N59-N60-N61-N62-N63-N64-N65-N66-N67-N68-N69&gt;0,N58-MIN($J$3-O$122-O$99-O$76-N59-N60-N61-N62-N63-N64-N65-N66-N67-N68-N69,N58),N58)</f>
        <v>0</v>
      </c>
      <c r="P59" s="4">
        <f>IF($J$3-P$122-P$99-P$76-O59-O60-O61-O62-O63-O64-O65-O66-O67-O68-O69&gt;0,O58-MIN($J$3-P$122-P$99-P$76-O59-O60-O61-O62-O63-O64-O65-O66-O67-O68-O69,O58),O58)</f>
        <v>0</v>
      </c>
      <c r="Q59" s="44"/>
      <c r="R59" s="4">
        <f>IF($I59*5&lt;=IO.CONTROL!$C$10,Q58,0)</f>
        <v>0</v>
      </c>
      <c r="S59" s="4">
        <f>IF($I59*5&lt;=IO.CONTROL!$C$10,R58,0)</f>
        <v>0</v>
      </c>
      <c r="T59" s="4">
        <f>IF($I59*5&lt;=IO.CONTROL!$C$10,S58,0)</f>
        <v>0</v>
      </c>
      <c r="U59" s="44"/>
      <c r="V59" s="44"/>
      <c r="W59" s="44"/>
    </row>
    <row r="60" spans="2:23" x14ac:dyDescent="0.25">
      <c r="D60" s="2"/>
      <c r="I60" s="1">
        <v>8</v>
      </c>
      <c r="J60" s="32" t="s">
        <v>70</v>
      </c>
      <c r="K60" s="4"/>
      <c r="L60" s="4"/>
      <c r="M60" s="4"/>
      <c r="N60" s="4">
        <f>IF($J$3-N$122-N$99-N$76-M60-M61-M62-M63-M64-M65-M66-M67-M68-M69&gt;0,M59-MIN($J$3-N$122-N$99-N$76-M60-M61-M62-M63-M64-M65-M66-M67-M68-M69,M59),M59)</f>
        <v>0</v>
      </c>
      <c r="O60" s="4">
        <f>IF($J$3-O$122-O$99-O$76-N60-N61-N62-N63-N64-N65-N66-N67-N68-N69&gt;0,N59-MIN($J$3-O$122-O$99-O$76-N60-N61-N62-N63-N64-N65-N66-N67-N68-N69,N59),N59)</f>
        <v>3844</v>
      </c>
      <c r="P60" s="4">
        <f>IF($J$3-P$122-P$99-P$76-O60-O61-O62-O63-O64-O65-O66-O67-O68-O69&gt;0,O59-MIN($J$3-P$122-P$99-P$76-O60-O61-O62-O63-O64-O65-O66-O67-O68-O69,O59),O59)</f>
        <v>0</v>
      </c>
      <c r="Q60" s="4">
        <f>IF($J$3-Q$122-Q$99-Q$76-P60-P61-P62-P63-P64-P65-P66-P67-P68-P69&gt;0,P59-MIN($J$3-Q$122-Q$99-Q$76-P60-P61-P62-P63-P64-P65-P66-P67-P68-P69,P59),P59)</f>
        <v>0</v>
      </c>
      <c r="R60" s="44"/>
      <c r="S60" s="4">
        <f>IF($I60*5&lt;=IO.CONTROL!$C$10,R59,0)</f>
        <v>0</v>
      </c>
      <c r="T60" s="4">
        <f>IF($I60*5&lt;=IO.CONTROL!$C$10,S59,0)</f>
        <v>0</v>
      </c>
      <c r="U60" s="44"/>
      <c r="V60" s="44"/>
      <c r="W60" s="44"/>
    </row>
    <row r="61" spans="2:23" x14ac:dyDescent="0.25">
      <c r="D61" s="2"/>
      <c r="I61" s="1">
        <v>9</v>
      </c>
      <c r="J61" s="32" t="s">
        <v>71</v>
      </c>
      <c r="K61" s="4"/>
      <c r="L61" s="4"/>
      <c r="M61" s="4"/>
      <c r="N61" s="4"/>
      <c r="O61" s="4">
        <f>IF($J$3-O$122-O$99-O$76-N61-N62-N63-N64-N65-N66-N67-N68-N69&gt;0,N60-MIN($J$3-O$122-O$99-O$76-N61-N62-N63-N64-N65-N66-N67-N68-N69,N60),N60)</f>
        <v>0</v>
      </c>
      <c r="P61" s="4">
        <f>IF($J$3-P$122-P$99-P$76-O61-O62-O63-O64-O65-O66-O67-O68-O69&gt;0,O60-MIN($J$3-P$122-P$99-P$76-O61-O62-O63-O64-O65-O66-O67-O68-O69,O60),O60)</f>
        <v>3844</v>
      </c>
      <c r="Q61" s="4">
        <f>IF($J$3-Q$122-Q$99-Q$76-P61-P62-P63-P64-P65-P66-P67-P68-P69&gt;0,P60-MIN($J$3-Q$122-Q$99-Q$76-P61-P62-P63-P64-P65-P66-P67-P68-P69,P60),P60)</f>
        <v>0</v>
      </c>
      <c r="R61" s="4">
        <f>IF($J$3-R$122-R$99-R$76-Q61-Q62-Q63-Q64-Q65-Q66-Q67-Q68-Q69&gt;0,Q60-MIN($J$3-R$122-R$99-R$76-Q61-Q62-Q63-Q64-Q65-Q66-Q67-Q68-Q69,Q60),Q60)</f>
        <v>0</v>
      </c>
      <c r="S61" s="44"/>
      <c r="T61" s="4"/>
      <c r="U61" s="44"/>
      <c r="V61" s="44"/>
      <c r="W61" s="44"/>
    </row>
    <row r="62" spans="2:23" x14ac:dyDescent="0.25">
      <c r="D62" s="2"/>
      <c r="I62" s="1">
        <v>10</v>
      </c>
      <c r="J62" s="32" t="s">
        <v>72</v>
      </c>
      <c r="K62" s="4"/>
      <c r="L62" s="4"/>
      <c r="M62" s="4"/>
      <c r="N62" s="4"/>
      <c r="O62" s="4"/>
      <c r="P62" s="4">
        <f>IF($J$3-P$122-P$99-P$76-O62-O63-O64-O65-O66-O67-O68-O69&gt;0,O61-MIN($J$3-P$122-P$99-P$76-O62-O63-O64-O65-O66-O67-O68-O69,O61),O61)</f>
        <v>0</v>
      </c>
      <c r="Q62" s="4">
        <f>IF($J$3-Q$122-Q$99-Q$76-P62-P63-P64-P65-P66-P67-P68-P69&gt;0,P61-MIN($J$3-Q$122-Q$99-Q$76-P62-P63-P64-P65-P66-P67-P68-P69,P61),P61)</f>
        <v>1574.75</v>
      </c>
      <c r="R62" s="4">
        <f>IF($J$3-R$122-R$99-R$76-Q62-Q63-Q64-Q65-Q66-Q67-Q68-Q69&gt;0,Q61-MIN($J$3-R$122-R$99-R$76-Q62-Q63-Q64-Q65-Q66-Q67-Q68-Q69,Q61),Q61)</f>
        <v>0</v>
      </c>
      <c r="S62" s="4">
        <f>IF($J$3-S$122-S$99-S$76-R62-R63-R64-R65-R66-R67-R68-R69&gt;0,R61-MIN($J$3-S$122-S$99-S$76-R62-R63-R64-R65-R66-R67-R68-R69,R61),R61)</f>
        <v>0</v>
      </c>
      <c r="T62" s="44"/>
      <c r="U62" s="44"/>
      <c r="V62" s="44"/>
      <c r="W62" s="44"/>
    </row>
    <row r="63" spans="2:23" x14ac:dyDescent="0.25">
      <c r="D63" s="2"/>
      <c r="I63" s="1">
        <v>11</v>
      </c>
      <c r="J63" s="32" t="s">
        <v>73</v>
      </c>
      <c r="K63" s="4"/>
      <c r="L63" s="4"/>
      <c r="M63" s="4"/>
      <c r="N63" s="4"/>
      <c r="O63" s="4"/>
      <c r="P63" s="4"/>
      <c r="Q63" s="4">
        <f>IF($J$3-Q$122-Q$99-Q$76-P63-P64-P65-P66-P67-P68-P69&gt;0,P62-MIN($J$3-Q$122-Q$99-Q$76-P63-P64-P65-P66-P67-P68-P69,P62),P62)</f>
        <v>0</v>
      </c>
      <c r="R63" s="4">
        <f>IF($J$3-R$122-R$99-R$76-Q63-Q64-Q65-Q66-Q67-Q68-Q69&gt;0,Q62-MIN($J$3-R$122-R$99-R$76-Q63-Q64-Q65-Q66-Q67-Q68-Q69,Q62),Q62)</f>
        <v>0</v>
      </c>
      <c r="S63" s="4">
        <f>IF($J$3-S$122-S$99-S$76-R63-R64-R65-R66-R67-R68-R69&gt;0,R62-MIN($J$3-S$122-S$99-S$76-R63-R64-R65-R66-R67-R68-R69,R62),R62)</f>
        <v>0</v>
      </c>
      <c r="T63" s="4">
        <f>IF($J$3-T$122-T$99-T$76-S63-S64-S65-S66-S67-S68-S69&gt;0,S62-MIN($J$3-T$122-T$99-T$76-S63-S64-S65-S66-S67-S68-S69,S62),S62)</f>
        <v>0</v>
      </c>
      <c r="U63" s="44"/>
      <c r="V63" s="44"/>
      <c r="W63" s="44"/>
    </row>
    <row r="64" spans="2:23" x14ac:dyDescent="0.25">
      <c r="D64" s="2"/>
      <c r="I64" s="1">
        <v>12</v>
      </c>
      <c r="J64" s="32" t="s">
        <v>74</v>
      </c>
      <c r="K64" s="4"/>
      <c r="L64" s="4"/>
      <c r="M64" s="4"/>
      <c r="N64" s="4"/>
      <c r="O64" s="4"/>
      <c r="P64" s="4"/>
      <c r="Q64" s="4"/>
      <c r="R64" s="4">
        <f>IF($J$3-R$122-R$99-R$76-Q64-Q65-Q66-Q67-Q68-Q69&gt;0,Q63-MIN($J$3-R$122-R$99-R$76-Q64-Q65-Q66-Q67-Q68-Q69,Q63),Q63)</f>
        <v>0</v>
      </c>
      <c r="S64" s="4">
        <f>IF($J$3-S$122-S$99-S$76-R64-R65-R66-R67-R68-R69&gt;0,R63-MIN($J$3-S$122-S$99-S$76-R64-R65-R66-R67-R68-R69,R63),R63)</f>
        <v>0</v>
      </c>
      <c r="T64" s="4">
        <f>IF($J$3-T$122-T$99-T$76-S64-S65-S66-S67-S68-S69&gt;0,S63-MIN($J$3-T$122-T$99-T$76-S64-S65-S66-S67-S68-S69,S63),S63)</f>
        <v>0</v>
      </c>
      <c r="U64" s="44"/>
      <c r="V64" s="44"/>
      <c r="W64" s="44"/>
    </row>
    <row r="65" spans="2:23" x14ac:dyDescent="0.25">
      <c r="I65" s="32" t="s">
        <v>80</v>
      </c>
      <c r="J65" s="46" t="s">
        <v>82</v>
      </c>
      <c r="K65" s="4"/>
      <c r="L65" s="4"/>
      <c r="M65" s="4"/>
      <c r="N65" s="4"/>
      <c r="O65" s="4"/>
      <c r="P65" s="4"/>
      <c r="Q65" s="4"/>
      <c r="R65" s="4"/>
      <c r="S65" s="4">
        <f>IF($J$3-S$122-S$99-S$76-R65-R66-R67-R68-R69&gt;0,R64-MIN($J$3-S$122-S$99-S$76-R65-R66-R67-R68-R69,R64),R64)</f>
        <v>0</v>
      </c>
      <c r="T65" s="4">
        <f>IF($J$3-T$122-T$99-T$76-S65-S66-S67-S68-S69&gt;0,S64-MIN($J$3-T$122-T$99-T$76-S65-S66-S67-S68-S69,S64),S64)</f>
        <v>0</v>
      </c>
    </row>
    <row r="66" spans="2:23" x14ac:dyDescent="0.25">
      <c r="D66" s="2"/>
      <c r="I66" s="32" t="s">
        <v>81</v>
      </c>
      <c r="J66" s="46" t="s">
        <v>83</v>
      </c>
      <c r="K66" s="4"/>
      <c r="L66" s="4"/>
      <c r="M66" s="4"/>
      <c r="N66" s="4"/>
      <c r="O66" s="4"/>
      <c r="P66" s="4"/>
      <c r="Q66" s="4"/>
      <c r="R66" s="4"/>
      <c r="S66" s="4"/>
      <c r="T66" s="4">
        <f>IF($J$3-T$122-T$99-T$76-S66-S67-S68-S69&gt;0,S65-MIN($J$3-T$122-T$99-T$76-S66-S67-S68-S69,S65),S65)</f>
        <v>0</v>
      </c>
    </row>
    <row r="67" spans="2:23" x14ac:dyDescent="0.25">
      <c r="D67" s="2"/>
      <c r="I67" s="32" t="s">
        <v>84</v>
      </c>
      <c r="J67" s="46" t="s">
        <v>88</v>
      </c>
      <c r="K67" s="4"/>
      <c r="L67" s="4"/>
      <c r="M67" s="4"/>
      <c r="N67" s="4"/>
      <c r="O67" s="4"/>
      <c r="P67" s="4"/>
      <c r="Q67" s="4"/>
      <c r="R67" s="4"/>
      <c r="S67" s="4"/>
      <c r="T67" s="4"/>
    </row>
    <row r="68" spans="2:23" x14ac:dyDescent="0.25">
      <c r="B68" s="3"/>
      <c r="D68" s="2"/>
      <c r="I68" s="32" t="s">
        <v>85</v>
      </c>
      <c r="J68" s="46" t="s">
        <v>89</v>
      </c>
      <c r="K68" s="4"/>
      <c r="L68" s="4"/>
    </row>
    <row r="69" spans="2:23" x14ac:dyDescent="0.25">
      <c r="B69" s="3"/>
      <c r="C69" s="4"/>
      <c r="D69" s="2"/>
      <c r="I69" s="32" t="s">
        <v>86</v>
      </c>
      <c r="J69" s="46" t="s">
        <v>90</v>
      </c>
      <c r="K69" s="4"/>
      <c r="L69" s="4"/>
    </row>
    <row r="70" spans="2:23" x14ac:dyDescent="0.25">
      <c r="B70" s="3"/>
      <c r="I70" s="32" t="s">
        <v>87</v>
      </c>
      <c r="J70" s="46" t="s">
        <v>91</v>
      </c>
      <c r="K70" s="4"/>
      <c r="L70" s="4"/>
    </row>
    <row r="71" spans="2:23" x14ac:dyDescent="0.25">
      <c r="B71" s="3"/>
      <c r="J71" s="46" t="s">
        <v>92</v>
      </c>
      <c r="K71" s="4">
        <f>SUM(K54:K70)</f>
        <v>3844</v>
      </c>
      <c r="L71" s="4">
        <f>SUM(L55:L70)</f>
        <v>3844</v>
      </c>
      <c r="M71" s="4">
        <f>SUM(M56:M70)</f>
        <v>3844</v>
      </c>
      <c r="N71" s="4">
        <f>SUM(N57:N70)</f>
        <v>3844</v>
      </c>
      <c r="O71" s="4">
        <f>SUM(O58:O70)</f>
        <v>3844</v>
      </c>
      <c r="P71" s="4">
        <f>SUM(P59:P70)</f>
        <v>3844</v>
      </c>
      <c r="Q71" s="4">
        <f>SUM(Q60:Q70)</f>
        <v>1574.75</v>
      </c>
      <c r="R71" s="4">
        <f>SUM(R61:R70)</f>
        <v>0</v>
      </c>
      <c r="S71" s="4">
        <f>SUM(S62:S70)</f>
        <v>0</v>
      </c>
      <c r="T71" s="4">
        <f>SUM(T63:T70)</f>
        <v>0</v>
      </c>
    </row>
    <row r="72" spans="2:23" x14ac:dyDescent="0.25">
      <c r="B72" s="3"/>
      <c r="D72" s="2"/>
    </row>
    <row r="73" spans="2:23" x14ac:dyDescent="0.25">
      <c r="B73" s="3"/>
      <c r="I73" s="3" t="s">
        <v>93</v>
      </c>
      <c r="J73" s="46" t="s">
        <v>50</v>
      </c>
      <c r="L73" s="150" t="s">
        <v>79</v>
      </c>
      <c r="M73" s="164"/>
      <c r="N73" s="164"/>
      <c r="O73" s="164"/>
      <c r="P73" s="164"/>
      <c r="Q73" s="164"/>
      <c r="R73" s="164"/>
      <c r="S73" s="164"/>
      <c r="T73" s="164"/>
    </row>
    <row r="74" spans="2:23" x14ac:dyDescent="0.25">
      <c r="B74" s="3"/>
      <c r="J74" s="46" t="s">
        <v>6</v>
      </c>
      <c r="K74" s="46" t="s">
        <v>75</v>
      </c>
      <c r="L74" s="1">
        <v>1</v>
      </c>
      <c r="M74" s="1">
        <v>2</v>
      </c>
      <c r="N74" s="1">
        <v>3</v>
      </c>
      <c r="O74" s="1">
        <v>4</v>
      </c>
      <c r="P74" s="1">
        <v>5</v>
      </c>
      <c r="Q74" s="1">
        <v>6</v>
      </c>
      <c r="R74" s="1">
        <v>7</v>
      </c>
      <c r="S74" s="1">
        <v>8</v>
      </c>
      <c r="T74" s="1">
        <v>9</v>
      </c>
      <c r="U74" s="28"/>
      <c r="V74" s="28"/>
      <c r="W74" s="28"/>
    </row>
    <row r="75" spans="2:23" x14ac:dyDescent="0.25">
      <c r="B75" s="3"/>
      <c r="D75" s="2"/>
      <c r="I75" s="1" t="s">
        <v>62</v>
      </c>
      <c r="J75" s="46" t="s">
        <v>76</v>
      </c>
      <c r="K75" s="46" t="s">
        <v>77</v>
      </c>
      <c r="L75" s="32" t="s">
        <v>63</v>
      </c>
      <c r="M75" s="32" t="s">
        <v>64</v>
      </c>
      <c r="N75" s="32" t="s">
        <v>65</v>
      </c>
      <c r="O75" s="32" t="s">
        <v>66</v>
      </c>
      <c r="P75" s="32" t="s">
        <v>67</v>
      </c>
      <c r="Q75" s="32" t="s">
        <v>68</v>
      </c>
      <c r="R75" s="32" t="s">
        <v>69</v>
      </c>
      <c r="S75" s="32" t="s">
        <v>70</v>
      </c>
      <c r="T75" s="32" t="s">
        <v>71</v>
      </c>
      <c r="U75" s="32"/>
      <c r="V75" s="32"/>
      <c r="W75" s="32"/>
    </row>
    <row r="76" spans="2:23" x14ac:dyDescent="0.25">
      <c r="B76" s="3"/>
      <c r="C76" s="1"/>
      <c r="D76" s="2"/>
      <c r="I76" s="1">
        <v>1</v>
      </c>
      <c r="J76" s="32" t="s">
        <v>63</v>
      </c>
      <c r="K76" s="4"/>
      <c r="L76" s="4">
        <f>IF(L74*5&lt;=IO.CONTROL!$C$10,K94-L94,VLOOKUP((IO.CONTROL!$C$10/5)+1,$I76:$T93,3+L74))</f>
        <v>0</v>
      </c>
      <c r="M76" s="4">
        <f>IF(M74*5&lt;=IO.CONTROL!$C$10,L94-M94,VLOOKUP((IO.CONTROL!$C$10/5)+1,$I76:$T93,3+M74))</f>
        <v>0</v>
      </c>
      <c r="N76" s="4">
        <f>IF(N74*5&lt;=IO.CONTROL!$C$10,M94-N94,VLOOKUP((IO.CONTROL!$C$10/5)+1,$I76:$T93,3+N74))</f>
        <v>0</v>
      </c>
      <c r="O76" s="4">
        <f>IF(O74*5&lt;=IO.CONTROL!$C$10,N94-O94,VLOOKUP((IO.CONTROL!$C$10/5)+1,$I76:$T93,3+O74))</f>
        <v>774.5</v>
      </c>
      <c r="P76" s="4">
        <f>IF(P74*5&lt;=IO.CONTROL!$C$10,O94-P94,VLOOKUP((IO.CONTROL!$C$10/5),$I76:$T93,2+P74))</f>
        <v>3819.875</v>
      </c>
      <c r="Q76" s="4">
        <f>IF(Q74*5&lt;=IO.CONTROL!$C$10,P94-Q94,VLOOKUP((IO.CONTROL!$C$10/5),$I76:$T93,2+Q74))</f>
        <v>1550.625</v>
      </c>
      <c r="R76" s="4">
        <f>IF(R74*5&lt;=IO.CONTROL!$C$10,Q94-R94,VLOOKUP((IO.CONTROL!$C$10/5),$I76:$T93,2+R74))</f>
        <v>0</v>
      </c>
      <c r="S76" s="4">
        <f>IF(S74*5&lt;=IO.CONTROL!$C$10,R94-S94,VLOOKUP((IO.CONTROL!$C$10/5),$I76:$T93,2+S74))</f>
        <v>0</v>
      </c>
      <c r="T76" s="4">
        <f>IF(T74*5&lt;=IO.CONTROL!$C$10,S94-T94,VLOOKUP((IO.CONTROL!$C$10/5),$I76:$T93,2+T74))</f>
        <v>0</v>
      </c>
      <c r="U76" s="44"/>
      <c r="V76" s="44"/>
      <c r="W76" s="44"/>
    </row>
    <row r="77" spans="2:23" x14ac:dyDescent="0.25">
      <c r="B77" s="3"/>
      <c r="D77" s="2"/>
      <c r="I77" s="1">
        <v>2</v>
      </c>
      <c r="J77" s="32" t="s">
        <v>64</v>
      </c>
      <c r="K77" s="4"/>
      <c r="L77" s="27"/>
      <c r="M77" s="4">
        <f>L76</f>
        <v>0</v>
      </c>
      <c r="N77" s="4">
        <f t="shared" ref="N77:T80" si="5">M76</f>
        <v>0</v>
      </c>
      <c r="O77" s="4">
        <f t="shared" si="5"/>
        <v>0</v>
      </c>
      <c r="P77" s="4">
        <f t="shared" si="5"/>
        <v>774.5</v>
      </c>
      <c r="Q77" s="4">
        <f t="shared" si="5"/>
        <v>3819.875</v>
      </c>
      <c r="R77" s="4">
        <f t="shared" si="5"/>
        <v>1550.625</v>
      </c>
      <c r="S77" s="4">
        <f t="shared" si="5"/>
        <v>0</v>
      </c>
      <c r="T77" s="4">
        <f t="shared" si="5"/>
        <v>0</v>
      </c>
      <c r="U77" s="44"/>
      <c r="V77" s="44"/>
      <c r="W77" s="44"/>
    </row>
    <row r="78" spans="2:23" x14ac:dyDescent="0.25">
      <c r="I78" s="1">
        <v>3</v>
      </c>
      <c r="J78" s="32" t="s">
        <v>65</v>
      </c>
      <c r="K78" s="4"/>
      <c r="L78" s="27"/>
      <c r="M78" s="4"/>
      <c r="N78" s="4">
        <f>M77</f>
        <v>0</v>
      </c>
      <c r="O78" s="4">
        <f t="shared" si="5"/>
        <v>0</v>
      </c>
      <c r="P78" s="4">
        <f t="shared" si="5"/>
        <v>0</v>
      </c>
      <c r="Q78" s="4">
        <f t="shared" si="5"/>
        <v>774.5</v>
      </c>
      <c r="R78" s="4">
        <f t="shared" si="5"/>
        <v>3819.875</v>
      </c>
      <c r="S78" s="4">
        <f t="shared" si="5"/>
        <v>1550.625</v>
      </c>
      <c r="T78" s="4">
        <f t="shared" si="5"/>
        <v>0</v>
      </c>
      <c r="U78" s="44"/>
      <c r="V78" s="44"/>
      <c r="W78" s="44"/>
    </row>
    <row r="79" spans="2:23" x14ac:dyDescent="0.25">
      <c r="I79" s="1">
        <v>4</v>
      </c>
      <c r="J79" s="32" t="s">
        <v>66</v>
      </c>
      <c r="K79" s="4">
        <f>IF(AND(D$13/5&gt;I78,D$13/5&lt;=I79),C$13,IF(AND(D$14/5&gt;I78,D$14/5&lt;=I79),C$14,0))</f>
        <v>0</v>
      </c>
      <c r="L79" s="27"/>
      <c r="M79" s="27"/>
      <c r="N79" s="27"/>
      <c r="O79" s="4">
        <f>N78</f>
        <v>0</v>
      </c>
      <c r="P79" s="4">
        <f t="shared" si="5"/>
        <v>0</v>
      </c>
      <c r="Q79" s="4">
        <f t="shared" si="5"/>
        <v>0</v>
      </c>
      <c r="R79" s="4">
        <f t="shared" si="5"/>
        <v>774.5</v>
      </c>
      <c r="S79" s="4">
        <f t="shared" si="5"/>
        <v>3819.875</v>
      </c>
      <c r="T79" s="4">
        <f t="shared" si="5"/>
        <v>1550.625</v>
      </c>
      <c r="U79" s="44"/>
      <c r="V79" s="44"/>
      <c r="W79" s="44"/>
    </row>
    <row r="80" spans="2:23" x14ac:dyDescent="0.25">
      <c r="I80" s="1">
        <v>5</v>
      </c>
      <c r="J80" s="32" t="s">
        <v>67</v>
      </c>
      <c r="K80" s="4">
        <f t="shared" ref="K80:K92" si="6">IF(AND(D$13/5&gt;I79,D$13/5&lt;=I80),C$13,IF(AND(D$14/5&gt;I79,D$14/5&lt;=I80),C$14,0))</f>
        <v>0</v>
      </c>
      <c r="L80" s="4">
        <f>IF($J$3-L$122-L$99-K80-K81-K82-K83-K84-K85-K86-K87-K88-K89-K90-K91-K92&gt;0,K79-MIN($J$3-L$122-L$99-K80-K81-K82-K83-K84-K85-K86-K87-K88-K89-K90-K91-K92,K79),K79)</f>
        <v>0</v>
      </c>
      <c r="M80" s="27"/>
      <c r="N80" s="27"/>
      <c r="O80" s="4"/>
      <c r="P80" s="4">
        <f>O79</f>
        <v>0</v>
      </c>
      <c r="Q80" s="4">
        <f t="shared" si="5"/>
        <v>0</v>
      </c>
      <c r="R80" s="4">
        <f t="shared" si="5"/>
        <v>0</v>
      </c>
      <c r="S80" s="4">
        <f t="shared" si="5"/>
        <v>774.5</v>
      </c>
      <c r="T80" s="4">
        <f t="shared" si="5"/>
        <v>3819.875</v>
      </c>
      <c r="U80" s="44"/>
      <c r="V80" s="44"/>
      <c r="W80" s="44"/>
    </row>
    <row r="81" spans="9:23" x14ac:dyDescent="0.25">
      <c r="I81" s="1">
        <v>6</v>
      </c>
      <c r="J81" s="32" t="s">
        <v>68</v>
      </c>
      <c r="K81" s="4">
        <f t="shared" si="6"/>
        <v>6145</v>
      </c>
      <c r="L81" s="4">
        <f>IF($J$3-L$122-L$99-K81-K82-K83-K84-K85-K86-K87-K88-K89-K90-K91-K92&gt;0,K80-MIN($J$3-L$122-L$99-K81-K82-K83-K84-K85-K86-K87-K88-K89-K90-K91-K92,K80),K80)</f>
        <v>0</v>
      </c>
      <c r="M81" s="4">
        <f>IF($J$3-M$122-M$99-L81-L82-L83-L84-L85-L86-L87-L88-L89-L90-L91-L92&gt;0,L80-MIN($J$3-M$122-M$99-L81-L82-L83-L84-L85-L86-L87-L88-L89-L90-L91-L92,L80),L80)</f>
        <v>0</v>
      </c>
      <c r="N81" s="27"/>
      <c r="O81" s="27"/>
      <c r="P81" s="44"/>
      <c r="Q81" s="4">
        <f>IF($I81*5&lt;=IO.CONTROL!$C$10,P80,0)</f>
        <v>0</v>
      </c>
      <c r="R81" s="4">
        <f>IF($I81*5&lt;=IO.CONTROL!$C$10,Q80,0)</f>
        <v>0</v>
      </c>
      <c r="S81" s="4">
        <f>IF($I81*5&lt;=IO.CONTROL!$C$10,R80,0)</f>
        <v>0</v>
      </c>
      <c r="T81" s="4">
        <f>IF($I81*5&lt;=IO.CONTROL!$C$10,S80,0)</f>
        <v>774.5</v>
      </c>
      <c r="U81" s="44"/>
      <c r="V81" s="44"/>
      <c r="W81" s="44"/>
    </row>
    <row r="82" spans="9:23" x14ac:dyDescent="0.25">
      <c r="I82" s="1">
        <v>7</v>
      </c>
      <c r="J82" s="32" t="s">
        <v>69</v>
      </c>
      <c r="K82" s="4">
        <f t="shared" si="6"/>
        <v>0</v>
      </c>
      <c r="L82" s="4">
        <f>IF($J$3-L$122-L$99-K82-K83-K84-K85-K86-K87-K88-K89-K90-K91-K92&gt;0,K81-MIN($J$3-L$122-L$99-K82-K83-K84-K85-K86-K87-K88-K89-K90-K91-K92,K81),K81)</f>
        <v>6145</v>
      </c>
      <c r="M82" s="4">
        <f>IF($J$3-M$122-M$99-L82-L83-L84-L85-L86-L87-L88-L89-L90-L91-L92&gt;0,L81-MIN($J$3-M$122-M$99-L82-L83-L84-L85-L86-L87-L88-L89-L90-L91-L92,L81),L81)</f>
        <v>0</v>
      </c>
      <c r="N82" s="4">
        <f>IF($J$3-N$122-N$99-M82-M83-M84-M85-M86-M87-M88-M89-M90-M91-M92&gt;0,M81-MIN($J$3-N$122-N$99-M82-M83-M84-M85-M86-M87-M88-M89-M90-M91-M92,M81),M81)</f>
        <v>0</v>
      </c>
      <c r="O82" s="27"/>
      <c r="P82" s="44"/>
      <c r="Q82" s="4"/>
      <c r="R82" s="4">
        <f>IF($I82*5&lt;=IO.CONTROL!$C$10,Q81,0)</f>
        <v>0</v>
      </c>
      <c r="S82" s="4">
        <f>IF($I82*5&lt;=IO.CONTROL!$C$10,R81,0)</f>
        <v>0</v>
      </c>
      <c r="T82" s="4">
        <f>IF($I82*5&lt;=IO.CONTROL!$C$10,S81,0)</f>
        <v>0</v>
      </c>
      <c r="U82" s="44"/>
      <c r="V82" s="44"/>
      <c r="W82" s="44"/>
    </row>
    <row r="83" spans="9:23" x14ac:dyDescent="0.25">
      <c r="I83" s="1">
        <v>8</v>
      </c>
      <c r="J83" s="32" t="s">
        <v>70</v>
      </c>
      <c r="K83" s="4">
        <f t="shared" si="6"/>
        <v>0</v>
      </c>
      <c r="L83" s="4">
        <f>IF($J$3-L$122-L$99-K83-K84-K85-K86-K87-K88-K89-K90-K91-K92&gt;0,K82-MIN($J$3-L$122-L$99-K83-K84-K85-K86-K87-K88-K89-K90-K91-K92,K82),K82)</f>
        <v>0</v>
      </c>
      <c r="M83" s="4">
        <f>IF($J$3-M$122-M$99-L83-L84-L85-L86-L87-L88-L89-L90-L91-L92&gt;0,L82-MIN($J$3-M$122-M$99-L83-L84-L85-L86-L87-L88-L89-L90-L91-L92,L82),L82)</f>
        <v>6145</v>
      </c>
      <c r="N83" s="4">
        <f>IF($J$3-N$122-N$99-M83-M84-M85-M86-M87-M88-M89-M90-M91-M92&gt;0,M82-MIN($J$3-N$122-N$99-M83-M84-M85-M86-M87-M88-M89-M90-M91-M92,M82),M82)</f>
        <v>0</v>
      </c>
      <c r="O83" s="4">
        <f>IF($J$3-O$122-O$99-N83-N84-N85-N86-N87-N88-N89-N90-N91-N92&gt;0,N82-MIN($J$3-O$122-O$99-N83-N84-N85-N86-N87-N88-N89-N90-N91-N92,N82),N82)</f>
        <v>0</v>
      </c>
      <c r="P83" s="44"/>
      <c r="Q83" s="4"/>
      <c r="R83" s="4"/>
      <c r="S83" s="4">
        <f>IF($I83*5&lt;=IO.CONTROL!$C$10,R82,0)</f>
        <v>0</v>
      </c>
      <c r="T83" s="4">
        <f>IF($I83*5&lt;=IO.CONTROL!$C$10,S82,0)</f>
        <v>0</v>
      </c>
      <c r="U83" s="44"/>
      <c r="V83" s="44"/>
      <c r="W83" s="44"/>
    </row>
    <row r="84" spans="9:23" x14ac:dyDescent="0.25">
      <c r="I84" s="1">
        <v>9</v>
      </c>
      <c r="J84" s="32" t="s">
        <v>71</v>
      </c>
      <c r="K84" s="4">
        <f t="shared" si="6"/>
        <v>0</v>
      </c>
      <c r="L84" s="4">
        <f>IF($J$3-L$122-L$99-K84-K85-K86-K87-K88-K89-K90-K91-K92&gt;0,K83-MIN($J$3-L$122-L$99-K84-K85-K86-K87-K88-K89-K90-K91-K92,K83),K83)</f>
        <v>0</v>
      </c>
      <c r="M84" s="4">
        <f>IF($J$3-M$122-M$99-L84-L85-L86-L87-L88-L89-L90-L91-L92&gt;0,L83-MIN($J$3-M$122-M$99-L84-L85-L86-L87-L88-L89-L90-L91-L92,L83),L83)</f>
        <v>0</v>
      </c>
      <c r="N84" s="4">
        <f>IF($J$3-N$122-N$99-M84-M85-M86-M87-M88-M89-M90-M91-M92&gt;0,M83-MIN($J$3-N$122-N$99-M84-M85-M86-M87-M88-M89-M90-M91-M92,M83),M83)</f>
        <v>6145</v>
      </c>
      <c r="O84" s="4">
        <f>IF($J$3-O$122-O$99-N84-N85-N86-N87-N88-N89-N90-N91-N92&gt;0,N83-MIN($J$3-O$122-O$99-N84-N85-N86-N87-N88-N89-N90-N91-N92,N83),N83)</f>
        <v>0</v>
      </c>
      <c r="P84" s="4">
        <f>IF($J$3-P$122-P$99-O84-O85-O86-O87-O88-O89-O90-O91-O92&gt;0,O83-MIN($J$3-P$122-P$99-O84-O85-O86-O87-O88-O89-O90-O91-O92,O83),O83)</f>
        <v>0</v>
      </c>
      <c r="Q84" s="4"/>
      <c r="R84" s="4"/>
      <c r="S84" s="4"/>
      <c r="T84" s="4"/>
      <c r="U84" s="44"/>
      <c r="V84" s="44"/>
      <c r="W84" s="44"/>
    </row>
    <row r="85" spans="9:23" x14ac:dyDescent="0.25">
      <c r="I85" s="1">
        <v>10</v>
      </c>
      <c r="J85" s="32" t="s">
        <v>72</v>
      </c>
      <c r="K85" s="4">
        <f t="shared" si="6"/>
        <v>0</v>
      </c>
      <c r="L85" s="4">
        <f t="shared" ref="L85:Q85" si="7">IF($J$3-L$122-L$99-K85-K86-K87-K88-K89-K90-K91-K92&gt;0,K84-MIN($J$3-L$122-L$99-K85-K86-K87-K88-K89-K90-K91-K92,K84),K84)</f>
        <v>0</v>
      </c>
      <c r="M85" s="4">
        <f t="shared" si="7"/>
        <v>0</v>
      </c>
      <c r="N85" s="4">
        <f t="shared" si="7"/>
        <v>0</v>
      </c>
      <c r="O85" s="4">
        <f t="shared" si="7"/>
        <v>5370.5</v>
      </c>
      <c r="P85" s="4">
        <f t="shared" si="7"/>
        <v>0</v>
      </c>
      <c r="Q85" s="4">
        <f t="shared" si="7"/>
        <v>0</v>
      </c>
      <c r="R85" s="44"/>
      <c r="S85" s="44"/>
      <c r="T85" s="44"/>
      <c r="U85" s="44"/>
      <c r="V85" s="44"/>
      <c r="W85" s="44"/>
    </row>
    <row r="86" spans="9:23" x14ac:dyDescent="0.25">
      <c r="I86" s="1">
        <v>11</v>
      </c>
      <c r="J86" s="32" t="s">
        <v>73</v>
      </c>
      <c r="K86" s="4">
        <f t="shared" si="6"/>
        <v>0</v>
      </c>
      <c r="L86" s="4">
        <f t="shared" ref="L86:R86" si="8">IF($J$3-L$122-L$99-K86-K87-K88-K89-K90-K91-K92&gt;0,K85-MIN($J$3-L$122-L$99-K86-K87-K88-K89-K90-K91-K92,K85),K85)</f>
        <v>0</v>
      </c>
      <c r="M86" s="4">
        <f t="shared" si="8"/>
        <v>0</v>
      </c>
      <c r="N86" s="4">
        <f t="shared" si="8"/>
        <v>0</v>
      </c>
      <c r="O86" s="4">
        <f t="shared" si="8"/>
        <v>0</v>
      </c>
      <c r="P86" s="4">
        <f t="shared" si="8"/>
        <v>1550.625</v>
      </c>
      <c r="Q86" s="4">
        <f t="shared" si="8"/>
        <v>0</v>
      </c>
      <c r="R86" s="4">
        <f t="shared" si="8"/>
        <v>0</v>
      </c>
      <c r="S86" s="44"/>
      <c r="T86" s="44"/>
      <c r="U86" s="44"/>
      <c r="V86" s="44"/>
      <c r="W86" s="44"/>
    </row>
    <row r="87" spans="9:23" x14ac:dyDescent="0.25">
      <c r="I87" s="1">
        <v>12</v>
      </c>
      <c r="J87" s="32" t="s">
        <v>74</v>
      </c>
      <c r="K87" s="4">
        <f t="shared" si="6"/>
        <v>0</v>
      </c>
      <c r="L87" s="4">
        <f t="shared" ref="L87:S87" si="9">IF($J$3-L$122-L$99-K87-K88-K89-K90-K91-K92&gt;0,K86-MIN($J$3-L$122-L$99-K87-K88-K89-K90-K91-K92,K86),K86)</f>
        <v>0</v>
      </c>
      <c r="M87" s="4">
        <f t="shared" si="9"/>
        <v>0</v>
      </c>
      <c r="N87" s="4">
        <f t="shared" si="9"/>
        <v>0</v>
      </c>
      <c r="O87" s="4">
        <f t="shared" si="9"/>
        <v>0</v>
      </c>
      <c r="P87" s="4">
        <f t="shared" si="9"/>
        <v>0</v>
      </c>
      <c r="Q87" s="4">
        <f t="shared" si="9"/>
        <v>0</v>
      </c>
      <c r="R87" s="4">
        <f t="shared" si="9"/>
        <v>0</v>
      </c>
      <c r="S87" s="4">
        <f t="shared" si="9"/>
        <v>0</v>
      </c>
      <c r="T87" s="44"/>
      <c r="U87" s="44"/>
      <c r="V87" s="44"/>
      <c r="W87" s="44"/>
    </row>
    <row r="88" spans="9:23" x14ac:dyDescent="0.25">
      <c r="I88" s="32" t="s">
        <v>80</v>
      </c>
      <c r="J88" s="46" t="s">
        <v>82</v>
      </c>
      <c r="K88" s="4">
        <f t="shared" si="6"/>
        <v>0</v>
      </c>
      <c r="L88" s="4">
        <f t="shared" ref="L88:T88" si="10">IF($J$3-L$122-L$99-K88-K89-K90-K91-K92&gt;0,K87-MIN($J$3-L$122-L$99-K88-K89-K90-K91-K92,K87),K87)</f>
        <v>0</v>
      </c>
      <c r="M88" s="4">
        <f t="shared" si="10"/>
        <v>0</v>
      </c>
      <c r="N88" s="4">
        <f t="shared" si="10"/>
        <v>0</v>
      </c>
      <c r="O88" s="4">
        <f t="shared" si="10"/>
        <v>0</v>
      </c>
      <c r="P88" s="4">
        <f t="shared" si="10"/>
        <v>0</v>
      </c>
      <c r="Q88" s="4">
        <f t="shared" si="10"/>
        <v>0</v>
      </c>
      <c r="R88" s="4">
        <f t="shared" si="10"/>
        <v>0</v>
      </c>
      <c r="S88" s="4">
        <f t="shared" si="10"/>
        <v>0</v>
      </c>
      <c r="T88" s="4">
        <f t="shared" si="10"/>
        <v>0</v>
      </c>
    </row>
    <row r="89" spans="9:23" x14ac:dyDescent="0.25">
      <c r="I89" s="32" t="s">
        <v>81</v>
      </c>
      <c r="J89" s="46" t="s">
        <v>83</v>
      </c>
      <c r="K89" s="4">
        <f t="shared" si="6"/>
        <v>0</v>
      </c>
      <c r="L89" s="4">
        <f t="shared" ref="L89:T89" si="11">IF($J$3-L$122-L$99-K89-K90-K91-K92&gt;0,K88-MIN($J$3-L$122-L$99-K89-K90-K91-K92,K88),K88)</f>
        <v>0</v>
      </c>
      <c r="M89" s="4">
        <f t="shared" si="11"/>
        <v>0</v>
      </c>
      <c r="N89" s="4">
        <f t="shared" si="11"/>
        <v>0</v>
      </c>
      <c r="O89" s="4">
        <f t="shared" si="11"/>
        <v>0</v>
      </c>
      <c r="P89" s="4">
        <f t="shared" si="11"/>
        <v>0</v>
      </c>
      <c r="Q89" s="4">
        <f t="shared" si="11"/>
        <v>0</v>
      </c>
      <c r="R89" s="4">
        <f t="shared" si="11"/>
        <v>0</v>
      </c>
      <c r="S89" s="4">
        <f t="shared" si="11"/>
        <v>0</v>
      </c>
      <c r="T89" s="4">
        <f t="shared" si="11"/>
        <v>0</v>
      </c>
    </row>
    <row r="90" spans="9:23" x14ac:dyDescent="0.25">
      <c r="I90" s="32" t="s">
        <v>84</v>
      </c>
      <c r="J90" s="46" t="s">
        <v>88</v>
      </c>
      <c r="K90" s="4">
        <f t="shared" si="6"/>
        <v>0</v>
      </c>
      <c r="L90" s="4">
        <f t="shared" ref="L90:T90" si="12">IF($J$3-L$122-L$99-K90-K91-K92&gt;0,K89-MIN($J$3-L$122-L$99-K90-K91-K92,K89),K89)</f>
        <v>0</v>
      </c>
      <c r="M90" s="4">
        <f t="shared" si="12"/>
        <v>0</v>
      </c>
      <c r="N90" s="4">
        <f t="shared" si="12"/>
        <v>0</v>
      </c>
      <c r="O90" s="4">
        <f t="shared" si="12"/>
        <v>0</v>
      </c>
      <c r="P90" s="4">
        <f t="shared" si="12"/>
        <v>0</v>
      </c>
      <c r="Q90" s="4">
        <f t="shared" si="12"/>
        <v>0</v>
      </c>
      <c r="R90" s="4">
        <f t="shared" si="12"/>
        <v>0</v>
      </c>
      <c r="S90" s="4">
        <f t="shared" si="12"/>
        <v>0</v>
      </c>
      <c r="T90" s="4">
        <f t="shared" si="12"/>
        <v>0</v>
      </c>
    </row>
    <row r="91" spans="9:23" x14ac:dyDescent="0.25">
      <c r="I91" s="32" t="s">
        <v>85</v>
      </c>
      <c r="J91" s="46" t="s">
        <v>89</v>
      </c>
      <c r="K91" s="4">
        <f t="shared" si="6"/>
        <v>0</v>
      </c>
      <c r="L91" s="4">
        <f t="shared" ref="L91:T91" si="13">IF($J$3-L$122-L$99-K91-K92&gt;0,K90-MIN($J$3-L$122-L$99-K91-K92,K90),K90)</f>
        <v>0</v>
      </c>
      <c r="M91" s="4">
        <f t="shared" si="13"/>
        <v>0</v>
      </c>
      <c r="N91" s="4">
        <f t="shared" si="13"/>
        <v>0</v>
      </c>
      <c r="O91" s="4">
        <f t="shared" si="13"/>
        <v>0</v>
      </c>
      <c r="P91" s="4">
        <f t="shared" si="13"/>
        <v>0</v>
      </c>
      <c r="Q91" s="4">
        <f t="shared" si="13"/>
        <v>0</v>
      </c>
      <c r="R91" s="4">
        <f t="shared" si="13"/>
        <v>0</v>
      </c>
      <c r="S91" s="4">
        <f t="shared" si="13"/>
        <v>0</v>
      </c>
      <c r="T91" s="4">
        <f t="shared" si="13"/>
        <v>0</v>
      </c>
    </row>
    <row r="92" spans="9:23" x14ac:dyDescent="0.25">
      <c r="I92" s="32" t="s">
        <v>86</v>
      </c>
      <c r="J92" s="46" t="s">
        <v>90</v>
      </c>
      <c r="K92" s="4">
        <f t="shared" si="6"/>
        <v>0</v>
      </c>
      <c r="L92" s="4">
        <f t="shared" ref="L92:T92" si="14">IF($J$3-L$122-L$99-K92&gt;0,K91-MIN($J$3-L$122-L$99-K92,K91),K91)</f>
        <v>0</v>
      </c>
      <c r="M92" s="4">
        <f t="shared" si="14"/>
        <v>0</v>
      </c>
      <c r="N92" s="4">
        <f t="shared" si="14"/>
        <v>0</v>
      </c>
      <c r="O92" s="4">
        <f t="shared" si="14"/>
        <v>0</v>
      </c>
      <c r="P92" s="4">
        <f t="shared" si="14"/>
        <v>0</v>
      </c>
      <c r="Q92" s="4">
        <f t="shared" si="14"/>
        <v>0</v>
      </c>
      <c r="R92" s="4">
        <f t="shared" si="14"/>
        <v>0</v>
      </c>
      <c r="S92" s="4">
        <f t="shared" si="14"/>
        <v>0</v>
      </c>
      <c r="T92" s="4">
        <f t="shared" si="14"/>
        <v>0</v>
      </c>
    </row>
    <row r="93" spans="9:23" x14ac:dyDescent="0.25">
      <c r="I93" s="32" t="s">
        <v>87</v>
      </c>
      <c r="J93" s="46" t="s">
        <v>91</v>
      </c>
      <c r="K93" s="4"/>
      <c r="L93" s="4">
        <f t="shared" ref="L93:T93" si="15">IF($J$3-L$122-L$99&gt;0,K92-MIN($J$3-L$122-L$99,K92),K92)</f>
        <v>0</v>
      </c>
      <c r="M93" s="4">
        <f t="shared" si="15"/>
        <v>0</v>
      </c>
      <c r="N93" s="4">
        <f t="shared" si="15"/>
        <v>0</v>
      </c>
      <c r="O93" s="4">
        <f t="shared" si="15"/>
        <v>0</v>
      </c>
      <c r="P93" s="4">
        <f t="shared" si="15"/>
        <v>0</v>
      </c>
      <c r="Q93" s="4">
        <f t="shared" si="15"/>
        <v>0</v>
      </c>
      <c r="R93" s="4">
        <f t="shared" si="15"/>
        <v>0</v>
      </c>
      <c r="S93" s="4">
        <f t="shared" si="15"/>
        <v>0</v>
      </c>
      <c r="T93" s="4">
        <f t="shared" si="15"/>
        <v>0</v>
      </c>
    </row>
    <row r="94" spans="9:23" x14ac:dyDescent="0.25">
      <c r="J94" s="46" t="s">
        <v>92</v>
      </c>
      <c r="K94" s="4">
        <f>SUM(K79:K93)</f>
        <v>6145</v>
      </c>
      <c r="L94" s="4">
        <f>SUM(L80:L93)</f>
        <v>6145</v>
      </c>
      <c r="M94" s="4">
        <f>SUM(M81:M93)</f>
        <v>6145</v>
      </c>
      <c r="N94" s="4">
        <f>SUM(N82:N93)</f>
        <v>6145</v>
      </c>
      <c r="O94" s="4">
        <f>SUM(O83:O93)</f>
        <v>5370.5</v>
      </c>
      <c r="P94" s="4">
        <f>SUM(P84:P93)</f>
        <v>1550.625</v>
      </c>
      <c r="Q94" s="4">
        <f>SUM(Q85:Q93)</f>
        <v>0</v>
      </c>
      <c r="R94" s="4">
        <f>SUM(R86:R93)</f>
        <v>0</v>
      </c>
      <c r="S94" s="4">
        <f>SUM(S87:S93)</f>
        <v>0</v>
      </c>
      <c r="T94" s="4">
        <f>SUM(T88:T93)</f>
        <v>0</v>
      </c>
    </row>
    <row r="96" spans="9:23" x14ac:dyDescent="0.25">
      <c r="I96" s="3" t="s">
        <v>93</v>
      </c>
      <c r="J96" s="46" t="s">
        <v>51</v>
      </c>
      <c r="L96" s="150" t="s">
        <v>79</v>
      </c>
      <c r="M96" s="164"/>
      <c r="N96" s="164"/>
      <c r="O96" s="164"/>
      <c r="P96" s="164"/>
      <c r="Q96" s="164"/>
      <c r="R96" s="164"/>
      <c r="S96" s="164"/>
      <c r="T96" s="164"/>
    </row>
    <row r="97" spans="9:23" x14ac:dyDescent="0.25">
      <c r="J97" s="46" t="s">
        <v>6</v>
      </c>
      <c r="K97" s="46" t="s">
        <v>75</v>
      </c>
      <c r="L97" s="1">
        <v>1</v>
      </c>
      <c r="M97" s="1">
        <v>2</v>
      </c>
      <c r="N97" s="1">
        <v>3</v>
      </c>
      <c r="O97" s="1">
        <v>4</v>
      </c>
      <c r="P97" s="1">
        <v>5</v>
      </c>
      <c r="Q97" s="1">
        <v>6</v>
      </c>
      <c r="R97" s="1">
        <v>7</v>
      </c>
      <c r="S97" s="1">
        <v>8</v>
      </c>
      <c r="T97" s="1">
        <v>9</v>
      </c>
      <c r="U97" s="28"/>
      <c r="V97" s="28"/>
      <c r="W97" s="28"/>
    </row>
    <row r="98" spans="9:23" x14ac:dyDescent="0.25">
      <c r="I98" s="1" t="s">
        <v>62</v>
      </c>
      <c r="J98" s="46" t="s">
        <v>76</v>
      </c>
      <c r="K98" s="46" t="s">
        <v>77</v>
      </c>
      <c r="L98" s="32" t="s">
        <v>63</v>
      </c>
      <c r="M98" s="32" t="s">
        <v>64</v>
      </c>
      <c r="N98" s="32" t="s">
        <v>65</v>
      </c>
      <c r="O98" s="32" t="s">
        <v>66</v>
      </c>
      <c r="P98" s="32" t="s">
        <v>67</v>
      </c>
      <c r="Q98" s="32" t="s">
        <v>68</v>
      </c>
      <c r="R98" s="32" t="s">
        <v>69</v>
      </c>
      <c r="S98" s="32" t="s">
        <v>70</v>
      </c>
      <c r="T98" s="32" t="s">
        <v>71</v>
      </c>
      <c r="U98" s="32"/>
      <c r="V98" s="32"/>
      <c r="W98" s="32"/>
    </row>
    <row r="99" spans="9:23" x14ac:dyDescent="0.25">
      <c r="I99" s="1">
        <v>1</v>
      </c>
      <c r="J99" s="32" t="s">
        <v>63</v>
      </c>
      <c r="K99" s="4"/>
      <c r="L99" s="4">
        <f>IF(L97*5&lt;=IO.CONTROL!$C$10,K117-L117,VLOOKUP((IO.CONTROL!$C$10/5)+1,$I99:$T116,3+L97))</f>
        <v>1418.125</v>
      </c>
      <c r="M99" s="4">
        <f>IF(M97*5&lt;=IO.CONTROL!$C$10,L117-M117,VLOOKUP((IO.CONTROL!$C$10/5)+1,$I99:$T116,3+M97))</f>
        <v>1418.125</v>
      </c>
      <c r="N99" s="4">
        <f>IF(N97*5&lt;=IO.CONTROL!$C$10,M117-N117,VLOOKUP((IO.CONTROL!$C$10/5)+1,$I99:$T116,3+N97))</f>
        <v>1418.125</v>
      </c>
      <c r="O99" s="4">
        <f>IF(O97*5&lt;=IO.CONTROL!$C$10,N117-O117,VLOOKUP((IO.CONTROL!$C$10/5)+1,$I99:$T116,3+O97))</f>
        <v>643.625</v>
      </c>
      <c r="P99" s="4">
        <f>IF(P97*5&lt;=IO.CONTROL!$C$10,O117-P117,VLOOKUP((IO.CONTROL!$C$10/5),$I99:$T116,2+P97))</f>
        <v>0</v>
      </c>
      <c r="Q99" s="4">
        <f>IF(Q97*5&lt;=IO.CONTROL!$C$10,P117-Q117,VLOOKUP((IO.CONTROL!$C$10/5),$I99:$T116,2+Q97))</f>
        <v>0</v>
      </c>
      <c r="R99" s="4">
        <f>IF(R97*5&lt;=IO.CONTROL!$C$10,Q117-R117,VLOOKUP((IO.CONTROL!$C$10/5),$I99:$T116,2+R97))</f>
        <v>0</v>
      </c>
      <c r="S99" s="4">
        <f>IF(S97*5&lt;=IO.CONTROL!$C$10,R117-S117,VLOOKUP((IO.CONTROL!$C$10/5),$I99:$T116,2+S97))</f>
        <v>0</v>
      </c>
      <c r="T99" s="4">
        <f>IF(T97*5&lt;=IO.CONTROL!$C$10,S117-T117,VLOOKUP((IO.CONTROL!$C$10/5),$I99:$T116,2+T97))</f>
        <v>1418.125</v>
      </c>
      <c r="U99" s="44"/>
      <c r="V99" s="44"/>
      <c r="W99" s="44"/>
    </row>
    <row r="100" spans="9:23" x14ac:dyDescent="0.25">
      <c r="I100" s="1">
        <v>2</v>
      </c>
      <c r="J100" s="32" t="s">
        <v>64</v>
      </c>
      <c r="K100" s="4"/>
      <c r="L100" s="4"/>
      <c r="M100" s="4">
        <f t="shared" ref="M100:T100" si="16">L99</f>
        <v>1418.125</v>
      </c>
      <c r="N100" s="4">
        <f t="shared" si="16"/>
        <v>1418.125</v>
      </c>
      <c r="O100" s="4">
        <f t="shared" si="16"/>
        <v>1418.125</v>
      </c>
      <c r="P100" s="4">
        <f t="shared" si="16"/>
        <v>643.625</v>
      </c>
      <c r="Q100" s="4">
        <f t="shared" si="16"/>
        <v>0</v>
      </c>
      <c r="R100" s="4">
        <f t="shared" si="16"/>
        <v>0</v>
      </c>
      <c r="S100" s="4">
        <f t="shared" si="16"/>
        <v>0</v>
      </c>
      <c r="T100" s="4">
        <f t="shared" si="16"/>
        <v>0</v>
      </c>
      <c r="U100" s="44"/>
      <c r="V100" s="44"/>
      <c r="W100" s="44"/>
    </row>
    <row r="101" spans="9:23" x14ac:dyDescent="0.25">
      <c r="I101" s="1">
        <v>3</v>
      </c>
      <c r="J101" s="32" t="s">
        <v>65</v>
      </c>
      <c r="K101" s="4"/>
      <c r="L101" s="4"/>
      <c r="M101" s="4"/>
      <c r="N101" s="4">
        <f t="shared" ref="N101:T101" si="17">M100</f>
        <v>1418.125</v>
      </c>
      <c r="O101" s="4">
        <f t="shared" si="17"/>
        <v>1418.125</v>
      </c>
      <c r="P101" s="4">
        <f t="shared" si="17"/>
        <v>1418.125</v>
      </c>
      <c r="Q101" s="4">
        <f t="shared" si="17"/>
        <v>643.625</v>
      </c>
      <c r="R101" s="4">
        <f t="shared" si="17"/>
        <v>0</v>
      </c>
      <c r="S101" s="4">
        <f t="shared" si="17"/>
        <v>0</v>
      </c>
      <c r="T101" s="4">
        <f t="shared" si="17"/>
        <v>0</v>
      </c>
      <c r="U101" s="44"/>
      <c r="V101" s="44"/>
      <c r="W101" s="44"/>
    </row>
    <row r="102" spans="9:23" x14ac:dyDescent="0.25">
      <c r="I102" s="1">
        <v>4</v>
      </c>
      <c r="J102" s="32" t="s">
        <v>66</v>
      </c>
      <c r="K102" s="4"/>
      <c r="L102" s="4"/>
      <c r="M102" s="4"/>
      <c r="N102" s="4"/>
      <c r="O102" s="4">
        <f t="shared" ref="O102:T102" si="18">N101</f>
        <v>1418.125</v>
      </c>
      <c r="P102" s="4">
        <f t="shared" si="18"/>
        <v>1418.125</v>
      </c>
      <c r="Q102" s="4">
        <f t="shared" si="18"/>
        <v>1418.125</v>
      </c>
      <c r="R102" s="4">
        <f t="shared" si="18"/>
        <v>643.625</v>
      </c>
      <c r="S102" s="4">
        <f t="shared" si="18"/>
        <v>0</v>
      </c>
      <c r="T102" s="4">
        <f t="shared" si="18"/>
        <v>0</v>
      </c>
      <c r="U102" s="44"/>
      <c r="V102" s="44"/>
      <c r="W102" s="44"/>
    </row>
    <row r="103" spans="9:23" x14ac:dyDescent="0.25">
      <c r="I103" s="1">
        <v>5</v>
      </c>
      <c r="J103" s="32" t="s">
        <v>67</v>
      </c>
      <c r="K103" s="4"/>
      <c r="L103" s="4"/>
      <c r="M103" s="4"/>
      <c r="N103" s="4"/>
      <c r="O103" s="4"/>
      <c r="P103" s="4">
        <f>IF($I103*5&lt;=IO.CONTROL!$C$10,O102,0)</f>
        <v>1418.125</v>
      </c>
      <c r="Q103" s="4">
        <f>P102</f>
        <v>1418.125</v>
      </c>
      <c r="R103" s="4">
        <f>Q102</f>
        <v>1418.125</v>
      </c>
      <c r="S103" s="4">
        <f>R102</f>
        <v>643.625</v>
      </c>
      <c r="T103" s="4">
        <f>S102</f>
        <v>0</v>
      </c>
      <c r="U103" s="44"/>
      <c r="V103" s="44"/>
      <c r="W103" s="44"/>
    </row>
    <row r="104" spans="9:23" x14ac:dyDescent="0.25">
      <c r="I104" s="1">
        <v>6</v>
      </c>
      <c r="J104" s="32" t="s">
        <v>68</v>
      </c>
      <c r="K104" s="4"/>
      <c r="L104" s="4"/>
      <c r="M104" s="4"/>
      <c r="N104" s="4"/>
      <c r="O104" s="4"/>
      <c r="P104" s="47"/>
      <c r="Q104" s="4">
        <f>IF($I104*5&lt;=IO.CONTROL!$C$10,P103,0)</f>
        <v>1418.125</v>
      </c>
      <c r="R104" s="4">
        <f>IF($I104*5&lt;=IO.CONTROL!$C$10,Q103,0)</f>
        <v>1418.125</v>
      </c>
      <c r="S104" s="4">
        <f>IF($I104*5&lt;=IO.CONTROL!$C$10,R103,0)</f>
        <v>1418.125</v>
      </c>
      <c r="T104" s="4">
        <f>IF($I104*5&lt;=IO.CONTROL!$C$10,S103,0)</f>
        <v>643.625</v>
      </c>
      <c r="U104" s="44"/>
      <c r="V104" s="44"/>
      <c r="W104" s="44"/>
    </row>
    <row r="105" spans="9:23" x14ac:dyDescent="0.25">
      <c r="I105" s="1">
        <v>7</v>
      </c>
      <c r="J105" s="32" t="s">
        <v>69</v>
      </c>
      <c r="K105" s="4"/>
      <c r="L105" s="4"/>
      <c r="M105" s="4"/>
      <c r="N105" s="4"/>
      <c r="O105" s="4"/>
      <c r="P105" s="47"/>
      <c r="Q105" s="4"/>
      <c r="R105" s="4">
        <f>IF($I105*5&lt;=IO.CONTROL!$C$10,Q104,0)</f>
        <v>1418.125</v>
      </c>
      <c r="S105" s="4">
        <f>IF($I105*5&lt;=IO.CONTROL!$C$10,R104,0)</f>
        <v>1418.125</v>
      </c>
      <c r="T105" s="4">
        <f>IF($I105*5&lt;=IO.CONTROL!$C$10,S104,0)</f>
        <v>1418.125</v>
      </c>
      <c r="U105" s="44"/>
      <c r="V105" s="44"/>
      <c r="W105" s="44"/>
    </row>
    <row r="106" spans="9:23" x14ac:dyDescent="0.25">
      <c r="I106" s="1">
        <v>8</v>
      </c>
      <c r="J106" s="32" t="s">
        <v>70</v>
      </c>
      <c r="K106" s="4">
        <f>IF(AND(D$15/5&gt;I105,D$15/5&lt;=I106),C$15,IF(AND(D$16/5&gt;I105,D$16/5&lt;=I106),C$16,0))</f>
        <v>0</v>
      </c>
      <c r="L106" s="4"/>
      <c r="M106" s="4"/>
      <c r="N106" s="4"/>
      <c r="O106" s="4"/>
      <c r="P106" s="47"/>
      <c r="Q106" s="4"/>
      <c r="R106" s="4"/>
      <c r="S106" s="4">
        <f>IF($I106*5&lt;=IO.CONTROL!$C$10,R105,0)</f>
        <v>1418.125</v>
      </c>
      <c r="T106" s="4">
        <f>IF($I106*5&lt;=IO.CONTROL!$C$10,S105,0)</f>
        <v>1418.125</v>
      </c>
      <c r="U106" s="44"/>
      <c r="V106" s="44"/>
      <c r="W106" s="44"/>
    </row>
    <row r="107" spans="9:23" x14ac:dyDescent="0.25">
      <c r="I107" s="1">
        <v>9</v>
      </c>
      <c r="J107" s="32" t="s">
        <v>71</v>
      </c>
      <c r="K107" s="4">
        <f t="shared" ref="K107:K115" si="19">IF(AND(D$15/5&gt;I106,D$15/5&lt;=I107),C$15,IF(AND(D$16/5&gt;I106,D$16/5&lt;=I107),C$16,0))</f>
        <v>0</v>
      </c>
      <c r="L107" s="4">
        <f>IF($J$3-L$122-K107-K108-K109-K110-K111-K112-K113-K114-K115&gt;0,K106-MIN($J$3-L$122-K107-K108-K109-K110-K111-K112-K113-K114-K115,K106),K106)</f>
        <v>0</v>
      </c>
      <c r="M107" s="4"/>
      <c r="N107" s="4"/>
      <c r="O107" s="4"/>
      <c r="P107" s="47"/>
      <c r="Q107" s="4"/>
      <c r="R107" s="4"/>
      <c r="S107" s="4"/>
      <c r="T107" s="4"/>
      <c r="U107" s="44"/>
      <c r="V107" s="44"/>
      <c r="W107" s="44"/>
    </row>
    <row r="108" spans="9:23" x14ac:dyDescent="0.25">
      <c r="I108" s="1">
        <v>10</v>
      </c>
      <c r="J108" s="32" t="s">
        <v>72</v>
      </c>
      <c r="K108" s="4">
        <f t="shared" si="19"/>
        <v>4898</v>
      </c>
      <c r="L108" s="4">
        <f>IF($J$3-L$122-K108-K109-K110-K111-K112-K113-K114-K115&gt;0,K107-MIN($J$3-L$122-K108-K109-K110-K111-K112-K113-K114-K115,K107),K107)</f>
        <v>0</v>
      </c>
      <c r="M108" s="4">
        <f>IF($J$3-M$122-L108-L109-L110-L111-L112-L113-L114-L115&gt;0,L107-MIN($J$3-M$122-L108-L109-L110-L111-L112-L113-L114-L115,L107),L107)</f>
        <v>0</v>
      </c>
      <c r="N108" s="4"/>
      <c r="O108" s="4"/>
      <c r="P108" s="4"/>
      <c r="Q108" s="4"/>
      <c r="R108" s="4"/>
      <c r="S108" s="4"/>
      <c r="T108" s="4"/>
      <c r="U108" s="44"/>
      <c r="V108" s="44"/>
      <c r="W108" s="44"/>
    </row>
    <row r="109" spans="9:23" x14ac:dyDescent="0.25">
      <c r="I109" s="1">
        <v>11</v>
      </c>
      <c r="J109" s="32" t="s">
        <v>73</v>
      </c>
      <c r="K109" s="4">
        <f t="shared" si="19"/>
        <v>0</v>
      </c>
      <c r="L109" s="4">
        <f>IF($J$3-L$122-K109-K110-K111-K112-K113-K114-K115&gt;0,K108-MIN($J$3-L$122-K109-K110-K111-K112-K113-K114-K115,K108),K108)</f>
        <v>3479.875</v>
      </c>
      <c r="M109" s="4">
        <f>IF($J$3-M$122-L109-L110-L111-L112-L113-L114-L115&gt;0,L108-MIN($J$3-M$122-L109-L110-L111-L112-L113-L114-L115,L108),L108)</f>
        <v>0</v>
      </c>
      <c r="N109" s="4">
        <f>IF($J$3-N$122-M109-M110-M111-M112-M113-M114-M115&gt;0,M108-MIN($J$3-N$122-M109-M110-M111-M112-M113-M114-M115,M108),M108)</f>
        <v>0</v>
      </c>
      <c r="O109" s="4"/>
      <c r="P109" s="4"/>
      <c r="Q109" s="4"/>
      <c r="R109" s="4"/>
      <c r="S109" s="4"/>
      <c r="T109" s="4"/>
      <c r="U109" s="44"/>
      <c r="V109" s="44"/>
      <c r="W109" s="44"/>
    </row>
    <row r="110" spans="9:23" x14ac:dyDescent="0.25">
      <c r="I110" s="1">
        <v>12</v>
      </c>
      <c r="J110" s="32" t="s">
        <v>74</v>
      </c>
      <c r="K110" s="4">
        <f t="shared" si="19"/>
        <v>0</v>
      </c>
      <c r="L110" s="4">
        <f>IF($J$3-L$122-K110-K111-K112-K113-K114-K115&gt;0,K109-MIN($J$3-L$122-K110-K111-K112-K113-K114-K115,K109),K109)</f>
        <v>0</v>
      </c>
      <c r="M110" s="4">
        <f>IF($J$3-M$122-L110-L111-L112-L113-L114-L115&gt;0,L109-MIN($J$3-M$122-L110-L111-L112-L113-L114-L115,L109),L109)</f>
        <v>2061.75</v>
      </c>
      <c r="N110" s="4">
        <f>IF($J$3-N$122-M110-M111-M112-M113-M114-M115&gt;0,M109-MIN($J$3-N$122-M110-M111-M112-M113-M114-M115,M109),M109)</f>
        <v>0</v>
      </c>
      <c r="O110" s="4">
        <f>IF($J$3-O$122-N110-N111-N112-N113-N114-N115&gt;0,N109-MIN($J$3-O$122-N110-N111-N112-N113-N114-N115,N109),N109)</f>
        <v>0</v>
      </c>
      <c r="P110" s="4"/>
      <c r="Q110" s="4"/>
      <c r="R110" s="4"/>
      <c r="S110" s="4"/>
      <c r="T110" s="4"/>
      <c r="U110" s="44"/>
      <c r="V110" s="44"/>
      <c r="W110" s="44"/>
    </row>
    <row r="111" spans="9:23" x14ac:dyDescent="0.25">
      <c r="I111" s="32" t="s">
        <v>80</v>
      </c>
      <c r="J111" s="46" t="s">
        <v>82</v>
      </c>
      <c r="K111" s="4">
        <f t="shared" si="19"/>
        <v>0</v>
      </c>
      <c r="L111" s="4">
        <f>IF($J$3-L$122-K111-K112-K113-K114-K115&gt;0,K110-MIN($J$3-L$122-K111-K112-K113-K114-K115,K110),K110)</f>
        <v>0</v>
      </c>
      <c r="M111" s="4">
        <f>IF($J$3-M$122-L111-L112-L113-L114-L115&gt;0,L110-MIN($J$3-M$122-L111-L112-L113-L114-L115,L110),L110)</f>
        <v>0</v>
      </c>
      <c r="N111" s="4">
        <f>IF($J$3-N$122-M111-M112-M113-M114-M115&gt;0,M110-MIN($J$3-N$122-M111-M112-M113-M114-M115,M110),M110)</f>
        <v>643.625</v>
      </c>
      <c r="O111" s="4">
        <f>IF($J$3-O$122-N111-N112-N113-N114-N115&gt;0,N110-MIN($J$3-O$122-N111-N112-N113-N114-N115,N110),N110)</f>
        <v>0</v>
      </c>
      <c r="P111" s="4">
        <f>IF($J$3-P$122-O111-O112-O113-O114-O115&gt;0,O110-MIN($J$3-P$122-O111-O112-O113-O114-O115,O110),O110)</f>
        <v>0</v>
      </c>
      <c r="Q111" s="4"/>
      <c r="R111" s="4"/>
      <c r="S111" s="4"/>
      <c r="T111" s="4"/>
    </row>
    <row r="112" spans="9:23" x14ac:dyDescent="0.25">
      <c r="I112" s="32" t="s">
        <v>81</v>
      </c>
      <c r="J112" s="46" t="s">
        <v>83</v>
      </c>
      <c r="K112" s="4">
        <f t="shared" si="19"/>
        <v>0</v>
      </c>
      <c r="L112" s="4">
        <f t="shared" ref="L112:Q112" si="20">IF($J$3-L$122-K112-K113-K114-K115&gt;0,K111-MIN($J$3-L$122-K112-K113-K114-K115,K111),K111)</f>
        <v>0</v>
      </c>
      <c r="M112" s="4">
        <f t="shared" si="20"/>
        <v>0</v>
      </c>
      <c r="N112" s="4">
        <f t="shared" si="20"/>
        <v>0</v>
      </c>
      <c r="O112" s="4">
        <f t="shared" si="20"/>
        <v>0</v>
      </c>
      <c r="P112" s="4">
        <f t="shared" si="20"/>
        <v>0</v>
      </c>
      <c r="Q112" s="4">
        <f t="shared" si="20"/>
        <v>0</v>
      </c>
      <c r="R112" s="4"/>
      <c r="S112" s="4"/>
      <c r="T112" s="4"/>
    </row>
    <row r="113" spans="9:23" x14ac:dyDescent="0.25">
      <c r="I113" s="32" t="s">
        <v>84</v>
      </c>
      <c r="J113" s="46" t="s">
        <v>88</v>
      </c>
      <c r="K113" s="4">
        <f t="shared" si="19"/>
        <v>0</v>
      </c>
      <c r="L113" s="4">
        <f t="shared" ref="L113:R113" si="21">IF($J$3-L$122-K113-K114-K115&gt;0,K112-MIN($J$3-L$122-K113-K114-K115,K112),K112)</f>
        <v>0</v>
      </c>
      <c r="M113" s="4">
        <f t="shared" si="21"/>
        <v>0</v>
      </c>
      <c r="N113" s="4">
        <f t="shared" si="21"/>
        <v>0</v>
      </c>
      <c r="O113" s="4">
        <f t="shared" si="21"/>
        <v>0</v>
      </c>
      <c r="P113" s="4">
        <f t="shared" si="21"/>
        <v>0</v>
      </c>
      <c r="Q113" s="4">
        <f t="shared" si="21"/>
        <v>0</v>
      </c>
      <c r="R113" s="4">
        <f t="shared" si="21"/>
        <v>0</v>
      </c>
      <c r="S113" s="4"/>
      <c r="T113" s="4"/>
    </row>
    <row r="114" spans="9:23" x14ac:dyDescent="0.25">
      <c r="I114" s="32" t="s">
        <v>85</v>
      </c>
      <c r="J114" s="46" t="s">
        <v>89</v>
      </c>
      <c r="K114" s="4">
        <f t="shared" si="19"/>
        <v>0</v>
      </c>
      <c r="L114" s="4">
        <f t="shared" ref="L114:S114" si="22">IF($J$3-L$122-K114-K115&gt;0,K113-MIN($J$3-L$122-K114-K115,K113),K113)</f>
        <v>0</v>
      </c>
      <c r="M114" s="4">
        <f t="shared" si="22"/>
        <v>0</v>
      </c>
      <c r="N114" s="4">
        <f t="shared" si="22"/>
        <v>0</v>
      </c>
      <c r="O114" s="4">
        <f t="shared" si="22"/>
        <v>0</v>
      </c>
      <c r="P114" s="4">
        <f t="shared" si="22"/>
        <v>0</v>
      </c>
      <c r="Q114" s="4">
        <f t="shared" si="22"/>
        <v>0</v>
      </c>
      <c r="R114" s="4">
        <f t="shared" si="22"/>
        <v>0</v>
      </c>
      <c r="S114" s="4">
        <f t="shared" si="22"/>
        <v>0</v>
      </c>
      <c r="T114" s="4"/>
    </row>
    <row r="115" spans="9:23" x14ac:dyDescent="0.25">
      <c r="I115" s="32" t="s">
        <v>86</v>
      </c>
      <c r="J115" s="46" t="s">
        <v>90</v>
      </c>
      <c r="K115" s="4">
        <f t="shared" si="19"/>
        <v>0</v>
      </c>
      <c r="L115" s="4">
        <f t="shared" ref="L115:T115" si="23">IF($J$3-L$122-K115&gt;0,K114-MIN($J$3-L$122-K115,K114),K114)</f>
        <v>0</v>
      </c>
      <c r="M115" s="4">
        <f t="shared" si="23"/>
        <v>0</v>
      </c>
      <c r="N115" s="4">
        <f t="shared" si="23"/>
        <v>0</v>
      </c>
      <c r="O115" s="4">
        <f t="shared" si="23"/>
        <v>0</v>
      </c>
      <c r="P115" s="4">
        <f t="shared" si="23"/>
        <v>0</v>
      </c>
      <c r="Q115" s="4">
        <f t="shared" si="23"/>
        <v>0</v>
      </c>
      <c r="R115" s="4">
        <f t="shared" si="23"/>
        <v>0</v>
      </c>
      <c r="S115" s="4">
        <f t="shared" si="23"/>
        <v>0</v>
      </c>
      <c r="T115" s="4">
        <f t="shared" si="23"/>
        <v>0</v>
      </c>
    </row>
    <row r="116" spans="9:23" x14ac:dyDescent="0.25">
      <c r="I116" s="32" t="s">
        <v>87</v>
      </c>
      <c r="J116" s="46" t="s">
        <v>91</v>
      </c>
      <c r="K116" s="4"/>
      <c r="L116" s="4">
        <f t="shared" ref="L116:T116" si="24">IF($J$3-L$122&gt;0,K115-MIN($J$3-L$122,K115),K115)</f>
        <v>0</v>
      </c>
      <c r="M116" s="4">
        <f t="shared" si="24"/>
        <v>0</v>
      </c>
      <c r="N116" s="4">
        <f t="shared" si="24"/>
        <v>0</v>
      </c>
      <c r="O116" s="4">
        <f t="shared" si="24"/>
        <v>0</v>
      </c>
      <c r="P116" s="4">
        <f t="shared" si="24"/>
        <v>0</v>
      </c>
      <c r="Q116" s="4">
        <f t="shared" si="24"/>
        <v>0</v>
      </c>
      <c r="R116" s="4">
        <f t="shared" si="24"/>
        <v>0</v>
      </c>
      <c r="S116" s="4">
        <f t="shared" si="24"/>
        <v>0</v>
      </c>
      <c r="T116" s="4">
        <f t="shared" si="24"/>
        <v>0</v>
      </c>
    </row>
    <row r="117" spans="9:23" x14ac:dyDescent="0.25">
      <c r="J117" s="46" t="s">
        <v>92</v>
      </c>
      <c r="K117" s="4">
        <f>SUM(K106:K116)</f>
        <v>4898</v>
      </c>
      <c r="L117" s="4">
        <f>SUM(L107:L116)</f>
        <v>3479.875</v>
      </c>
      <c r="M117" s="4">
        <f>SUM(M108:M116)</f>
        <v>2061.75</v>
      </c>
      <c r="N117" s="4">
        <f>SUM(N109:N116)</f>
        <v>643.625</v>
      </c>
      <c r="O117" s="4">
        <f>SUM(O110:O116)</f>
        <v>0</v>
      </c>
      <c r="P117" s="4">
        <f>SUM(P111:P116)</f>
        <v>0</v>
      </c>
      <c r="Q117" s="4">
        <f>SUM(Q112:Q116)</f>
        <v>0</v>
      </c>
      <c r="R117" s="4">
        <f>SUM(R113:R116)</f>
        <v>0</v>
      </c>
      <c r="S117" s="4">
        <f>SUM(S114:S116)</f>
        <v>0</v>
      </c>
      <c r="T117" s="4">
        <f>SUM(T115:T116)</f>
        <v>0</v>
      </c>
    </row>
    <row r="119" spans="9:23" x14ac:dyDescent="0.25">
      <c r="I119" s="3" t="s">
        <v>93</v>
      </c>
      <c r="J119" s="46" t="s">
        <v>52</v>
      </c>
      <c r="L119" s="150" t="s">
        <v>79</v>
      </c>
      <c r="M119" s="164"/>
      <c r="N119" s="164"/>
      <c r="O119" s="164"/>
      <c r="P119" s="164"/>
      <c r="Q119" s="164"/>
      <c r="R119" s="164"/>
      <c r="S119" s="164"/>
      <c r="T119" s="164"/>
    </row>
    <row r="120" spans="9:23" x14ac:dyDescent="0.25">
      <c r="J120" s="46" t="s">
        <v>6</v>
      </c>
      <c r="K120" s="46" t="s">
        <v>75</v>
      </c>
      <c r="L120" s="1">
        <v>1</v>
      </c>
      <c r="M120" s="1">
        <v>2</v>
      </c>
      <c r="N120" s="1">
        <v>3</v>
      </c>
      <c r="O120" s="1">
        <v>4</v>
      </c>
      <c r="P120" s="1">
        <v>5</v>
      </c>
      <c r="Q120" s="1">
        <v>6</v>
      </c>
      <c r="R120" s="1">
        <v>7</v>
      </c>
      <c r="S120" s="1">
        <v>8</v>
      </c>
      <c r="T120" s="1">
        <v>9</v>
      </c>
      <c r="U120" s="28"/>
      <c r="V120" s="28"/>
      <c r="W120" s="28"/>
    </row>
    <row r="121" spans="9:23" x14ac:dyDescent="0.25">
      <c r="I121" s="1" t="s">
        <v>62</v>
      </c>
      <c r="J121" s="46" t="s">
        <v>76</v>
      </c>
      <c r="K121" s="46" t="s">
        <v>77</v>
      </c>
      <c r="L121" s="32" t="s">
        <v>63</v>
      </c>
      <c r="M121" s="32" t="s">
        <v>64</v>
      </c>
      <c r="N121" s="32" t="s">
        <v>65</v>
      </c>
      <c r="O121" s="32" t="s">
        <v>66</v>
      </c>
      <c r="P121" s="32" t="s">
        <v>67</v>
      </c>
      <c r="Q121" s="32" t="s">
        <v>68</v>
      </c>
      <c r="R121" s="32" t="s">
        <v>69</v>
      </c>
      <c r="S121" s="32" t="s">
        <v>70</v>
      </c>
      <c r="T121" s="32" t="s">
        <v>71</v>
      </c>
      <c r="U121" s="32"/>
      <c r="V121" s="32"/>
      <c r="W121" s="32"/>
    </row>
    <row r="122" spans="9:23" x14ac:dyDescent="0.25">
      <c r="I122" s="1">
        <v>1</v>
      </c>
      <c r="J122" s="32" t="s">
        <v>63</v>
      </c>
      <c r="K122" s="4"/>
      <c r="L122" s="4">
        <f>IF(L120*5&lt;=IO.CONTROL!$C$10,K140-L140,VLOOKUP((IO.CONTROL!$C$10/5),$I122:$T139,2+L120))</f>
        <v>2401.75</v>
      </c>
      <c r="M122" s="4">
        <f>IF(M120*5&lt;=IO.CONTROL!$C$10,L140-M140,VLOOKUP((IO.CONTROL!$C$10/5),$I122:$T139,2+M120))</f>
        <v>2401.75</v>
      </c>
      <c r="N122" s="4">
        <f>IF(N120*5&lt;=IO.CONTROL!$C$10,M140-N140,VLOOKUP((IO.CONTROL!$C$10/5),$I122:$T139,2+N120))</f>
        <v>2401.75</v>
      </c>
      <c r="O122" s="4">
        <f>IF(O120*5&lt;=IO.CONTROL!$C$10,N140-O140,VLOOKUP((IO.CONTROL!$C$10/5),$I122:$T139,2+O120))</f>
        <v>2401.75</v>
      </c>
      <c r="P122" s="4">
        <f>IF(P120*5&lt;=IO.CONTROL!$C$10,O140-P140,VLOOKUP((IO.CONTROL!$C$10/5),$I122:$T139,2+P120))</f>
        <v>0</v>
      </c>
      <c r="Q122" s="4">
        <f>IF(Q120*5&lt;=IO.CONTROL!$C$10,P140-Q140,VLOOKUP((IO.CONTROL!$C$10/5),$I122:$T139,2+Q120))</f>
        <v>0</v>
      </c>
      <c r="R122" s="4">
        <f>IF(R120*5&lt;=IO.CONTROL!$C$10,Q140-R140,VLOOKUP((IO.CONTROL!$C$10/5),$I122:$T139,2+R120))</f>
        <v>0</v>
      </c>
      <c r="S122" s="4">
        <f>IF(S120*5&lt;=IO.CONTROL!$C$10,R140-S140,VLOOKUP((IO.CONTROL!$C$10/5),$I122:$T139,2+S120))</f>
        <v>0</v>
      </c>
      <c r="T122" s="4">
        <f>IF(T120*5&lt;=IO.CONTROL!$C$10,S140-T140,VLOOKUP((IO.CONTROL!$C$10/5),$I122:$T139,2+T120))</f>
        <v>2401.75</v>
      </c>
      <c r="U122" s="4"/>
      <c r="V122" s="4"/>
      <c r="W122" s="4"/>
    </row>
    <row r="123" spans="9:23" x14ac:dyDescent="0.25">
      <c r="I123" s="1">
        <v>2</v>
      </c>
      <c r="J123" s="32" t="s">
        <v>64</v>
      </c>
      <c r="K123" s="4"/>
      <c r="L123" s="4"/>
      <c r="M123" s="4">
        <f t="shared" ref="M123:T123" si="25">L122</f>
        <v>2401.75</v>
      </c>
      <c r="N123" s="4">
        <f t="shared" si="25"/>
        <v>2401.75</v>
      </c>
      <c r="O123" s="4">
        <f t="shared" si="25"/>
        <v>2401.75</v>
      </c>
      <c r="P123" s="4">
        <f t="shared" si="25"/>
        <v>2401.75</v>
      </c>
      <c r="Q123" s="4">
        <f t="shared" si="25"/>
        <v>0</v>
      </c>
      <c r="R123" s="4">
        <f t="shared" si="25"/>
        <v>0</v>
      </c>
      <c r="S123" s="4">
        <f t="shared" si="25"/>
        <v>0</v>
      </c>
      <c r="T123" s="4">
        <f t="shared" si="25"/>
        <v>0</v>
      </c>
      <c r="U123" s="4"/>
      <c r="V123" s="4"/>
      <c r="W123" s="4"/>
    </row>
    <row r="124" spans="9:23" x14ac:dyDescent="0.25">
      <c r="I124" s="1">
        <v>3</v>
      </c>
      <c r="J124" s="32" t="s">
        <v>65</v>
      </c>
      <c r="K124" s="4"/>
      <c r="L124" s="4"/>
      <c r="M124" s="4"/>
      <c r="N124" s="4">
        <f t="shared" ref="N124:T124" si="26">M123</f>
        <v>2401.75</v>
      </c>
      <c r="O124" s="4">
        <f t="shared" si="26"/>
        <v>2401.75</v>
      </c>
      <c r="P124" s="4">
        <f t="shared" si="26"/>
        <v>2401.75</v>
      </c>
      <c r="Q124" s="4">
        <f t="shared" si="26"/>
        <v>2401.75</v>
      </c>
      <c r="R124" s="4">
        <f t="shared" si="26"/>
        <v>0</v>
      </c>
      <c r="S124" s="4">
        <f t="shared" si="26"/>
        <v>0</v>
      </c>
      <c r="T124" s="4">
        <f t="shared" si="26"/>
        <v>0</v>
      </c>
      <c r="U124" s="4"/>
      <c r="V124" s="4"/>
      <c r="W124" s="4"/>
    </row>
    <row r="125" spans="9:23" x14ac:dyDescent="0.25">
      <c r="I125" s="1">
        <v>4</v>
      </c>
      <c r="J125" s="32" t="s">
        <v>66</v>
      </c>
      <c r="K125" s="4"/>
      <c r="L125" s="4"/>
      <c r="M125" s="4"/>
      <c r="N125" s="4"/>
      <c r="O125" s="4">
        <f t="shared" ref="O125:T125" si="27">N124</f>
        <v>2401.75</v>
      </c>
      <c r="P125" s="4">
        <f t="shared" si="27"/>
        <v>2401.75</v>
      </c>
      <c r="Q125" s="4">
        <f t="shared" si="27"/>
        <v>2401.75</v>
      </c>
      <c r="R125" s="4">
        <f t="shared" si="27"/>
        <v>2401.75</v>
      </c>
      <c r="S125" s="4">
        <f t="shared" si="27"/>
        <v>0</v>
      </c>
      <c r="T125" s="4">
        <f t="shared" si="27"/>
        <v>0</v>
      </c>
      <c r="U125" s="4"/>
      <c r="V125" s="4"/>
      <c r="W125" s="4"/>
    </row>
    <row r="126" spans="9:23" x14ac:dyDescent="0.25">
      <c r="I126" s="1">
        <v>5</v>
      </c>
      <c r="J126" s="32" t="s">
        <v>67</v>
      </c>
      <c r="K126" s="4"/>
      <c r="L126" s="4"/>
      <c r="M126" s="4"/>
      <c r="N126" s="4"/>
      <c r="O126" s="4"/>
      <c r="P126" s="4">
        <f>IF($I126*5&lt;=IO.CONTROL!$C$10,O125,0)</f>
        <v>2401.75</v>
      </c>
      <c r="Q126" s="4">
        <f>IF($I126*5&lt;=IO.CONTROL!$C$10,P125,0)</f>
        <v>2401.75</v>
      </c>
      <c r="R126" s="4">
        <f>IF($I126*5&lt;=IO.CONTROL!$C$10,Q125,0)</f>
        <v>2401.75</v>
      </c>
      <c r="S126" s="4">
        <f>IF($I126*5&lt;=IO.CONTROL!$C$10,R125,0)</f>
        <v>2401.75</v>
      </c>
      <c r="T126" s="4">
        <f>IF($I126*5&lt;=IO.CONTROL!$C$10,S125,0)</f>
        <v>0</v>
      </c>
      <c r="U126" s="4"/>
      <c r="V126" s="4"/>
      <c r="W126" s="4"/>
    </row>
    <row r="127" spans="9:23" x14ac:dyDescent="0.25">
      <c r="I127" s="1">
        <v>6</v>
      </c>
      <c r="J127" s="32" t="s">
        <v>68</v>
      </c>
      <c r="K127" s="4">
        <f t="shared" ref="K127:K138" si="28">IF(AND(D$17/5&gt;I126,D$17/5&lt;=I127),C$17,IF(AND(D$18/5&gt;I126,D$18/5&lt;=I127),C$18,0))</f>
        <v>0</v>
      </c>
      <c r="L127" s="4"/>
      <c r="M127" s="4"/>
      <c r="N127" s="4"/>
      <c r="O127" s="4"/>
      <c r="P127" s="4"/>
      <c r="Q127" s="4">
        <f>IF($I127*5&lt;=IO.CONTROL!$C$10,P126,0)</f>
        <v>2401.75</v>
      </c>
      <c r="R127" s="4">
        <f>IF($I127*5&lt;=IO.CONTROL!$C$10,Q126,0)</f>
        <v>2401.75</v>
      </c>
      <c r="S127" s="4">
        <f>IF($I127*5&lt;=IO.CONTROL!$C$10,R126,0)</f>
        <v>2401.75</v>
      </c>
      <c r="T127" s="4">
        <f>IF($I127*5&lt;=IO.CONTROL!$C$10,S126,0)</f>
        <v>2401.75</v>
      </c>
      <c r="U127" s="4"/>
      <c r="V127" s="4"/>
      <c r="W127" s="4"/>
    </row>
    <row r="128" spans="9:23" x14ac:dyDescent="0.25">
      <c r="I128" s="1">
        <v>7</v>
      </c>
      <c r="J128" s="32" t="s">
        <v>69</v>
      </c>
      <c r="K128" s="4">
        <f t="shared" si="28"/>
        <v>0</v>
      </c>
      <c r="L128" s="4">
        <f>MAX(K127-$K127/4,0)</f>
        <v>0</v>
      </c>
      <c r="M128" s="4"/>
      <c r="N128" s="4"/>
      <c r="O128" s="4"/>
      <c r="P128" s="4"/>
      <c r="Q128" s="4"/>
      <c r="R128" s="4">
        <f>IF($I128*5&lt;=IO.CONTROL!$C$10,Q127,0)</f>
        <v>2401.75</v>
      </c>
      <c r="S128" s="4">
        <f>IF($I128*5&lt;=IO.CONTROL!$C$10,R127,0)</f>
        <v>2401.75</v>
      </c>
      <c r="T128" s="4">
        <f>IF($I128*5&lt;=IO.CONTROL!$C$10,S127,0)</f>
        <v>2401.75</v>
      </c>
      <c r="U128" s="4"/>
      <c r="V128" s="4"/>
      <c r="W128" s="4"/>
    </row>
    <row r="129" spans="9:23" x14ac:dyDescent="0.25">
      <c r="I129" s="1">
        <v>8</v>
      </c>
      <c r="J129" s="32" t="s">
        <v>70</v>
      </c>
      <c r="K129" s="4">
        <f t="shared" si="28"/>
        <v>9607</v>
      </c>
      <c r="L129" s="4">
        <f>MAX(K128-$K128/4,0)</f>
        <v>0</v>
      </c>
      <c r="M129" s="4">
        <f>MAX(L128-$K127/4,0)</f>
        <v>0</v>
      </c>
      <c r="N129" s="4"/>
      <c r="O129" s="4"/>
      <c r="P129" s="4"/>
      <c r="Q129" s="4"/>
      <c r="R129" s="4"/>
      <c r="S129" s="4">
        <f>IF($I129*5&lt;=IO.CONTROL!$C$10,R128,0)</f>
        <v>2401.75</v>
      </c>
      <c r="T129" s="4">
        <f>IF($I129*5&lt;=IO.CONTROL!$C$10,S128,0)</f>
        <v>2401.75</v>
      </c>
      <c r="U129" s="4"/>
      <c r="V129" s="4"/>
      <c r="W129" s="4"/>
    </row>
    <row r="130" spans="9:23" x14ac:dyDescent="0.25">
      <c r="I130" s="1">
        <v>9</v>
      </c>
      <c r="J130" s="32" t="s">
        <v>71</v>
      </c>
      <c r="K130" s="4">
        <f t="shared" si="28"/>
        <v>0</v>
      </c>
      <c r="L130" s="4">
        <f>MAX(K129-$K129/4,0)</f>
        <v>7205.25</v>
      </c>
      <c r="M130" s="4">
        <f>MAX(L129-$K128/4,0)</f>
        <v>0</v>
      </c>
      <c r="N130" s="4">
        <f>MAX(M129-$K127/4,0)</f>
        <v>0</v>
      </c>
      <c r="O130" s="4"/>
      <c r="P130" s="4"/>
      <c r="Q130" s="4"/>
      <c r="R130" s="4"/>
      <c r="S130" s="4"/>
      <c r="T130" s="4"/>
      <c r="U130" s="4"/>
      <c r="V130" s="4"/>
      <c r="W130" s="4"/>
    </row>
    <row r="131" spans="9:23" x14ac:dyDescent="0.25">
      <c r="I131" s="1">
        <v>10</v>
      </c>
      <c r="J131" s="32" t="s">
        <v>72</v>
      </c>
      <c r="K131" s="4">
        <f t="shared" si="28"/>
        <v>0</v>
      </c>
      <c r="L131" s="4">
        <f t="shared" ref="L131:L139" si="29">MAX(K130-$K130/4,0)</f>
        <v>0</v>
      </c>
      <c r="M131" s="4">
        <f>MAX(L130-$K129/4,0)</f>
        <v>4803.5</v>
      </c>
      <c r="N131" s="4">
        <f>MAX(M130-$K128/4,0)</f>
        <v>0</v>
      </c>
      <c r="O131" s="4">
        <f>MAX(N130-$K127/4,0)</f>
        <v>0</v>
      </c>
      <c r="P131" s="4"/>
      <c r="Q131" s="4"/>
      <c r="R131" s="4"/>
      <c r="S131" s="4"/>
      <c r="T131" s="4"/>
      <c r="U131" s="4"/>
      <c r="V131" s="4"/>
      <c r="W131" s="4"/>
    </row>
    <row r="132" spans="9:23" x14ac:dyDescent="0.25">
      <c r="I132" s="1">
        <v>11</v>
      </c>
      <c r="J132" s="32" t="s">
        <v>73</v>
      </c>
      <c r="K132" s="4">
        <f t="shared" si="28"/>
        <v>0</v>
      </c>
      <c r="L132" s="4">
        <f t="shared" si="29"/>
        <v>0</v>
      </c>
      <c r="M132" s="4">
        <f t="shared" ref="M132:M139" si="30">MAX(L131-$K130/4,0)</f>
        <v>0</v>
      </c>
      <c r="N132" s="4">
        <f>MAX(M131-$K129/4,0)</f>
        <v>2401.75</v>
      </c>
      <c r="O132" s="4">
        <f>MAX(N131-$K128/4,0)</f>
        <v>0</v>
      </c>
      <c r="P132" s="4">
        <f t="shared" ref="P132:P139" si="31">MAX(O131-$K127/4,0)</f>
        <v>0</v>
      </c>
      <c r="Q132" s="4"/>
      <c r="R132" s="4"/>
      <c r="S132" s="4"/>
      <c r="T132" s="4"/>
      <c r="U132" s="4"/>
      <c r="V132" s="4"/>
      <c r="W132" s="4"/>
    </row>
    <row r="133" spans="9:23" x14ac:dyDescent="0.25">
      <c r="I133" s="1">
        <v>12</v>
      </c>
      <c r="J133" s="32" t="s">
        <v>74</v>
      </c>
      <c r="K133" s="4">
        <f t="shared" si="28"/>
        <v>0</v>
      </c>
      <c r="L133" s="4">
        <f t="shared" si="29"/>
        <v>0</v>
      </c>
      <c r="M133" s="4">
        <f t="shared" si="30"/>
        <v>0</v>
      </c>
      <c r="N133" s="4">
        <f t="shared" ref="N133:N139" si="32">MAX(M132-$K130/4,0)</f>
        <v>0</v>
      </c>
      <c r="O133" s="4">
        <f>MAX(N132-$K129/4,0)</f>
        <v>0</v>
      </c>
      <c r="P133" s="4">
        <f t="shared" si="31"/>
        <v>0</v>
      </c>
      <c r="Q133" s="4">
        <f t="shared" ref="Q133:Q139" si="33">MAX(P132-$K127/4,0)</f>
        <v>0</v>
      </c>
      <c r="R133" s="4"/>
      <c r="S133" s="4"/>
      <c r="T133" s="4"/>
      <c r="U133" s="4"/>
      <c r="V133" s="4"/>
      <c r="W133" s="4"/>
    </row>
    <row r="134" spans="9:23" x14ac:dyDescent="0.25">
      <c r="I134" s="32" t="s">
        <v>80</v>
      </c>
      <c r="J134" s="46" t="s">
        <v>82</v>
      </c>
      <c r="K134" s="4">
        <f t="shared" si="28"/>
        <v>0</v>
      </c>
      <c r="L134" s="4">
        <f t="shared" si="29"/>
        <v>0</v>
      </c>
      <c r="M134" s="4">
        <f t="shared" si="30"/>
        <v>0</v>
      </c>
      <c r="N134" s="4">
        <f t="shared" si="32"/>
        <v>0</v>
      </c>
      <c r="O134" s="4">
        <f t="shared" ref="O134:O139" si="34">MAX(N133-$K130/4,0)</f>
        <v>0</v>
      </c>
      <c r="P134" s="4">
        <f t="shared" si="31"/>
        <v>0</v>
      </c>
      <c r="Q134" s="4">
        <f t="shared" si="33"/>
        <v>0</v>
      </c>
      <c r="R134" s="4">
        <f t="shared" ref="R134:R139" si="35">MAX(Q133-$K127/4,0)</f>
        <v>0</v>
      </c>
      <c r="S134" s="4"/>
      <c r="T134" s="4"/>
      <c r="U134" s="4"/>
      <c r="V134" s="4"/>
      <c r="W134" s="4"/>
    </row>
    <row r="135" spans="9:23" x14ac:dyDescent="0.25">
      <c r="I135" s="32" t="s">
        <v>81</v>
      </c>
      <c r="J135" s="46" t="s">
        <v>83</v>
      </c>
      <c r="K135" s="4">
        <f t="shared" si="28"/>
        <v>0</v>
      </c>
      <c r="L135" s="4">
        <f t="shared" si="29"/>
        <v>0</v>
      </c>
      <c r="M135" s="4">
        <f t="shared" si="30"/>
        <v>0</v>
      </c>
      <c r="N135" s="4">
        <f t="shared" si="32"/>
        <v>0</v>
      </c>
      <c r="O135" s="4">
        <f t="shared" si="34"/>
        <v>0</v>
      </c>
      <c r="P135" s="4">
        <f t="shared" si="31"/>
        <v>0</v>
      </c>
      <c r="Q135" s="4">
        <f t="shared" si="33"/>
        <v>0</v>
      </c>
      <c r="R135" s="4">
        <f t="shared" si="35"/>
        <v>0</v>
      </c>
      <c r="S135" s="4">
        <f>MAX(R134-$K127/4,0)</f>
        <v>0</v>
      </c>
      <c r="T135" s="4"/>
      <c r="U135" s="4"/>
      <c r="V135" s="4"/>
      <c r="W135" s="4"/>
    </row>
    <row r="136" spans="9:23" x14ac:dyDescent="0.25">
      <c r="I136" s="32" t="s">
        <v>84</v>
      </c>
      <c r="J136" s="46" t="s">
        <v>88</v>
      </c>
      <c r="K136" s="4">
        <f t="shared" si="28"/>
        <v>0</v>
      </c>
      <c r="L136" s="4">
        <f t="shared" si="29"/>
        <v>0</v>
      </c>
      <c r="M136" s="4">
        <f t="shared" si="30"/>
        <v>0</v>
      </c>
      <c r="N136" s="4">
        <f t="shared" si="32"/>
        <v>0</v>
      </c>
      <c r="O136" s="4">
        <f t="shared" si="34"/>
        <v>0</v>
      </c>
      <c r="P136" s="4">
        <f t="shared" si="31"/>
        <v>0</v>
      </c>
      <c r="Q136" s="4">
        <f t="shared" si="33"/>
        <v>0</v>
      </c>
      <c r="R136" s="4">
        <f t="shared" si="35"/>
        <v>0</v>
      </c>
      <c r="S136" s="4">
        <f>MAX(R135-$K128/4,0)</f>
        <v>0</v>
      </c>
      <c r="T136" s="4">
        <f>MAX(S135-$K127/4,0)</f>
        <v>0</v>
      </c>
      <c r="U136" s="4"/>
      <c r="V136" s="4"/>
      <c r="W136" s="4"/>
    </row>
    <row r="137" spans="9:23" x14ac:dyDescent="0.25">
      <c r="I137" s="32" t="s">
        <v>85</v>
      </c>
      <c r="J137" s="46" t="s">
        <v>89</v>
      </c>
      <c r="K137" s="4">
        <f t="shared" si="28"/>
        <v>0</v>
      </c>
      <c r="L137" s="4">
        <f t="shared" si="29"/>
        <v>0</v>
      </c>
      <c r="M137" s="4">
        <f t="shared" si="30"/>
        <v>0</v>
      </c>
      <c r="N137" s="4">
        <f t="shared" si="32"/>
        <v>0</v>
      </c>
      <c r="O137" s="4">
        <f t="shared" si="34"/>
        <v>0</v>
      </c>
      <c r="P137" s="4">
        <f t="shared" si="31"/>
        <v>0</v>
      </c>
      <c r="Q137" s="4">
        <f t="shared" si="33"/>
        <v>0</v>
      </c>
      <c r="R137" s="4">
        <f t="shared" si="35"/>
        <v>0</v>
      </c>
      <c r="S137" s="4">
        <f>MAX(R136-$K129/4,0)</f>
        <v>0</v>
      </c>
      <c r="T137" s="4">
        <f>MAX(S136-$K128/4,0)</f>
        <v>0</v>
      </c>
    </row>
    <row r="138" spans="9:23" x14ac:dyDescent="0.25">
      <c r="I138" s="32" t="s">
        <v>86</v>
      </c>
      <c r="J138" s="46" t="s">
        <v>90</v>
      </c>
      <c r="K138" s="4">
        <f t="shared" si="28"/>
        <v>0</v>
      </c>
      <c r="L138" s="4">
        <f t="shared" si="29"/>
        <v>0</v>
      </c>
      <c r="M138" s="4">
        <f t="shared" si="30"/>
        <v>0</v>
      </c>
      <c r="N138" s="4">
        <f t="shared" si="32"/>
        <v>0</v>
      </c>
      <c r="O138" s="4">
        <f t="shared" si="34"/>
        <v>0</v>
      </c>
      <c r="P138" s="4">
        <f t="shared" si="31"/>
        <v>0</v>
      </c>
      <c r="Q138" s="4">
        <f t="shared" si="33"/>
        <v>0</v>
      </c>
      <c r="R138" s="4">
        <f t="shared" si="35"/>
        <v>0</v>
      </c>
      <c r="S138" s="4">
        <f>MAX(R137-$K130/4,0)</f>
        <v>0</v>
      </c>
      <c r="T138" s="4">
        <f>MAX(S137-$K129/4,0)</f>
        <v>0</v>
      </c>
    </row>
    <row r="139" spans="9:23" x14ac:dyDescent="0.25">
      <c r="I139" s="32" t="s">
        <v>87</v>
      </c>
      <c r="J139" s="46" t="s">
        <v>91</v>
      </c>
      <c r="K139" s="4"/>
      <c r="L139" s="4">
        <f t="shared" si="29"/>
        <v>0</v>
      </c>
      <c r="M139" s="4">
        <f t="shared" si="30"/>
        <v>0</v>
      </c>
      <c r="N139" s="4">
        <f t="shared" si="32"/>
        <v>0</v>
      </c>
      <c r="O139" s="4">
        <f t="shared" si="34"/>
        <v>0</v>
      </c>
      <c r="P139" s="4">
        <f t="shared" si="31"/>
        <v>0</v>
      </c>
      <c r="Q139" s="4">
        <f t="shared" si="33"/>
        <v>0</v>
      </c>
      <c r="R139" s="4">
        <f t="shared" si="35"/>
        <v>0</v>
      </c>
      <c r="S139" s="4">
        <f>MAX(R138-$K131/4,0)</f>
        <v>0</v>
      </c>
      <c r="T139" s="4">
        <f>MAX(S138-$K130/4,0)</f>
        <v>0</v>
      </c>
    </row>
    <row r="140" spans="9:23" x14ac:dyDescent="0.25">
      <c r="J140" s="46" t="s">
        <v>92</v>
      </c>
      <c r="K140" s="4">
        <f>SUM(K127:K139)</f>
        <v>9607</v>
      </c>
      <c r="L140" s="4">
        <f>SUM(L128:L139)</f>
        <v>7205.25</v>
      </c>
      <c r="M140" s="4">
        <f>SUM(M129:M139)</f>
        <v>4803.5</v>
      </c>
      <c r="N140" s="4">
        <f>SUM(N130:N139)</f>
        <v>2401.75</v>
      </c>
      <c r="O140" s="4">
        <f>SUM(O131:O139)</f>
        <v>0</v>
      </c>
      <c r="P140" s="4">
        <f>SUM(P132:P139)</f>
        <v>0</v>
      </c>
      <c r="Q140" s="4">
        <f>SUM(Q133:Q139)</f>
        <v>0</v>
      </c>
      <c r="R140" s="4">
        <f>SUM(R134:R139)</f>
        <v>0</v>
      </c>
      <c r="S140" s="4">
        <f>SUM(S135:S139)</f>
        <v>0</v>
      </c>
      <c r="T140" s="4">
        <f>SUM(T136:T139)</f>
        <v>0</v>
      </c>
    </row>
    <row r="144" spans="9:23" ht="13.8" thickBot="1" x14ac:dyDescent="0.3"/>
    <row r="145" spans="9:20" ht="15.6" x14ac:dyDescent="0.3">
      <c r="I145" s="165" t="s">
        <v>94</v>
      </c>
      <c r="J145" s="166"/>
      <c r="K145" s="55"/>
      <c r="L145" s="155" t="s">
        <v>79</v>
      </c>
      <c r="M145" s="167"/>
      <c r="N145" s="167"/>
      <c r="O145" s="167"/>
      <c r="P145" s="167"/>
      <c r="Q145" s="167"/>
      <c r="R145" s="167"/>
      <c r="S145" s="167"/>
      <c r="T145" s="168"/>
    </row>
    <row r="146" spans="9:20" x14ac:dyDescent="0.25">
      <c r="I146" s="57"/>
      <c r="J146" s="50" t="s">
        <v>6</v>
      </c>
      <c r="K146" s="52" t="s">
        <v>75</v>
      </c>
      <c r="L146" s="10">
        <v>1</v>
      </c>
      <c r="M146" s="10">
        <v>2</v>
      </c>
      <c r="N146" s="10">
        <v>3</v>
      </c>
      <c r="O146" s="10">
        <v>4</v>
      </c>
      <c r="P146" s="10">
        <v>5</v>
      </c>
      <c r="Q146" s="10">
        <v>6</v>
      </c>
      <c r="R146" s="10">
        <v>7</v>
      </c>
      <c r="S146" s="10">
        <v>8</v>
      </c>
      <c r="T146" s="11">
        <v>9</v>
      </c>
    </row>
    <row r="147" spans="9:20" ht="13.8" thickBot="1" x14ac:dyDescent="0.3">
      <c r="I147" s="9" t="s">
        <v>62</v>
      </c>
      <c r="J147" s="50" t="s">
        <v>76</v>
      </c>
      <c r="K147" s="53" t="s">
        <v>77</v>
      </c>
      <c r="L147" s="51" t="s">
        <v>63</v>
      </c>
      <c r="M147" s="51" t="s">
        <v>64</v>
      </c>
      <c r="N147" s="51" t="s">
        <v>65</v>
      </c>
      <c r="O147" s="51" t="s">
        <v>66</v>
      </c>
      <c r="P147" s="51" t="s">
        <v>67</v>
      </c>
      <c r="Q147" s="51" t="s">
        <v>68</v>
      </c>
      <c r="R147" s="51" t="s">
        <v>69</v>
      </c>
      <c r="S147" s="51" t="s">
        <v>70</v>
      </c>
      <c r="T147" s="58" t="s">
        <v>71</v>
      </c>
    </row>
    <row r="148" spans="9:20" ht="13.8" thickTop="1" x14ac:dyDescent="0.25">
      <c r="I148" s="9">
        <v>1</v>
      </c>
      <c r="J148" s="49" t="s">
        <v>63</v>
      </c>
      <c r="K148" s="54">
        <f>K122+K99+K76+K53+K30+K7</f>
        <v>6065</v>
      </c>
      <c r="L148" s="59">
        <f t="shared" ref="L148:T148" si="36">L122+L99+L76+L53+L30+L7</f>
        <v>3819.875</v>
      </c>
      <c r="M148" s="59">
        <f>M122+M99+M76+M53+M30+M7</f>
        <v>3819.875</v>
      </c>
      <c r="N148" s="59">
        <f t="shared" si="36"/>
        <v>3819.875</v>
      </c>
      <c r="O148" s="59">
        <f t="shared" si="36"/>
        <v>3819.875</v>
      </c>
      <c r="P148" s="59">
        <f t="shared" si="36"/>
        <v>3819.875</v>
      </c>
      <c r="Q148" s="59">
        <f t="shared" si="36"/>
        <v>3819.875</v>
      </c>
      <c r="R148" s="59">
        <f t="shared" si="36"/>
        <v>3819.875</v>
      </c>
      <c r="S148" s="59">
        <f t="shared" si="36"/>
        <v>3819.875</v>
      </c>
      <c r="T148" s="54">
        <f t="shared" si="36"/>
        <v>3819.875</v>
      </c>
    </row>
    <row r="149" spans="9:20" x14ac:dyDescent="0.25">
      <c r="I149" s="9">
        <v>2</v>
      </c>
      <c r="J149" s="49" t="s">
        <v>64</v>
      </c>
      <c r="K149" s="54">
        <f t="shared" ref="K149:T165" si="37">K123+K100+K77+K54+K31+K8</f>
        <v>0</v>
      </c>
      <c r="L149" s="59">
        <f t="shared" si="37"/>
        <v>6065</v>
      </c>
      <c r="M149" s="59">
        <f t="shared" si="37"/>
        <v>3819.875</v>
      </c>
      <c r="N149" s="59">
        <f t="shared" si="37"/>
        <v>3819.875</v>
      </c>
      <c r="O149" s="59">
        <f t="shared" si="37"/>
        <v>3819.875</v>
      </c>
      <c r="P149" s="59">
        <f t="shared" si="37"/>
        <v>3819.875</v>
      </c>
      <c r="Q149" s="59">
        <f t="shared" si="37"/>
        <v>3819.875</v>
      </c>
      <c r="R149" s="59">
        <f t="shared" si="37"/>
        <v>3819.875</v>
      </c>
      <c r="S149" s="59">
        <f t="shared" si="37"/>
        <v>3819.875</v>
      </c>
      <c r="T149" s="54">
        <f t="shared" si="37"/>
        <v>3819.875</v>
      </c>
    </row>
    <row r="150" spans="9:20" x14ac:dyDescent="0.25">
      <c r="I150" s="9">
        <v>3</v>
      </c>
      <c r="J150" s="49" t="s">
        <v>65</v>
      </c>
      <c r="K150" s="54">
        <f t="shared" si="37"/>
        <v>0</v>
      </c>
      <c r="L150" s="59">
        <f t="shared" si="37"/>
        <v>0</v>
      </c>
      <c r="M150" s="59">
        <f t="shared" si="37"/>
        <v>6065</v>
      </c>
      <c r="N150" s="59">
        <f t="shared" si="37"/>
        <v>3819.875</v>
      </c>
      <c r="O150" s="59">
        <f t="shared" si="37"/>
        <v>3819.875</v>
      </c>
      <c r="P150" s="59">
        <f t="shared" si="37"/>
        <v>3819.875</v>
      </c>
      <c r="Q150" s="59">
        <f t="shared" si="37"/>
        <v>3819.875</v>
      </c>
      <c r="R150" s="59">
        <f t="shared" si="37"/>
        <v>3819.875</v>
      </c>
      <c r="S150" s="59">
        <f t="shared" si="37"/>
        <v>3819.875</v>
      </c>
      <c r="T150" s="54">
        <f t="shared" si="37"/>
        <v>3819.875</v>
      </c>
    </row>
    <row r="151" spans="9:20" x14ac:dyDescent="0.25">
      <c r="I151" s="9">
        <v>4</v>
      </c>
      <c r="J151" s="49" t="s">
        <v>66</v>
      </c>
      <c r="K151" s="54">
        <f t="shared" si="37"/>
        <v>3844</v>
      </c>
      <c r="L151" s="59">
        <f t="shared" si="37"/>
        <v>0</v>
      </c>
      <c r="M151" s="59">
        <f t="shared" si="37"/>
        <v>0</v>
      </c>
      <c r="N151" s="59">
        <f t="shared" si="37"/>
        <v>6065</v>
      </c>
      <c r="O151" s="59">
        <f t="shared" si="37"/>
        <v>3819.875</v>
      </c>
      <c r="P151" s="59">
        <f t="shared" si="37"/>
        <v>3819.875</v>
      </c>
      <c r="Q151" s="59">
        <f t="shared" si="37"/>
        <v>3819.875</v>
      </c>
      <c r="R151" s="59">
        <f t="shared" si="37"/>
        <v>3819.875</v>
      </c>
      <c r="S151" s="59">
        <f t="shared" si="37"/>
        <v>3819.875</v>
      </c>
      <c r="T151" s="54">
        <f t="shared" si="37"/>
        <v>3819.875</v>
      </c>
    </row>
    <row r="152" spans="9:20" x14ac:dyDescent="0.25">
      <c r="I152" s="9">
        <v>5</v>
      </c>
      <c r="J152" s="49" t="s">
        <v>67</v>
      </c>
      <c r="K152" s="54">
        <f t="shared" si="37"/>
        <v>0</v>
      </c>
      <c r="L152" s="59">
        <f t="shared" si="37"/>
        <v>3844</v>
      </c>
      <c r="M152" s="59">
        <f t="shared" si="37"/>
        <v>0</v>
      </c>
      <c r="N152" s="59">
        <f t="shared" si="37"/>
        <v>0</v>
      </c>
      <c r="O152" s="59">
        <f t="shared" si="37"/>
        <v>6065</v>
      </c>
      <c r="P152" s="59">
        <f t="shared" si="37"/>
        <v>3819.875</v>
      </c>
      <c r="Q152" s="59">
        <f t="shared" si="37"/>
        <v>3819.875</v>
      </c>
      <c r="R152" s="59">
        <f t="shared" si="37"/>
        <v>3819.875</v>
      </c>
      <c r="S152" s="59">
        <f t="shared" si="37"/>
        <v>3819.875</v>
      </c>
      <c r="T152" s="54">
        <f t="shared" si="37"/>
        <v>3819.875</v>
      </c>
    </row>
    <row r="153" spans="9:20" x14ac:dyDescent="0.25">
      <c r="I153" s="9">
        <v>6</v>
      </c>
      <c r="J153" s="49" t="s">
        <v>68</v>
      </c>
      <c r="K153" s="54">
        <f t="shared" si="37"/>
        <v>6145</v>
      </c>
      <c r="L153" s="59">
        <f t="shared" si="37"/>
        <v>0</v>
      </c>
      <c r="M153" s="59">
        <f t="shared" si="37"/>
        <v>3844</v>
      </c>
      <c r="N153" s="59">
        <f t="shared" si="37"/>
        <v>0</v>
      </c>
      <c r="O153" s="59">
        <f t="shared" si="37"/>
        <v>0</v>
      </c>
      <c r="P153" s="59">
        <f t="shared" si="37"/>
        <v>6065</v>
      </c>
      <c r="Q153" s="59">
        <f t="shared" si="37"/>
        <v>3819.875</v>
      </c>
      <c r="R153" s="59">
        <f t="shared" si="37"/>
        <v>3819.875</v>
      </c>
      <c r="S153" s="59">
        <f t="shared" si="37"/>
        <v>3819.875</v>
      </c>
      <c r="T153" s="54">
        <f t="shared" si="37"/>
        <v>3819.875</v>
      </c>
    </row>
    <row r="154" spans="9:20" x14ac:dyDescent="0.25">
      <c r="I154" s="9">
        <v>7</v>
      </c>
      <c r="J154" s="49" t="s">
        <v>69</v>
      </c>
      <c r="K154" s="54">
        <f t="shared" si="37"/>
        <v>0</v>
      </c>
      <c r="L154" s="59">
        <f t="shared" si="37"/>
        <v>6145</v>
      </c>
      <c r="M154" s="59">
        <f t="shared" si="37"/>
        <v>0</v>
      </c>
      <c r="N154" s="59">
        <f t="shared" si="37"/>
        <v>3844</v>
      </c>
      <c r="O154" s="59">
        <f t="shared" si="37"/>
        <v>0</v>
      </c>
      <c r="P154" s="59">
        <f t="shared" si="37"/>
        <v>0</v>
      </c>
      <c r="Q154" s="59">
        <f t="shared" si="37"/>
        <v>6065</v>
      </c>
      <c r="R154" s="59">
        <f t="shared" si="37"/>
        <v>3819.875</v>
      </c>
      <c r="S154" s="59">
        <f t="shared" si="37"/>
        <v>3819.875</v>
      </c>
      <c r="T154" s="54">
        <f t="shared" si="37"/>
        <v>3819.875</v>
      </c>
    </row>
    <row r="155" spans="9:20" x14ac:dyDescent="0.25">
      <c r="I155" s="9">
        <v>8</v>
      </c>
      <c r="J155" s="49" t="s">
        <v>70</v>
      </c>
      <c r="K155" s="54">
        <f t="shared" si="37"/>
        <v>9607</v>
      </c>
      <c r="L155" s="59">
        <f t="shared" si="37"/>
        <v>0</v>
      </c>
      <c r="M155" s="59">
        <f t="shared" si="37"/>
        <v>6145</v>
      </c>
      <c r="N155" s="59">
        <f t="shared" si="37"/>
        <v>0</v>
      </c>
      <c r="O155" s="59">
        <f t="shared" si="37"/>
        <v>3844</v>
      </c>
      <c r="P155" s="59">
        <f t="shared" si="37"/>
        <v>0</v>
      </c>
      <c r="Q155" s="59">
        <f t="shared" si="37"/>
        <v>0</v>
      </c>
      <c r="R155" s="59">
        <f t="shared" si="37"/>
        <v>3819.875</v>
      </c>
      <c r="S155" s="59">
        <f t="shared" si="37"/>
        <v>3819.875</v>
      </c>
      <c r="T155" s="54">
        <f t="shared" si="37"/>
        <v>3819.875</v>
      </c>
    </row>
    <row r="156" spans="9:20" x14ac:dyDescent="0.25">
      <c r="I156" s="9">
        <v>9</v>
      </c>
      <c r="J156" s="49" t="s">
        <v>71</v>
      </c>
      <c r="K156" s="54">
        <f t="shared" si="37"/>
        <v>0</v>
      </c>
      <c r="L156" s="59">
        <f t="shared" si="37"/>
        <v>7205.25</v>
      </c>
      <c r="M156" s="59">
        <f t="shared" si="37"/>
        <v>0</v>
      </c>
      <c r="N156" s="59">
        <f t="shared" si="37"/>
        <v>6145</v>
      </c>
      <c r="O156" s="59">
        <f t="shared" si="37"/>
        <v>0</v>
      </c>
      <c r="P156" s="59">
        <f t="shared" si="37"/>
        <v>3844</v>
      </c>
      <c r="Q156" s="59">
        <f t="shared" si="37"/>
        <v>0</v>
      </c>
      <c r="R156" s="59">
        <f t="shared" si="37"/>
        <v>0</v>
      </c>
      <c r="S156" s="59">
        <f t="shared" si="37"/>
        <v>0</v>
      </c>
      <c r="T156" s="54">
        <f t="shared" si="37"/>
        <v>0</v>
      </c>
    </row>
    <row r="157" spans="9:20" x14ac:dyDescent="0.25">
      <c r="I157" s="9">
        <v>10</v>
      </c>
      <c r="J157" s="49" t="s">
        <v>72</v>
      </c>
      <c r="K157" s="54">
        <f t="shared" si="37"/>
        <v>4898</v>
      </c>
      <c r="L157" s="59">
        <f t="shared" si="37"/>
        <v>0</v>
      </c>
      <c r="M157" s="59">
        <f t="shared" si="37"/>
        <v>4803.5</v>
      </c>
      <c r="N157" s="59">
        <f t="shared" si="37"/>
        <v>0</v>
      </c>
      <c r="O157" s="59">
        <f t="shared" si="37"/>
        <v>5370.5</v>
      </c>
      <c r="P157" s="59">
        <f t="shared" si="37"/>
        <v>0</v>
      </c>
      <c r="Q157" s="59">
        <f t="shared" si="37"/>
        <v>1574.75</v>
      </c>
      <c r="R157" s="59">
        <f t="shared" si="37"/>
        <v>0</v>
      </c>
      <c r="S157" s="59">
        <f t="shared" si="37"/>
        <v>0</v>
      </c>
      <c r="T157" s="54">
        <f t="shared" si="37"/>
        <v>0</v>
      </c>
    </row>
    <row r="158" spans="9:20" x14ac:dyDescent="0.25">
      <c r="I158" s="9">
        <v>11</v>
      </c>
      <c r="J158" s="49" t="s">
        <v>73</v>
      </c>
      <c r="K158" s="54">
        <f t="shared" si="37"/>
        <v>0</v>
      </c>
      <c r="L158" s="59">
        <f t="shared" si="37"/>
        <v>3479.875</v>
      </c>
      <c r="M158" s="59">
        <f t="shared" si="37"/>
        <v>0</v>
      </c>
      <c r="N158" s="59">
        <f t="shared" si="37"/>
        <v>2401.75</v>
      </c>
      <c r="O158" s="59">
        <f t="shared" si="37"/>
        <v>0</v>
      </c>
      <c r="P158" s="59">
        <f t="shared" si="37"/>
        <v>1550.625</v>
      </c>
      <c r="Q158" s="59">
        <f t="shared" si="37"/>
        <v>0</v>
      </c>
      <c r="R158" s="59">
        <f t="shared" si="37"/>
        <v>0</v>
      </c>
      <c r="S158" s="59">
        <f t="shared" si="37"/>
        <v>0</v>
      </c>
      <c r="T158" s="54">
        <f t="shared" si="37"/>
        <v>0</v>
      </c>
    </row>
    <row r="159" spans="9:20" x14ac:dyDescent="0.25">
      <c r="I159" s="9">
        <v>12</v>
      </c>
      <c r="J159" s="49" t="s">
        <v>74</v>
      </c>
      <c r="K159" s="54">
        <f t="shared" si="37"/>
        <v>0</v>
      </c>
      <c r="L159" s="59">
        <f t="shared" si="37"/>
        <v>0</v>
      </c>
      <c r="M159" s="59">
        <f t="shared" si="37"/>
        <v>2061.75</v>
      </c>
      <c r="N159" s="59">
        <f t="shared" si="37"/>
        <v>0</v>
      </c>
      <c r="O159" s="59">
        <f t="shared" si="37"/>
        <v>0</v>
      </c>
      <c r="P159" s="59">
        <f t="shared" si="37"/>
        <v>0</v>
      </c>
      <c r="Q159" s="59">
        <f t="shared" si="37"/>
        <v>0</v>
      </c>
      <c r="R159" s="59">
        <f t="shared" si="37"/>
        <v>0</v>
      </c>
      <c r="S159" s="59">
        <f t="shared" si="37"/>
        <v>0</v>
      </c>
      <c r="T159" s="54">
        <f t="shared" si="37"/>
        <v>0</v>
      </c>
    </row>
    <row r="160" spans="9:20" x14ac:dyDescent="0.25">
      <c r="I160" s="60" t="s">
        <v>80</v>
      </c>
      <c r="J160" s="48" t="s">
        <v>82</v>
      </c>
      <c r="K160" s="54">
        <f t="shared" si="37"/>
        <v>0</v>
      </c>
      <c r="L160" s="59">
        <f t="shared" si="37"/>
        <v>0</v>
      </c>
      <c r="M160" s="59">
        <f t="shared" si="37"/>
        <v>0</v>
      </c>
      <c r="N160" s="59">
        <f t="shared" si="37"/>
        <v>643.625</v>
      </c>
      <c r="O160" s="59">
        <f t="shared" si="37"/>
        <v>0</v>
      </c>
      <c r="P160" s="59">
        <f t="shared" si="37"/>
        <v>0</v>
      </c>
      <c r="Q160" s="59">
        <f t="shared" si="37"/>
        <v>0</v>
      </c>
      <c r="R160" s="59">
        <f t="shared" si="37"/>
        <v>0</v>
      </c>
      <c r="S160" s="59">
        <f t="shared" si="37"/>
        <v>0</v>
      </c>
      <c r="T160" s="54">
        <f t="shared" si="37"/>
        <v>0</v>
      </c>
    </row>
    <row r="161" spans="9:20" x14ac:dyDescent="0.25">
      <c r="I161" s="60" t="s">
        <v>81</v>
      </c>
      <c r="J161" s="48" t="s">
        <v>83</v>
      </c>
      <c r="K161" s="54">
        <f t="shared" si="37"/>
        <v>0</v>
      </c>
      <c r="L161" s="59">
        <f t="shared" si="37"/>
        <v>0</v>
      </c>
      <c r="M161" s="59">
        <f t="shared" si="37"/>
        <v>0</v>
      </c>
      <c r="N161" s="59">
        <f t="shared" si="37"/>
        <v>0</v>
      </c>
      <c r="O161" s="59">
        <f t="shared" si="37"/>
        <v>0</v>
      </c>
      <c r="P161" s="59">
        <f t="shared" si="37"/>
        <v>0</v>
      </c>
      <c r="Q161" s="59">
        <f t="shared" si="37"/>
        <v>0</v>
      </c>
      <c r="R161" s="59">
        <f t="shared" si="37"/>
        <v>0</v>
      </c>
      <c r="S161" s="59">
        <f t="shared" si="37"/>
        <v>0</v>
      </c>
      <c r="T161" s="54">
        <f t="shared" si="37"/>
        <v>0</v>
      </c>
    </row>
    <row r="162" spans="9:20" x14ac:dyDescent="0.25">
      <c r="I162" s="60" t="s">
        <v>84</v>
      </c>
      <c r="J162" s="48" t="s">
        <v>88</v>
      </c>
      <c r="K162" s="54">
        <f t="shared" si="37"/>
        <v>0</v>
      </c>
      <c r="L162" s="59">
        <f t="shared" si="37"/>
        <v>0</v>
      </c>
      <c r="M162" s="59">
        <f t="shared" si="37"/>
        <v>0</v>
      </c>
      <c r="N162" s="59">
        <f t="shared" si="37"/>
        <v>0</v>
      </c>
      <c r="O162" s="59">
        <f t="shared" si="37"/>
        <v>0</v>
      </c>
      <c r="P162" s="59">
        <f t="shared" si="37"/>
        <v>0</v>
      </c>
      <c r="Q162" s="59">
        <f t="shared" si="37"/>
        <v>0</v>
      </c>
      <c r="R162" s="59">
        <f t="shared" si="37"/>
        <v>0</v>
      </c>
      <c r="S162" s="59">
        <f t="shared" si="37"/>
        <v>0</v>
      </c>
      <c r="T162" s="54">
        <f t="shared" si="37"/>
        <v>0</v>
      </c>
    </row>
    <row r="163" spans="9:20" x14ac:dyDescent="0.25">
      <c r="I163" s="60" t="s">
        <v>85</v>
      </c>
      <c r="J163" s="48" t="s">
        <v>89</v>
      </c>
      <c r="K163" s="54">
        <f t="shared" si="37"/>
        <v>0</v>
      </c>
      <c r="L163" s="59">
        <f t="shared" si="37"/>
        <v>0</v>
      </c>
      <c r="M163" s="59">
        <f t="shared" si="37"/>
        <v>0</v>
      </c>
      <c r="N163" s="59">
        <f t="shared" si="37"/>
        <v>0</v>
      </c>
      <c r="O163" s="59">
        <f t="shared" si="37"/>
        <v>0</v>
      </c>
      <c r="P163" s="59">
        <f t="shared" si="37"/>
        <v>0</v>
      </c>
      <c r="Q163" s="59">
        <f t="shared" si="37"/>
        <v>0</v>
      </c>
      <c r="R163" s="59">
        <f t="shared" si="37"/>
        <v>0</v>
      </c>
      <c r="S163" s="59">
        <f t="shared" si="37"/>
        <v>0</v>
      </c>
      <c r="T163" s="54">
        <f t="shared" si="37"/>
        <v>0</v>
      </c>
    </row>
    <row r="164" spans="9:20" x14ac:dyDescent="0.25">
      <c r="I164" s="60" t="s">
        <v>86</v>
      </c>
      <c r="J164" s="48" t="s">
        <v>90</v>
      </c>
      <c r="K164" s="54">
        <f t="shared" si="37"/>
        <v>0</v>
      </c>
      <c r="L164" s="59">
        <f t="shared" si="37"/>
        <v>0</v>
      </c>
      <c r="M164" s="59">
        <f t="shared" si="37"/>
        <v>0</v>
      </c>
      <c r="N164" s="59">
        <f t="shared" si="37"/>
        <v>0</v>
      </c>
      <c r="O164" s="59">
        <f t="shared" si="37"/>
        <v>0</v>
      </c>
      <c r="P164" s="59">
        <f t="shared" si="37"/>
        <v>0</v>
      </c>
      <c r="Q164" s="59">
        <f t="shared" si="37"/>
        <v>0</v>
      </c>
      <c r="R164" s="59">
        <f t="shared" si="37"/>
        <v>0</v>
      </c>
      <c r="S164" s="59">
        <f t="shared" si="37"/>
        <v>0</v>
      </c>
      <c r="T164" s="54">
        <f t="shared" si="37"/>
        <v>0</v>
      </c>
    </row>
    <row r="165" spans="9:20" ht="13.8" thickBot="1" x14ac:dyDescent="0.3">
      <c r="I165" s="61" t="s">
        <v>87</v>
      </c>
      <c r="J165" s="62" t="s">
        <v>91</v>
      </c>
      <c r="K165" s="63">
        <f t="shared" si="37"/>
        <v>0</v>
      </c>
      <c r="L165" s="64">
        <f t="shared" si="37"/>
        <v>0</v>
      </c>
      <c r="M165" s="64">
        <f t="shared" si="37"/>
        <v>0</v>
      </c>
      <c r="N165" s="64">
        <f t="shared" si="37"/>
        <v>0</v>
      </c>
      <c r="O165" s="64">
        <f t="shared" si="37"/>
        <v>0</v>
      </c>
      <c r="P165" s="64">
        <f t="shared" si="37"/>
        <v>0</v>
      </c>
      <c r="Q165" s="64">
        <f t="shared" si="37"/>
        <v>0</v>
      </c>
      <c r="R165" s="64">
        <f t="shared" si="37"/>
        <v>0</v>
      </c>
      <c r="S165" s="64">
        <f t="shared" si="37"/>
        <v>0</v>
      </c>
      <c r="T165" s="63">
        <f t="shared" si="37"/>
        <v>0</v>
      </c>
    </row>
    <row r="166" spans="9:20" ht="13.8" thickBot="1" x14ac:dyDescent="0.3">
      <c r="K166" s="90">
        <f>SUM(K148:K165)</f>
        <v>30559</v>
      </c>
      <c r="L166" s="27"/>
      <c r="M166" s="27"/>
      <c r="N166" s="27"/>
      <c r="O166" s="27"/>
      <c r="P166" s="27"/>
      <c r="Q166" s="27"/>
      <c r="R166" s="27"/>
      <c r="S166" s="27"/>
    </row>
    <row r="170" spans="9:20" ht="13.8" thickBot="1" x14ac:dyDescent="0.3"/>
    <row r="171" spans="9:20" x14ac:dyDescent="0.25">
      <c r="I171" s="157" t="s">
        <v>128</v>
      </c>
      <c r="J171" s="155"/>
      <c r="K171" s="55"/>
      <c r="L171" s="155" t="s">
        <v>79</v>
      </c>
      <c r="M171" s="167"/>
      <c r="N171" s="167"/>
      <c r="O171" s="167"/>
      <c r="P171" s="167"/>
      <c r="Q171" s="167"/>
      <c r="R171" s="167"/>
      <c r="S171" s="167"/>
      <c r="T171" s="168"/>
    </row>
    <row r="172" spans="9:20" x14ac:dyDescent="0.25">
      <c r="I172" s="57"/>
      <c r="J172" s="70"/>
      <c r="K172" s="70"/>
      <c r="L172" s="10">
        <v>1</v>
      </c>
      <c r="M172" s="10">
        <v>2</v>
      </c>
      <c r="N172" s="10">
        <v>3</v>
      </c>
      <c r="O172" s="10">
        <v>4</v>
      </c>
      <c r="P172" s="10">
        <v>5</v>
      </c>
      <c r="Q172" s="10">
        <v>6</v>
      </c>
      <c r="R172" s="10">
        <v>7</v>
      </c>
      <c r="S172" s="10">
        <v>8</v>
      </c>
      <c r="T172" s="11">
        <v>9</v>
      </c>
    </row>
    <row r="173" spans="9:20" x14ac:dyDescent="0.25">
      <c r="I173" s="57"/>
      <c r="J173" s="70"/>
      <c r="K173" s="70"/>
      <c r="L173" s="68" t="s">
        <v>63</v>
      </c>
      <c r="M173" s="68" t="s">
        <v>64</v>
      </c>
      <c r="N173" s="68" t="s">
        <v>65</v>
      </c>
      <c r="O173" s="68" t="s">
        <v>66</v>
      </c>
      <c r="P173" s="68" t="s">
        <v>67</v>
      </c>
      <c r="Q173" s="68" t="s">
        <v>68</v>
      </c>
      <c r="R173" s="68" t="s">
        <v>69</v>
      </c>
      <c r="S173" s="68" t="s">
        <v>70</v>
      </c>
      <c r="T173" s="71" t="s">
        <v>71</v>
      </c>
    </row>
    <row r="174" spans="9:20" x14ac:dyDescent="0.25">
      <c r="I174" s="57"/>
      <c r="J174" s="70"/>
      <c r="K174" s="50" t="s">
        <v>120</v>
      </c>
      <c r="L174" s="72">
        <f>IF(IO.CONTROL!$C$6/5=1,$K$148*$C$26,IF(IO.CONTROL!$C$6/5=2,$K$149*$C$26,IF(IO.CONTROL!$C$6/5=3,$K$150*$C$26,0)))</f>
        <v>60650</v>
      </c>
      <c r="M174" s="72">
        <f>IF(IO.CONTROL!$C$6/5=1,L148*$C$26,IF(IO.CONTROL!$C$6/5=2,K148*$C$26,IF(IO.CONTROL!$C$6/5=3,K149*$C$26,0)))</f>
        <v>38198.75</v>
      </c>
      <c r="N174" s="72">
        <f>IF(IO.CONTROL!$C$6/5=1,M148*$C$26,IF(IO.CONTROL!$C$6/5=2,L148*$C$26,IF(IO.CONTROL!$C$6/5=3,K148*$C$26,0)))</f>
        <v>38198.75</v>
      </c>
      <c r="O174" s="72">
        <f>IF(IO.CONTROL!$C$6/5=1,N148*$C$26,IF(IO.CONTROL!$C$6/5=2,M148*$C$26,IF(IO.CONTROL!$C$6/5=3,L148*$C$26,0)))</f>
        <v>38198.75</v>
      </c>
      <c r="P174" s="72">
        <f>IF(IO.CONTROL!$C$6/5=1,O148*$C$26,IF(IO.CONTROL!$C$6/5=2,N148*$C$26,IF(IO.CONTROL!$C$6/5=3,M148*$C$26,0)))</f>
        <v>38198.75</v>
      </c>
      <c r="Q174" s="72">
        <f>IF(IO.CONTROL!$C$6/5=1,P148*$C$26,IF(IO.CONTROL!$C$6/5=2,O148*$C$26,IF(IO.CONTROL!$C$6/5=3,N148*$C$26,0)))</f>
        <v>38198.75</v>
      </c>
      <c r="R174" s="72">
        <f>IF(IO.CONTROL!$C$6/5=1,Q148*$C$26,IF(IO.CONTROL!$C$6/5=2,P148*$C$26,IF(IO.CONTROL!$C$6/5=3,O148*$C$26,0)))</f>
        <v>38198.75</v>
      </c>
      <c r="S174" s="72">
        <f>IF(IO.CONTROL!$C$6/5=1,R148*$C$26,IF(IO.CONTROL!$C$6/5=2,Q148*$C$26,IF(IO.CONTROL!$C$6/5=3,P148*$C$26,0)))</f>
        <v>38198.75</v>
      </c>
      <c r="T174" s="73">
        <f>IF(IO.CONTROL!$C$6/5=1,S148*$C$26,IF(IO.CONTROL!$C$6/5=2,R148*$C$26,IF(IO.CONTROL!$C$6/5=3,Q148*$C$26,0)))</f>
        <v>38198.75</v>
      </c>
    </row>
    <row r="175" spans="9:20" x14ac:dyDescent="0.25">
      <c r="I175" s="57"/>
      <c r="J175" s="70"/>
      <c r="K175" s="50" t="s">
        <v>122</v>
      </c>
      <c r="L175" s="72">
        <f>IF(OR(IO.CONTROL!$C$7+5&gt;IO.CONTROL!$C$10,IO.CONTROL!$C$7=0),0,(L$102+L$79+L$56+L$33+L$10)*$C$49)</f>
        <v>0</v>
      </c>
      <c r="M175" s="72">
        <f>IF(OR(IO.CONTROL!$C$7+5&gt;IO.CONTROL!$C$10,IO.CONTROL!$C$7=0),0,(M$102+M$79+M$56+M$33+M$10)*$C$49)</f>
        <v>0</v>
      </c>
      <c r="N175" s="72">
        <f>IF(OR(IO.CONTROL!$C$7+5&gt;IO.CONTROL!$C$10,IO.CONTROL!$C$7=0),0,(N$102+N$79+N$56+N$33+N$10)*$C$49)</f>
        <v>84910</v>
      </c>
      <c r="O175" s="72">
        <f>IF(OR(IO.CONTROL!$C$7+5&gt;IO.CONTROL!$C$10,IO.CONTROL!$C$7=0),0,(O$102+O$79+O$56+O$33+O$10)*$C$49)</f>
        <v>19853.75</v>
      </c>
      <c r="P175" s="72">
        <f>IF(OR(IO.CONTROL!$C$7+5&gt;IO.CONTROL!$C$10,IO.CONTROL!$C$7=0),0,(P$102+P$79+P$56+P$33+P$10)*$C$49)</f>
        <v>19853.75</v>
      </c>
      <c r="Q175" s="72">
        <f>IF(OR(IO.CONTROL!$C$7+5&gt;IO.CONTROL!$C$10,IO.CONTROL!$C$7=0),0,(Q$102+Q$79+Q$56+Q$33+Q$10)*$C$49)</f>
        <v>19853.75</v>
      </c>
      <c r="R175" s="72">
        <f>IF(OR(IO.CONTROL!$C$7+5&gt;IO.CONTROL!$C$10,IO.CONTROL!$C$7=0),0,(R$102+R$79+R$56+R$33+R$10)*$C$49)</f>
        <v>19853.75</v>
      </c>
      <c r="S175" s="72">
        <f>IF(OR(IO.CONTROL!$C$7+5&gt;IO.CONTROL!$C$10,IO.CONTROL!$C$7=0),0,(S$102+S$79+S$56+S$33+S$10)*$C$49)</f>
        <v>53478.25</v>
      </c>
      <c r="T175" s="73">
        <f>IF(OR(IO.CONTROL!$C$7+5&gt;IO.CONTROL!$C$10,IO.CONTROL!$C$7=0),0,(T$102+T$79+T$56+T$33+T$10)*$C$49)</f>
        <v>53478.25</v>
      </c>
    </row>
    <row r="176" spans="9:20" x14ac:dyDescent="0.25">
      <c r="I176" s="57"/>
      <c r="J176" s="70"/>
      <c r="K176" s="50" t="s">
        <v>123</v>
      </c>
      <c r="L176" s="72">
        <f>IF(OR(IO.CONTROL!$C$8+5&gt;IO.CONTROL!$C$10,IO.CONTROL!$C$8=0),0,(L103+L80+L57+L34+L11)*$C$50)</f>
        <v>82069.400000000009</v>
      </c>
      <c r="M176" s="72">
        <f>IF(OR(IO.CONTROL!$C$8+5&gt;IO.CONTROL!$C$10,IO.CONTROL!$C$8=0),0,(M103+M80+M57+M34+M11)*$C$50)</f>
        <v>0</v>
      </c>
      <c r="N176" s="72">
        <f>IF(OR(IO.CONTROL!$C$8+5&gt;IO.CONTROL!$C$10,IO.CONTROL!$C$8=0),0,(N103+N80+N57+N34+N11)*$C$50)</f>
        <v>0</v>
      </c>
      <c r="O176" s="72">
        <f>IF(OR(IO.CONTROL!$C$8+5&gt;IO.CONTROL!$C$10,IO.CONTROL!$C$8=0),0,(O103+O80+O57+O34+O11)*$C$50)</f>
        <v>129487.75000000001</v>
      </c>
      <c r="P176" s="72">
        <f>IF(OR(IO.CONTROL!$C$8+5&gt;IO.CONTROL!$C$10,IO.CONTROL!$C$8=0),0,(P103+P80+P57+P34+P11)*$C$50)</f>
        <v>30276.968750000004</v>
      </c>
      <c r="Q176" s="72">
        <f>IF(OR(IO.CONTROL!$C$8+5&gt;IO.CONTROL!$C$10,IO.CONTROL!$C$8=0),0,(Q103+Q80+Q57+Q34+Q11)*$C$50)</f>
        <v>30276.968750000004</v>
      </c>
      <c r="R176" s="72">
        <f>IF(OR(IO.CONTROL!$C$8+5&gt;IO.CONTROL!$C$10,IO.CONTROL!$C$8=0),0,(R103+R80+R57+R34+R11)*$C$50)</f>
        <v>30276.968750000004</v>
      </c>
      <c r="S176" s="72">
        <f>IF(OR(IO.CONTROL!$C$8+5&gt;IO.CONTROL!$C$10,IO.CONTROL!$C$8=0),0,(S103+S80+S57+S34+S11)*$C$50)</f>
        <v>30276.968750000004</v>
      </c>
      <c r="T176" s="73">
        <f>IF(OR(IO.CONTROL!$C$8+5&gt;IO.CONTROL!$C$10,IO.CONTROL!$C$8=0),0,(T103+T80+T57+T34+T11)*$C$50)</f>
        <v>81554.331250000003</v>
      </c>
    </row>
    <row r="177" spans="9:21" x14ac:dyDescent="0.25">
      <c r="I177" s="57"/>
      <c r="J177" s="70"/>
      <c r="K177" s="50" t="s">
        <v>124</v>
      </c>
      <c r="L177" s="72">
        <f>IF(OR(IO.CONTROL!$C$9+5&gt;IO.CONTROL!$C$10,IO.CONTROL!$C$9=0),0,(L$105+L$82+L$59+L$36+L$13)*$C$51)</f>
        <v>188835.85</v>
      </c>
      <c r="M177" s="72">
        <f>IF(OR(IO.CONTROL!$C$9+5&gt;IO.CONTROL!$C$10,IO.CONTROL!$C$9=0),0,(M105+M82+M59+M36+M13)*$C$51)</f>
        <v>0</v>
      </c>
      <c r="N177" s="72">
        <f>IF(OR(IO.CONTROL!$C$9+5&gt;IO.CONTROL!$C$10,IO.CONTROL!$C$9=0),0,(N105+N82+N59+N36+N13)*$C$51)</f>
        <v>118126.12</v>
      </c>
      <c r="O177" s="72">
        <f>IF(OR(IO.CONTROL!$C$9+5&gt;IO.CONTROL!$C$10,IO.CONTROL!$C$9=0),0,(O105+O82+O59+O36+O13)*$C$51)</f>
        <v>0</v>
      </c>
      <c r="P177" s="72">
        <f>IF(OR(IO.CONTROL!$C$9+5&gt;IO.CONTROL!$C$10,IO.CONTROL!$C$9=0),0,(P105+P82+P59+P36+P13)*$C$51)</f>
        <v>0</v>
      </c>
      <c r="Q177" s="72">
        <f>IF(OR(IO.CONTROL!$C$9+5&gt;IO.CONTROL!$C$10,IO.CONTROL!$C$9=0),0,(Q105+Q82+Q59+Q36+Q13)*$C$51)</f>
        <v>186377.45</v>
      </c>
      <c r="R177" s="72">
        <f>IF(OR(IO.CONTROL!$C$9+5&gt;IO.CONTROL!$C$10,IO.CONTROL!$C$9=0),0,(R105+R82+R59+R36+R13)*$C$51)</f>
        <v>43578.981249999997</v>
      </c>
      <c r="S177" s="72">
        <f>IF(OR(IO.CONTROL!$C$9+5&gt;IO.CONTROL!$C$10,IO.CONTROL!$C$9=0),0,(S105+S82+S59+S36+S13)*$C$51)</f>
        <v>43578.981249999997</v>
      </c>
      <c r="T177" s="73">
        <f>IF(OR(IO.CONTROL!$C$9+5&gt;IO.CONTROL!$C$10,IO.CONTROL!$C$9=0),0,(T105+T82+T59+T36+T13)*$C$51)</f>
        <v>43578.981249999997</v>
      </c>
    </row>
    <row r="178" spans="9:21" x14ac:dyDescent="0.25">
      <c r="I178" s="57"/>
      <c r="J178" s="70"/>
      <c r="K178" s="50" t="s">
        <v>121</v>
      </c>
      <c r="L178" s="72">
        <f>L$122*$D$40+L$99*$D$38+L$76*$D$36+L$53*$D$34+L$30*$D$32+L$7*$D$30</f>
        <v>231684.9425</v>
      </c>
      <c r="M178" s="72">
        <f>IF(L$140=0,M$122*$D$45,M$122*$D$40)+IF(L$117=0,M$99*$D$46,M$99*$D$38)+IF(L$94=0,M$76*$D$46,M$76*$D$36)+IF(L$71=0,M$53*$D$46,M$53*$D$34)+IF(L$48=0,M$30*$D$46,M$30*$D$32)+IF(L$25=0,M$7*$D$46,M$7*$D$30)</f>
        <v>231684.9425</v>
      </c>
      <c r="N178" s="72">
        <f t="shared" ref="N178:T178" si="38">IF(M140=0,N122*$D$45,N122*$D$40)+IF(M117=0,N99*$D$46,N99*$D$38)+IF(M94=0,N76*$D$46,N76*$D$36)+IF(M71=0,N53*$D$46,N53*$D$34)+IF(M48=0,N30*$D$46,N30*$D$32)+IF(M25=0,N7*$D$46,N7*$D$30)</f>
        <v>231684.9425</v>
      </c>
      <c r="O178" s="72">
        <f t="shared" si="38"/>
        <v>231684.94249999998</v>
      </c>
      <c r="P178" s="72">
        <f t="shared" si="38"/>
        <v>408573.82999999996</v>
      </c>
      <c r="Q178" s="72">
        <f t="shared" si="38"/>
        <v>408573.82999999996</v>
      </c>
      <c r="R178" s="72">
        <f t="shared" si="38"/>
        <v>408573.82999999996</v>
      </c>
      <c r="S178" s="72">
        <f t="shared" si="38"/>
        <v>408573.82999999996</v>
      </c>
      <c r="T178" s="73">
        <f t="shared" si="38"/>
        <v>615226.22231234575</v>
      </c>
    </row>
    <row r="179" spans="9:21" ht="13.8" thickBot="1" x14ac:dyDescent="0.3">
      <c r="I179" s="74"/>
      <c r="J179" s="75"/>
      <c r="K179" s="76" t="s">
        <v>127</v>
      </c>
      <c r="L179" s="77">
        <f>SUM(L174:L178)</f>
        <v>563240.1925</v>
      </c>
      <c r="M179" s="77">
        <f t="shared" ref="M179:T179" si="39">SUM(M174:M178)</f>
        <v>269883.6925</v>
      </c>
      <c r="N179" s="77">
        <f t="shared" si="39"/>
        <v>472919.8125</v>
      </c>
      <c r="O179" s="77">
        <f t="shared" si="39"/>
        <v>419225.1925</v>
      </c>
      <c r="P179" s="77">
        <f t="shared" si="39"/>
        <v>496903.29874999996</v>
      </c>
      <c r="Q179" s="77">
        <f t="shared" si="39"/>
        <v>683280.74875000003</v>
      </c>
      <c r="R179" s="77">
        <f t="shared" si="39"/>
        <v>540482.28</v>
      </c>
      <c r="S179" s="77">
        <f t="shared" si="39"/>
        <v>574106.78</v>
      </c>
      <c r="T179" s="78">
        <f t="shared" si="39"/>
        <v>832036.53481234575</v>
      </c>
      <c r="U179" s="69"/>
    </row>
    <row r="183" spans="9:21" ht="13.8" thickBot="1" x14ac:dyDescent="0.3"/>
    <row r="184" spans="9:21" x14ac:dyDescent="0.25">
      <c r="I184" s="157" t="s">
        <v>190</v>
      </c>
      <c r="J184" s="169"/>
      <c r="K184" s="55"/>
      <c r="L184" s="155" t="s">
        <v>79</v>
      </c>
      <c r="M184" s="167"/>
      <c r="N184" s="167"/>
      <c r="O184" s="167"/>
      <c r="P184" s="167"/>
      <c r="Q184" s="167"/>
      <c r="R184" s="167"/>
      <c r="S184" s="167"/>
      <c r="T184" s="168"/>
    </row>
    <row r="185" spans="9:21" x14ac:dyDescent="0.25">
      <c r="I185" s="57"/>
      <c r="J185" s="70"/>
      <c r="K185" s="70"/>
      <c r="L185" s="10">
        <v>1</v>
      </c>
      <c r="M185" s="10">
        <v>2</v>
      </c>
      <c r="N185" s="10">
        <v>3</v>
      </c>
      <c r="O185" s="10">
        <v>4</v>
      </c>
      <c r="P185" s="10">
        <v>5</v>
      </c>
      <c r="Q185" s="10">
        <v>6</v>
      </c>
      <c r="R185" s="10">
        <v>7</v>
      </c>
      <c r="S185" s="10">
        <v>8</v>
      </c>
      <c r="T185" s="11">
        <v>9</v>
      </c>
    </row>
    <row r="186" spans="9:21" x14ac:dyDescent="0.25">
      <c r="I186" s="57"/>
      <c r="J186" s="70"/>
      <c r="K186" s="70"/>
      <c r="L186" s="68" t="s">
        <v>63</v>
      </c>
      <c r="M186" s="68" t="s">
        <v>64</v>
      </c>
      <c r="N186" s="68" t="s">
        <v>65</v>
      </c>
      <c r="O186" s="68" t="s">
        <v>66</v>
      </c>
      <c r="P186" s="68" t="s">
        <v>67</v>
      </c>
      <c r="Q186" s="68" t="s">
        <v>68</v>
      </c>
      <c r="R186" s="68" t="s">
        <v>69</v>
      </c>
      <c r="S186" s="68" t="s">
        <v>70</v>
      </c>
      <c r="T186" s="71" t="s">
        <v>71</v>
      </c>
    </row>
    <row r="187" spans="9:21" x14ac:dyDescent="0.25">
      <c r="I187" s="57"/>
      <c r="J187" s="70"/>
      <c r="K187" s="50" t="s">
        <v>120</v>
      </c>
      <c r="L187" s="72">
        <f>IF(IO.CONTROL!$C$6/5=1,K$148,IF(IO.CONTROL!$C$6/5=2,K$149,IF(IO.CONTROL!$C$6/5=3,K$150,0)))</f>
        <v>6065</v>
      </c>
      <c r="M187" s="72">
        <f>IF(IO.CONTROL!$C$6/5=1,L$148,IF(IO.CONTROL!$C$6/5=2,L$149,IF(IO.CONTROL!$C$6/5=3,L$150,0)))</f>
        <v>3819.875</v>
      </c>
      <c r="N187" s="72">
        <f>IF(IO.CONTROL!$C$6/5=1,M$148,IF(IO.CONTROL!$C$6/5=2,M$149,IF(IO.CONTROL!$C$6/5=3,M$150,0)))</f>
        <v>3819.875</v>
      </c>
      <c r="O187" s="72">
        <f>IF(IO.CONTROL!$C$6/5=1,N$148,IF(IO.CONTROL!$C$6/5=2,N$149,IF(IO.CONTROL!$C$6/5=3,N$150,0)))</f>
        <v>3819.875</v>
      </c>
      <c r="P187" s="72">
        <f>IF(IO.CONTROL!$C$6/5=1,O$148,IF(IO.CONTROL!$C$6/5=2,O$149,IF(IO.CONTROL!$C$6/5=3,O$150,0)))</f>
        <v>3819.875</v>
      </c>
      <c r="Q187" s="72">
        <f>IF(IO.CONTROL!$C$6/5=1,P$148,IF(IO.CONTROL!$C$6/5=2,P$149,IF(IO.CONTROL!$C$6/5=3,P$150,0)))</f>
        <v>3819.875</v>
      </c>
      <c r="R187" s="72">
        <f>IF(IO.CONTROL!$C$6/5=1,Q$148,IF(IO.CONTROL!$C$6/5=2,Q$149,IF(IO.CONTROL!$C$6/5=3,Q$150,0)))</f>
        <v>3819.875</v>
      </c>
      <c r="S187" s="72">
        <f>IF(IO.CONTROL!$C$6/5=1,R$148,IF(IO.CONTROL!$C$6/5=2,R$149,IF(IO.CONTROL!$C$6/5=3,R$150,0)))</f>
        <v>3819.875</v>
      </c>
      <c r="T187" s="73">
        <f>IF(IO.CONTROL!$C$6/5=1,S$148,IF(IO.CONTROL!$C$6/5=2,S$149,IF(IO.CONTROL!$C$6/5=3,S$150,0)))</f>
        <v>3819.875</v>
      </c>
    </row>
    <row r="188" spans="9:21" x14ac:dyDescent="0.25">
      <c r="I188" s="57"/>
      <c r="J188" s="70"/>
      <c r="K188" s="50" t="s">
        <v>122</v>
      </c>
      <c r="L188" s="72">
        <f>IF(OR(IO.CONTROL!$C7+5&gt;IO.CONTROL!$C$10,IO.CONTROL!$C7=0),0,(L102+L79+L56+L33+L10))</f>
        <v>0</v>
      </c>
      <c r="M188" s="72">
        <f>IF(OR(IO.CONTROL!$C7+5&gt;IO.CONTROL!$C$10,IO.CONTROL!$C7=0),0,(M102+M79+M56+M33+M10))</f>
        <v>0</v>
      </c>
      <c r="N188" s="72">
        <f>IF(OR(IO.CONTROL!$C7+5&gt;IO.CONTROL!$C$10,IO.CONTROL!$C7=0),0,(N102+N79+N56+N33+N10))</f>
        <v>6065</v>
      </c>
      <c r="O188" s="72">
        <f>IF(OR(IO.CONTROL!$C7+5&gt;IO.CONTROL!$C$10,IO.CONTROL!$C7=0),0,(O102+O79+O56+O33+O10))</f>
        <v>1418.125</v>
      </c>
      <c r="P188" s="72">
        <f>IF(OR(IO.CONTROL!$C7+5&gt;IO.CONTROL!$C$10,IO.CONTROL!$C7=0),0,(P102+P79+P56+P33+P10))</f>
        <v>1418.125</v>
      </c>
      <c r="Q188" s="72">
        <f>IF(OR(IO.CONTROL!$C7+5&gt;IO.CONTROL!$C$10,IO.CONTROL!$C7=0),0,(Q102+Q79+Q56+Q33+Q10))</f>
        <v>1418.125</v>
      </c>
      <c r="R188" s="72">
        <f>IF(OR(IO.CONTROL!$C7+5&gt;IO.CONTROL!$C$10,IO.CONTROL!$C7=0),0,(R102+R79+R56+R33+R10))</f>
        <v>1418.125</v>
      </c>
      <c r="S188" s="72">
        <f>IF(OR(IO.CONTROL!$C7+5&gt;IO.CONTROL!$C$10,IO.CONTROL!$C7=0),0,(S102+S79+S56+S33+S10))</f>
        <v>3819.875</v>
      </c>
      <c r="T188" s="73">
        <f>IF(OR(IO.CONTROL!$C7+5&gt;IO.CONTROL!$C$10,IO.CONTROL!$C7=0),0,(T102+T79+T56+T33+T10))</f>
        <v>3819.875</v>
      </c>
    </row>
    <row r="189" spans="9:21" x14ac:dyDescent="0.25">
      <c r="I189" s="57"/>
      <c r="J189" s="70"/>
      <c r="K189" s="50" t="s">
        <v>123</v>
      </c>
      <c r="L189" s="72">
        <f>IF(OR(IO.CONTROL!$C8+5&gt;IO.CONTROL!$C$10,IO.CONTROL!$C8=0),0,(L103+L80+L57+L34+L11))</f>
        <v>3844</v>
      </c>
      <c r="M189" s="72">
        <f>IF(OR(IO.CONTROL!$C8+5&gt;IO.CONTROL!$C$10,IO.CONTROL!$C8=0),0,(M103+M80+M57+M34+M11))</f>
        <v>0</v>
      </c>
      <c r="N189" s="72">
        <f>IF(OR(IO.CONTROL!$C8+5&gt;IO.CONTROL!$C$10,IO.CONTROL!$C8=0),0,(N103+N80+N57+N34+N11))</f>
        <v>0</v>
      </c>
      <c r="O189" s="72">
        <f>IF(OR(IO.CONTROL!$C8+5&gt;IO.CONTROL!$C$10,IO.CONTROL!$C8=0),0,(O103+O80+O57+O34+O11))</f>
        <v>6065</v>
      </c>
      <c r="P189" s="72">
        <f>IF(OR(IO.CONTROL!$C8+5&gt;IO.CONTROL!$C$10,IO.CONTROL!$C8=0),0,(P103+P80+P57+P34+P11))</f>
        <v>1418.125</v>
      </c>
      <c r="Q189" s="72">
        <f>IF(OR(IO.CONTROL!$C8+5&gt;IO.CONTROL!$C$10,IO.CONTROL!$C8=0),0,(Q103+Q80+Q57+Q34+Q11))</f>
        <v>1418.125</v>
      </c>
      <c r="R189" s="72">
        <f>IF(OR(IO.CONTROL!$C8+5&gt;IO.CONTROL!$C$10,IO.CONTROL!$C8=0),0,(R103+R80+R57+R34+R11))</f>
        <v>1418.125</v>
      </c>
      <c r="S189" s="72">
        <f>IF(OR(IO.CONTROL!$C8+5&gt;IO.CONTROL!$C$10,IO.CONTROL!$C8=0),0,(S103+S80+S57+S34+S11))</f>
        <v>1418.125</v>
      </c>
      <c r="T189" s="73">
        <f>IF(OR(IO.CONTROL!$C8+5&gt;IO.CONTROL!$C$10,IO.CONTROL!$C8=0),0,(T103+T80+T57+T34+T11))</f>
        <v>3819.875</v>
      </c>
    </row>
    <row r="190" spans="9:21" x14ac:dyDescent="0.25">
      <c r="I190" s="57"/>
      <c r="J190" s="70"/>
      <c r="K190" s="50" t="s">
        <v>124</v>
      </c>
      <c r="L190" s="72">
        <f>IF(OR(IO.CONTROL!$C$9+5&gt;IO.CONTROL!$C$10,IO.CONTROL!$C$9=0),0,(L$105+L$82+L$59+L$36+L$13))</f>
        <v>6145</v>
      </c>
      <c r="M190" s="72">
        <f>IF(OR(IO.CONTROL!$C$9+5&gt;IO.CONTROL!$C$10,IO.CONTROL!$C$9=0),0,(M$105+M$82+M$59+M$36+M$13))</f>
        <v>0</v>
      </c>
      <c r="N190" s="72">
        <f>IF(OR(IO.CONTROL!$C$9+5&gt;IO.CONTROL!$C$10,IO.CONTROL!$C$9=0),0,(N$105+N$82+N$59+N$36+N$13))</f>
        <v>3844</v>
      </c>
      <c r="O190" s="72">
        <f>IF(OR(IO.CONTROL!$C$9+5&gt;IO.CONTROL!$C$10,IO.CONTROL!$C$9=0),0,(O$105+O$82+O$59+O$36+O$13))</f>
        <v>0</v>
      </c>
      <c r="P190" s="72">
        <f>IF(OR(IO.CONTROL!$C$9+5&gt;IO.CONTROL!$C$10,IO.CONTROL!$C$9=0),0,(P$105+P$82+P$59+P$36+P$13))</f>
        <v>0</v>
      </c>
      <c r="Q190" s="72">
        <f>IF(OR(IO.CONTROL!$C$9+5&gt;IO.CONTROL!$C$10,IO.CONTROL!$C$9=0),0,(Q$105+Q$82+Q$59+Q$36+Q$13))</f>
        <v>6065</v>
      </c>
      <c r="R190" s="72">
        <f>IF(OR(IO.CONTROL!$C$9+5&gt;IO.CONTROL!$C$10,IO.CONTROL!$C$9=0),0,(R$105+R$82+R$59+R$36+R$13))</f>
        <v>1418.125</v>
      </c>
      <c r="S190" s="72">
        <f>IF(OR(IO.CONTROL!$C$9+5&gt;IO.CONTROL!$C$10,IO.CONTROL!$C$9=0),0,(S$105+S$82+S$59+S$36+S$13))</f>
        <v>1418.125</v>
      </c>
      <c r="T190" s="73">
        <f>IF(OR(IO.CONTROL!$C$9+5&gt;IO.CONTROL!$C$10,IO.CONTROL!$C$9=0),0,(T$105+T$82+T$59+T$36+T$13))</f>
        <v>1418.125</v>
      </c>
    </row>
    <row r="191" spans="9:21" x14ac:dyDescent="0.25">
      <c r="I191" s="57"/>
      <c r="J191" s="70"/>
      <c r="K191" s="50" t="s">
        <v>121</v>
      </c>
      <c r="L191" s="72">
        <f>L$122+L$99+L$76+L$53+L$30+L$7</f>
        <v>3819.875</v>
      </c>
      <c r="M191" s="72">
        <f>IF(L$140=0,M$122,M$122)+IF(L$117=0,M$99,M$99)+IF(L$94=0,M$76,M$76)+IF(L$71=0,M$53,M$53)+IF(L$48=0,M$30,M$30)+IF(L$25=0,M$7,M$7)</f>
        <v>3819.875</v>
      </c>
      <c r="N191" s="72">
        <f t="shared" ref="N191:T191" si="40">IF(M$140=0,N$122,N$122)+IF(M$117=0,N$99,N$99)+IF(M$94=0,N$76,N$76)+IF(M$71=0,N$53,N$53)+IF(M$48=0,N$30,N$30)+IF(M$25=0,N$7,N$7)</f>
        <v>3819.875</v>
      </c>
      <c r="O191" s="72">
        <f t="shared" si="40"/>
        <v>3819.875</v>
      </c>
      <c r="P191" s="72">
        <f t="shared" si="40"/>
        <v>3819.875</v>
      </c>
      <c r="Q191" s="72">
        <f t="shared" si="40"/>
        <v>3819.875</v>
      </c>
      <c r="R191" s="72">
        <f t="shared" si="40"/>
        <v>3819.875</v>
      </c>
      <c r="S191" s="72">
        <f t="shared" si="40"/>
        <v>3819.875</v>
      </c>
      <c r="T191" s="73">
        <f t="shared" si="40"/>
        <v>3819.875</v>
      </c>
    </row>
    <row r="192" spans="9:21" ht="13.8" thickBot="1" x14ac:dyDescent="0.3">
      <c r="I192" s="74"/>
      <c r="J192" s="75"/>
      <c r="K192" s="76"/>
      <c r="L192" s="87"/>
      <c r="M192" s="87"/>
      <c r="N192" s="87"/>
      <c r="O192" s="87"/>
      <c r="P192" s="88"/>
      <c r="Q192" s="88"/>
      <c r="R192" s="88"/>
      <c r="S192" s="88"/>
      <c r="T192" s="89"/>
    </row>
    <row r="194" spans="9:21" x14ac:dyDescent="0.25">
      <c r="K194" s="70"/>
      <c r="L194" s="70"/>
      <c r="M194" s="50"/>
      <c r="N194" s="50"/>
      <c r="O194" s="50"/>
      <c r="P194" s="50"/>
      <c r="Q194" s="50"/>
    </row>
    <row r="195" spans="9:21" ht="13.8" thickBot="1" x14ac:dyDescent="0.3">
      <c r="K195" s="10"/>
      <c r="L195" s="68"/>
      <c r="M195" s="72"/>
      <c r="N195" s="72"/>
      <c r="O195" s="72"/>
      <c r="P195" s="72"/>
      <c r="Q195" s="72"/>
    </row>
    <row r="196" spans="9:21" x14ac:dyDescent="0.25">
      <c r="I196" s="158" t="s">
        <v>210</v>
      </c>
      <c r="J196" s="159"/>
      <c r="K196" s="159"/>
      <c r="L196" s="159"/>
      <c r="M196" s="159"/>
      <c r="N196" s="159"/>
      <c r="O196" s="159"/>
      <c r="P196" s="159"/>
      <c r="Q196" s="159"/>
      <c r="R196" s="159"/>
      <c r="S196" s="159"/>
      <c r="T196" s="160"/>
    </row>
    <row r="197" spans="9:21" ht="13.8" thickBot="1" x14ac:dyDescent="0.3">
      <c r="I197" s="161"/>
      <c r="J197" s="162"/>
      <c r="K197" s="162"/>
      <c r="L197" s="162"/>
      <c r="M197" s="162"/>
      <c r="N197" s="162"/>
      <c r="O197" s="162"/>
      <c r="P197" s="162"/>
      <c r="Q197" s="162"/>
      <c r="R197" s="162"/>
      <c r="S197" s="162"/>
      <c r="T197" s="163"/>
    </row>
    <row r="198" spans="9:21" x14ac:dyDescent="0.25">
      <c r="K198" s="10"/>
      <c r="L198" s="68"/>
      <c r="M198" s="72"/>
      <c r="N198" s="72"/>
      <c r="O198" s="72"/>
      <c r="P198" s="72"/>
      <c r="Q198" s="72"/>
    </row>
    <row r="199" spans="9:21" x14ac:dyDescent="0.25">
      <c r="K199" s="10"/>
      <c r="L199" s="68"/>
      <c r="M199" s="72"/>
      <c r="N199" s="72"/>
      <c r="O199" s="72"/>
      <c r="P199" s="72"/>
      <c r="Q199" s="72"/>
    </row>
    <row r="200" spans="9:21" x14ac:dyDescent="0.25">
      <c r="K200" s="10"/>
      <c r="L200" s="68"/>
      <c r="M200" s="72"/>
      <c r="N200" s="72"/>
      <c r="O200" s="72"/>
      <c r="P200" s="72"/>
      <c r="Q200" s="72"/>
    </row>
    <row r="201" spans="9:21" x14ac:dyDescent="0.25">
      <c r="K201" s="10"/>
      <c r="L201" s="68"/>
      <c r="M201" s="72"/>
      <c r="N201" s="72"/>
      <c r="O201" s="72"/>
      <c r="P201" s="72"/>
      <c r="Q201" s="72"/>
    </row>
    <row r="202" spans="9:21" x14ac:dyDescent="0.25">
      <c r="K202" s="10"/>
      <c r="L202" s="68"/>
      <c r="M202" s="72"/>
      <c r="N202" s="72"/>
      <c r="O202" s="72"/>
      <c r="P202" s="72"/>
      <c r="Q202" s="72"/>
    </row>
    <row r="203" spans="9:21" x14ac:dyDescent="0.25">
      <c r="K203" s="10"/>
      <c r="Q203" s="72"/>
      <c r="R203" s="86"/>
    </row>
    <row r="205" spans="9:21" ht="13.8" thickBot="1" x14ac:dyDescent="0.3"/>
    <row r="206" spans="9:21" x14ac:dyDescent="0.25">
      <c r="K206" s="91"/>
      <c r="L206" s="170" t="s">
        <v>77</v>
      </c>
      <c r="M206" s="155"/>
      <c r="N206" s="155"/>
      <c r="O206" s="155"/>
      <c r="P206" s="171"/>
      <c r="Q206" s="170" t="s">
        <v>194</v>
      </c>
      <c r="R206" s="155"/>
      <c r="S206" s="155"/>
      <c r="T206" s="155"/>
      <c r="U206" s="156"/>
    </row>
    <row r="207" spans="9:21" x14ac:dyDescent="0.25">
      <c r="K207" s="93" t="s">
        <v>174</v>
      </c>
      <c r="L207" s="95" t="s">
        <v>120</v>
      </c>
      <c r="M207" s="96" t="s">
        <v>195</v>
      </c>
      <c r="N207" s="96" t="s">
        <v>196</v>
      </c>
      <c r="O207" s="96" t="s">
        <v>197</v>
      </c>
      <c r="P207" s="97" t="s">
        <v>198</v>
      </c>
      <c r="Q207" s="83" t="s">
        <v>120</v>
      </c>
      <c r="R207" s="83" t="s">
        <v>195</v>
      </c>
      <c r="S207" s="83" t="s">
        <v>196</v>
      </c>
      <c r="T207" s="83" t="s">
        <v>197</v>
      </c>
      <c r="U207" s="92" t="s">
        <v>198</v>
      </c>
    </row>
    <row r="208" spans="9:21" x14ac:dyDescent="0.25">
      <c r="K208" s="93"/>
      <c r="L208" s="36">
        <v>1</v>
      </c>
      <c r="M208" s="10">
        <v>2</v>
      </c>
      <c r="N208" s="10">
        <v>3</v>
      </c>
      <c r="O208" s="10">
        <v>4</v>
      </c>
      <c r="P208" s="33">
        <v>5</v>
      </c>
      <c r="Q208" s="10">
        <v>1</v>
      </c>
      <c r="R208" s="10">
        <v>2</v>
      </c>
      <c r="S208" s="10">
        <v>3</v>
      </c>
      <c r="T208" s="10">
        <v>4</v>
      </c>
      <c r="U208" s="11">
        <v>5</v>
      </c>
    </row>
    <row r="209" spans="11:21" x14ac:dyDescent="0.25">
      <c r="K209" s="93">
        <v>0</v>
      </c>
      <c r="L209" s="98">
        <f>HLOOKUP(1+TRUNC($K209/5),$L$185:$T$191,L$208+2)/5</f>
        <v>1213</v>
      </c>
      <c r="M209" s="59">
        <f t="shared" ref="M209:P224" si="41">HLOOKUP(1+TRUNC($K209/5),$L$185:$T$191,M$208+2)/5</f>
        <v>0</v>
      </c>
      <c r="N209" s="59">
        <f t="shared" si="41"/>
        <v>768.8</v>
      </c>
      <c r="O209" s="59">
        <f t="shared" si="41"/>
        <v>1229</v>
      </c>
      <c r="P209" s="99">
        <f t="shared" si="41"/>
        <v>763.97500000000002</v>
      </c>
      <c r="Q209" s="59">
        <f>HLOOKUP(1+TRUNC($K209/5),$L$172:$T$178,Q$208+2)/5</f>
        <v>12130</v>
      </c>
      <c r="R209" s="59">
        <f t="shared" ref="R209:U224" si="42">HLOOKUP(1+TRUNC($K209/5),$L$172:$T$178,R$208+2)/5</f>
        <v>0</v>
      </c>
      <c r="S209" s="59">
        <f t="shared" si="42"/>
        <v>16413.88</v>
      </c>
      <c r="T209" s="59">
        <f t="shared" si="42"/>
        <v>37767.17</v>
      </c>
      <c r="U209" s="54">
        <f t="shared" si="42"/>
        <v>46336.988499999999</v>
      </c>
    </row>
    <row r="210" spans="11:21" x14ac:dyDescent="0.25">
      <c r="K210" s="93">
        <v>1</v>
      </c>
      <c r="L210" s="98">
        <f t="shared" ref="L210:P241" si="43">HLOOKUP(1+TRUNC($K210/5),$L$185:$T$191,L$208+2)/5</f>
        <v>1213</v>
      </c>
      <c r="M210" s="59">
        <f t="shared" si="41"/>
        <v>0</v>
      </c>
      <c r="N210" s="59">
        <f t="shared" si="41"/>
        <v>768.8</v>
      </c>
      <c r="O210" s="59">
        <f t="shared" si="41"/>
        <v>1229</v>
      </c>
      <c r="P210" s="99">
        <f t="shared" si="41"/>
        <v>763.97500000000002</v>
      </c>
      <c r="Q210" s="59">
        <f t="shared" ref="Q210:U241" si="44">HLOOKUP(1+TRUNC($K210/5),$L$172:$T$178,Q$208+2)/5</f>
        <v>12130</v>
      </c>
      <c r="R210" s="59">
        <f t="shared" si="42"/>
        <v>0</v>
      </c>
      <c r="S210" s="59">
        <f t="shared" si="42"/>
        <v>16413.88</v>
      </c>
      <c r="T210" s="59">
        <f t="shared" si="42"/>
        <v>37767.17</v>
      </c>
      <c r="U210" s="54">
        <f t="shared" si="42"/>
        <v>46336.988499999999</v>
      </c>
    </row>
    <row r="211" spans="11:21" x14ac:dyDescent="0.25">
      <c r="K211" s="93">
        <v>2</v>
      </c>
      <c r="L211" s="98">
        <f t="shared" si="43"/>
        <v>1213</v>
      </c>
      <c r="M211" s="59">
        <f t="shared" si="41"/>
        <v>0</v>
      </c>
      <c r="N211" s="59">
        <f t="shared" si="41"/>
        <v>768.8</v>
      </c>
      <c r="O211" s="59">
        <f t="shared" si="41"/>
        <v>1229</v>
      </c>
      <c r="P211" s="99">
        <f t="shared" si="41"/>
        <v>763.97500000000002</v>
      </c>
      <c r="Q211" s="59">
        <f t="shared" si="44"/>
        <v>12130</v>
      </c>
      <c r="R211" s="59">
        <f t="shared" si="42"/>
        <v>0</v>
      </c>
      <c r="S211" s="59">
        <f t="shared" si="42"/>
        <v>16413.88</v>
      </c>
      <c r="T211" s="59">
        <f t="shared" si="42"/>
        <v>37767.17</v>
      </c>
      <c r="U211" s="54">
        <f t="shared" si="42"/>
        <v>46336.988499999999</v>
      </c>
    </row>
    <row r="212" spans="11:21" x14ac:dyDescent="0.25">
      <c r="K212" s="93">
        <v>3</v>
      </c>
      <c r="L212" s="98">
        <f t="shared" si="43"/>
        <v>1213</v>
      </c>
      <c r="M212" s="59">
        <f t="shared" si="41"/>
        <v>0</v>
      </c>
      <c r="N212" s="59">
        <f t="shared" si="41"/>
        <v>768.8</v>
      </c>
      <c r="O212" s="59">
        <f t="shared" si="41"/>
        <v>1229</v>
      </c>
      <c r="P212" s="99">
        <f t="shared" si="41"/>
        <v>763.97500000000002</v>
      </c>
      <c r="Q212" s="59">
        <f t="shared" si="44"/>
        <v>12130</v>
      </c>
      <c r="R212" s="59">
        <f t="shared" si="42"/>
        <v>0</v>
      </c>
      <c r="S212" s="59">
        <f t="shared" si="42"/>
        <v>16413.88</v>
      </c>
      <c r="T212" s="59">
        <f t="shared" si="42"/>
        <v>37767.17</v>
      </c>
      <c r="U212" s="54">
        <f t="shared" si="42"/>
        <v>46336.988499999999</v>
      </c>
    </row>
    <row r="213" spans="11:21" x14ac:dyDescent="0.25">
      <c r="K213" s="93">
        <v>4</v>
      </c>
      <c r="L213" s="98">
        <f t="shared" si="43"/>
        <v>1213</v>
      </c>
      <c r="M213" s="59">
        <f t="shared" si="41"/>
        <v>0</v>
      </c>
      <c r="N213" s="59">
        <f t="shared" si="41"/>
        <v>768.8</v>
      </c>
      <c r="O213" s="59">
        <f t="shared" si="41"/>
        <v>1229</v>
      </c>
      <c r="P213" s="99">
        <f t="shared" si="41"/>
        <v>763.97500000000002</v>
      </c>
      <c r="Q213" s="59">
        <f t="shared" si="44"/>
        <v>12130</v>
      </c>
      <c r="R213" s="59">
        <f t="shared" si="42"/>
        <v>0</v>
      </c>
      <c r="S213" s="59">
        <f t="shared" si="42"/>
        <v>16413.88</v>
      </c>
      <c r="T213" s="59">
        <f t="shared" si="42"/>
        <v>37767.17</v>
      </c>
      <c r="U213" s="54">
        <f t="shared" si="42"/>
        <v>46336.988499999999</v>
      </c>
    </row>
    <row r="214" spans="11:21" x14ac:dyDescent="0.25">
      <c r="K214" s="93">
        <v>5</v>
      </c>
      <c r="L214" s="98">
        <f t="shared" si="43"/>
        <v>763.97500000000002</v>
      </c>
      <c r="M214" s="59">
        <f t="shared" si="41"/>
        <v>0</v>
      </c>
      <c r="N214" s="59">
        <f t="shared" si="41"/>
        <v>0</v>
      </c>
      <c r="O214" s="59">
        <f t="shared" si="41"/>
        <v>0</v>
      </c>
      <c r="P214" s="99">
        <f t="shared" si="41"/>
        <v>763.97500000000002</v>
      </c>
      <c r="Q214" s="59">
        <f t="shared" si="44"/>
        <v>7639.75</v>
      </c>
      <c r="R214" s="59">
        <f t="shared" si="42"/>
        <v>0</v>
      </c>
      <c r="S214" s="59">
        <f t="shared" si="42"/>
        <v>0</v>
      </c>
      <c r="T214" s="59">
        <f t="shared" si="42"/>
        <v>0</v>
      </c>
      <c r="U214" s="54">
        <f t="shared" si="42"/>
        <v>46336.988499999999</v>
      </c>
    </row>
    <row r="215" spans="11:21" x14ac:dyDescent="0.25">
      <c r="K215" s="93">
        <v>6</v>
      </c>
      <c r="L215" s="98">
        <f t="shared" si="43"/>
        <v>763.97500000000002</v>
      </c>
      <c r="M215" s="59">
        <f t="shared" si="41"/>
        <v>0</v>
      </c>
      <c r="N215" s="59">
        <f t="shared" si="41"/>
        <v>0</v>
      </c>
      <c r="O215" s="59">
        <f t="shared" si="41"/>
        <v>0</v>
      </c>
      <c r="P215" s="99">
        <f t="shared" si="41"/>
        <v>763.97500000000002</v>
      </c>
      <c r="Q215" s="59">
        <f t="shared" si="44"/>
        <v>7639.75</v>
      </c>
      <c r="R215" s="59">
        <f t="shared" si="42"/>
        <v>0</v>
      </c>
      <c r="S215" s="59">
        <f t="shared" si="42"/>
        <v>0</v>
      </c>
      <c r="T215" s="59">
        <f t="shared" si="42"/>
        <v>0</v>
      </c>
      <c r="U215" s="54">
        <f t="shared" si="42"/>
        <v>46336.988499999999</v>
      </c>
    </row>
    <row r="216" spans="11:21" x14ac:dyDescent="0.25">
      <c r="K216" s="93">
        <v>7</v>
      </c>
      <c r="L216" s="98">
        <f t="shared" si="43"/>
        <v>763.97500000000002</v>
      </c>
      <c r="M216" s="59">
        <f t="shared" si="41"/>
        <v>0</v>
      </c>
      <c r="N216" s="59">
        <f t="shared" si="41"/>
        <v>0</v>
      </c>
      <c r="O216" s="59">
        <f t="shared" si="41"/>
        <v>0</v>
      </c>
      <c r="P216" s="99">
        <f t="shared" si="41"/>
        <v>763.97500000000002</v>
      </c>
      <c r="Q216" s="59">
        <f t="shared" si="44"/>
        <v>7639.75</v>
      </c>
      <c r="R216" s="59">
        <f t="shared" si="42"/>
        <v>0</v>
      </c>
      <c r="S216" s="59">
        <f t="shared" si="42"/>
        <v>0</v>
      </c>
      <c r="T216" s="59">
        <f t="shared" si="42"/>
        <v>0</v>
      </c>
      <c r="U216" s="54">
        <f t="shared" si="42"/>
        <v>46336.988499999999</v>
      </c>
    </row>
    <row r="217" spans="11:21" x14ac:dyDescent="0.25">
      <c r="K217" s="93">
        <v>8</v>
      </c>
      <c r="L217" s="98">
        <f t="shared" si="43"/>
        <v>763.97500000000002</v>
      </c>
      <c r="M217" s="59">
        <f t="shared" si="41"/>
        <v>0</v>
      </c>
      <c r="N217" s="59">
        <f t="shared" si="41"/>
        <v>0</v>
      </c>
      <c r="O217" s="59">
        <f t="shared" si="41"/>
        <v>0</v>
      </c>
      <c r="P217" s="99">
        <f t="shared" si="41"/>
        <v>763.97500000000002</v>
      </c>
      <c r="Q217" s="59">
        <f t="shared" si="44"/>
        <v>7639.75</v>
      </c>
      <c r="R217" s="59">
        <f t="shared" si="42"/>
        <v>0</v>
      </c>
      <c r="S217" s="59">
        <f t="shared" si="42"/>
        <v>0</v>
      </c>
      <c r="T217" s="59">
        <f t="shared" si="42"/>
        <v>0</v>
      </c>
      <c r="U217" s="54">
        <f t="shared" si="42"/>
        <v>46336.988499999999</v>
      </c>
    </row>
    <row r="218" spans="11:21" x14ac:dyDescent="0.25">
      <c r="K218" s="93">
        <v>9</v>
      </c>
      <c r="L218" s="98">
        <f t="shared" si="43"/>
        <v>763.97500000000002</v>
      </c>
      <c r="M218" s="59">
        <f t="shared" si="41"/>
        <v>0</v>
      </c>
      <c r="N218" s="59">
        <f t="shared" si="41"/>
        <v>0</v>
      </c>
      <c r="O218" s="59">
        <f t="shared" si="41"/>
        <v>0</v>
      </c>
      <c r="P218" s="99">
        <f t="shared" si="41"/>
        <v>763.97500000000002</v>
      </c>
      <c r="Q218" s="59">
        <f t="shared" si="44"/>
        <v>7639.75</v>
      </c>
      <c r="R218" s="59">
        <f t="shared" si="42"/>
        <v>0</v>
      </c>
      <c r="S218" s="59">
        <f t="shared" si="42"/>
        <v>0</v>
      </c>
      <c r="T218" s="59">
        <f t="shared" si="42"/>
        <v>0</v>
      </c>
      <c r="U218" s="54">
        <f t="shared" si="42"/>
        <v>46336.988499999999</v>
      </c>
    </row>
    <row r="219" spans="11:21" x14ac:dyDescent="0.25">
      <c r="K219" s="93">
        <v>10</v>
      </c>
      <c r="L219" s="98">
        <f t="shared" si="43"/>
        <v>763.97500000000002</v>
      </c>
      <c r="M219" s="59">
        <f t="shared" si="41"/>
        <v>1213</v>
      </c>
      <c r="N219" s="59">
        <f t="shared" si="41"/>
        <v>0</v>
      </c>
      <c r="O219" s="59">
        <f t="shared" si="41"/>
        <v>768.8</v>
      </c>
      <c r="P219" s="99">
        <f t="shared" si="41"/>
        <v>763.97500000000002</v>
      </c>
      <c r="Q219" s="59">
        <f t="shared" si="44"/>
        <v>7639.75</v>
      </c>
      <c r="R219" s="59">
        <f t="shared" si="42"/>
        <v>16982</v>
      </c>
      <c r="S219" s="59">
        <f t="shared" si="42"/>
        <v>0</v>
      </c>
      <c r="T219" s="59">
        <f t="shared" si="42"/>
        <v>23625.223999999998</v>
      </c>
      <c r="U219" s="54">
        <f t="shared" si="42"/>
        <v>46336.988499999999</v>
      </c>
    </row>
    <row r="220" spans="11:21" x14ac:dyDescent="0.25">
      <c r="K220" s="93">
        <v>11</v>
      </c>
      <c r="L220" s="98">
        <f t="shared" si="43"/>
        <v>763.97500000000002</v>
      </c>
      <c r="M220" s="59">
        <f t="shared" si="41"/>
        <v>1213</v>
      </c>
      <c r="N220" s="59">
        <f t="shared" si="41"/>
        <v>0</v>
      </c>
      <c r="O220" s="59">
        <f t="shared" si="41"/>
        <v>768.8</v>
      </c>
      <c r="P220" s="99">
        <f t="shared" si="41"/>
        <v>763.97500000000002</v>
      </c>
      <c r="Q220" s="59">
        <f t="shared" si="44"/>
        <v>7639.75</v>
      </c>
      <c r="R220" s="59">
        <f t="shared" si="42"/>
        <v>16982</v>
      </c>
      <c r="S220" s="59">
        <f t="shared" si="42"/>
        <v>0</v>
      </c>
      <c r="T220" s="59">
        <f t="shared" si="42"/>
        <v>23625.223999999998</v>
      </c>
      <c r="U220" s="54">
        <f t="shared" si="42"/>
        <v>46336.988499999999</v>
      </c>
    </row>
    <row r="221" spans="11:21" x14ac:dyDescent="0.25">
      <c r="K221" s="93">
        <v>12</v>
      </c>
      <c r="L221" s="98">
        <f t="shared" si="43"/>
        <v>763.97500000000002</v>
      </c>
      <c r="M221" s="59">
        <f t="shared" si="41"/>
        <v>1213</v>
      </c>
      <c r="N221" s="59">
        <f t="shared" si="41"/>
        <v>0</v>
      </c>
      <c r="O221" s="59">
        <f t="shared" si="41"/>
        <v>768.8</v>
      </c>
      <c r="P221" s="99">
        <f t="shared" si="41"/>
        <v>763.97500000000002</v>
      </c>
      <c r="Q221" s="59">
        <f t="shared" si="44"/>
        <v>7639.75</v>
      </c>
      <c r="R221" s="59">
        <f t="shared" si="42"/>
        <v>16982</v>
      </c>
      <c r="S221" s="59">
        <f t="shared" si="42"/>
        <v>0</v>
      </c>
      <c r="T221" s="59">
        <f t="shared" si="42"/>
        <v>23625.223999999998</v>
      </c>
      <c r="U221" s="54">
        <f t="shared" si="42"/>
        <v>46336.988499999999</v>
      </c>
    </row>
    <row r="222" spans="11:21" x14ac:dyDescent="0.25">
      <c r="K222" s="93">
        <v>13</v>
      </c>
      <c r="L222" s="98">
        <f t="shared" si="43"/>
        <v>763.97500000000002</v>
      </c>
      <c r="M222" s="59">
        <f t="shared" si="41"/>
        <v>1213</v>
      </c>
      <c r="N222" s="59">
        <f t="shared" si="41"/>
        <v>0</v>
      </c>
      <c r="O222" s="59">
        <f t="shared" si="41"/>
        <v>768.8</v>
      </c>
      <c r="P222" s="99">
        <f t="shared" si="41"/>
        <v>763.97500000000002</v>
      </c>
      <c r="Q222" s="59">
        <f t="shared" si="44"/>
        <v>7639.75</v>
      </c>
      <c r="R222" s="59">
        <f t="shared" si="42"/>
        <v>16982</v>
      </c>
      <c r="S222" s="59">
        <f t="shared" si="42"/>
        <v>0</v>
      </c>
      <c r="T222" s="59">
        <f t="shared" si="42"/>
        <v>23625.223999999998</v>
      </c>
      <c r="U222" s="54">
        <f t="shared" si="42"/>
        <v>46336.988499999999</v>
      </c>
    </row>
    <row r="223" spans="11:21" x14ac:dyDescent="0.25">
      <c r="K223" s="93">
        <v>14</v>
      </c>
      <c r="L223" s="98">
        <f t="shared" si="43"/>
        <v>763.97500000000002</v>
      </c>
      <c r="M223" s="59">
        <f t="shared" si="41"/>
        <v>1213</v>
      </c>
      <c r="N223" s="59">
        <f t="shared" si="41"/>
        <v>0</v>
      </c>
      <c r="O223" s="59">
        <f t="shared" si="41"/>
        <v>768.8</v>
      </c>
      <c r="P223" s="99">
        <f t="shared" si="41"/>
        <v>763.97500000000002</v>
      </c>
      <c r="Q223" s="59">
        <f t="shared" si="44"/>
        <v>7639.75</v>
      </c>
      <c r="R223" s="59">
        <f t="shared" si="42"/>
        <v>16982</v>
      </c>
      <c r="S223" s="59">
        <f t="shared" si="42"/>
        <v>0</v>
      </c>
      <c r="T223" s="59">
        <f t="shared" si="42"/>
        <v>23625.223999999998</v>
      </c>
      <c r="U223" s="54">
        <f t="shared" si="42"/>
        <v>46336.988499999999</v>
      </c>
    </row>
    <row r="224" spans="11:21" x14ac:dyDescent="0.25">
      <c r="K224" s="93">
        <v>15</v>
      </c>
      <c r="L224" s="98">
        <f t="shared" si="43"/>
        <v>763.97500000000002</v>
      </c>
      <c r="M224" s="59">
        <f t="shared" si="41"/>
        <v>283.625</v>
      </c>
      <c r="N224" s="59">
        <f t="shared" si="41"/>
        <v>1213</v>
      </c>
      <c r="O224" s="59">
        <f t="shared" si="41"/>
        <v>0</v>
      </c>
      <c r="P224" s="99">
        <f t="shared" si="41"/>
        <v>763.97500000000002</v>
      </c>
      <c r="Q224" s="59">
        <f t="shared" si="44"/>
        <v>7639.75</v>
      </c>
      <c r="R224" s="59">
        <f t="shared" si="42"/>
        <v>3970.75</v>
      </c>
      <c r="S224" s="59">
        <f t="shared" si="42"/>
        <v>25897.550000000003</v>
      </c>
      <c r="T224" s="59">
        <f t="shared" si="42"/>
        <v>0</v>
      </c>
      <c r="U224" s="54">
        <f t="shared" si="42"/>
        <v>46336.988499999992</v>
      </c>
    </row>
    <row r="225" spans="11:21" x14ac:dyDescent="0.25">
      <c r="K225" s="93">
        <v>16</v>
      </c>
      <c r="L225" s="98">
        <f t="shared" si="43"/>
        <v>763.97500000000002</v>
      </c>
      <c r="M225" s="59">
        <f t="shared" si="43"/>
        <v>283.625</v>
      </c>
      <c r="N225" s="59">
        <f t="shared" si="43"/>
        <v>1213</v>
      </c>
      <c r="O225" s="59">
        <f t="shared" si="43"/>
        <v>0</v>
      </c>
      <c r="P225" s="99">
        <f t="shared" si="43"/>
        <v>763.97500000000002</v>
      </c>
      <c r="Q225" s="59">
        <f t="shared" si="44"/>
        <v>7639.75</v>
      </c>
      <c r="R225" s="59">
        <f t="shared" si="44"/>
        <v>3970.75</v>
      </c>
      <c r="S225" s="59">
        <f t="shared" si="44"/>
        <v>25897.550000000003</v>
      </c>
      <c r="T225" s="59">
        <f t="shared" si="44"/>
        <v>0</v>
      </c>
      <c r="U225" s="54">
        <f t="shared" si="44"/>
        <v>46336.988499999992</v>
      </c>
    </row>
    <row r="226" spans="11:21" x14ac:dyDescent="0.25">
      <c r="K226" s="93">
        <v>17</v>
      </c>
      <c r="L226" s="98">
        <f t="shared" si="43"/>
        <v>763.97500000000002</v>
      </c>
      <c r="M226" s="59">
        <f t="shared" si="43"/>
        <v>283.625</v>
      </c>
      <c r="N226" s="59">
        <f t="shared" si="43"/>
        <v>1213</v>
      </c>
      <c r="O226" s="59">
        <f t="shared" si="43"/>
        <v>0</v>
      </c>
      <c r="P226" s="99">
        <f t="shared" si="43"/>
        <v>763.97500000000002</v>
      </c>
      <c r="Q226" s="59">
        <f t="shared" si="44"/>
        <v>7639.75</v>
      </c>
      <c r="R226" s="59">
        <f t="shared" si="44"/>
        <v>3970.75</v>
      </c>
      <c r="S226" s="59">
        <f t="shared" si="44"/>
        <v>25897.550000000003</v>
      </c>
      <c r="T226" s="59">
        <f t="shared" si="44"/>
        <v>0</v>
      </c>
      <c r="U226" s="54">
        <f t="shared" si="44"/>
        <v>46336.988499999992</v>
      </c>
    </row>
    <row r="227" spans="11:21" x14ac:dyDescent="0.25">
      <c r="K227" s="93">
        <v>18</v>
      </c>
      <c r="L227" s="98">
        <f t="shared" si="43"/>
        <v>763.97500000000002</v>
      </c>
      <c r="M227" s="59">
        <f t="shared" si="43"/>
        <v>283.625</v>
      </c>
      <c r="N227" s="59">
        <f t="shared" si="43"/>
        <v>1213</v>
      </c>
      <c r="O227" s="59">
        <f t="shared" si="43"/>
        <v>0</v>
      </c>
      <c r="P227" s="99">
        <f t="shared" si="43"/>
        <v>763.97500000000002</v>
      </c>
      <c r="Q227" s="59">
        <f t="shared" si="44"/>
        <v>7639.75</v>
      </c>
      <c r="R227" s="59">
        <f t="shared" si="44"/>
        <v>3970.75</v>
      </c>
      <c r="S227" s="59">
        <f t="shared" si="44"/>
        <v>25897.550000000003</v>
      </c>
      <c r="T227" s="59">
        <f t="shared" si="44"/>
        <v>0</v>
      </c>
      <c r="U227" s="54">
        <f t="shared" si="44"/>
        <v>46336.988499999992</v>
      </c>
    </row>
    <row r="228" spans="11:21" x14ac:dyDescent="0.25">
      <c r="K228" s="93">
        <v>19</v>
      </c>
      <c r="L228" s="98">
        <f t="shared" si="43"/>
        <v>763.97500000000002</v>
      </c>
      <c r="M228" s="59">
        <f t="shared" si="43"/>
        <v>283.625</v>
      </c>
      <c r="N228" s="59">
        <f t="shared" si="43"/>
        <v>1213</v>
      </c>
      <c r="O228" s="59">
        <f t="shared" si="43"/>
        <v>0</v>
      </c>
      <c r="P228" s="99">
        <f t="shared" si="43"/>
        <v>763.97500000000002</v>
      </c>
      <c r="Q228" s="59">
        <f t="shared" si="44"/>
        <v>7639.75</v>
      </c>
      <c r="R228" s="59">
        <f t="shared" si="44"/>
        <v>3970.75</v>
      </c>
      <c r="S228" s="59">
        <f t="shared" si="44"/>
        <v>25897.550000000003</v>
      </c>
      <c r="T228" s="59">
        <f t="shared" si="44"/>
        <v>0</v>
      </c>
      <c r="U228" s="54">
        <f t="shared" si="44"/>
        <v>46336.988499999992</v>
      </c>
    </row>
    <row r="229" spans="11:21" x14ac:dyDescent="0.25">
      <c r="K229" s="93">
        <v>20</v>
      </c>
      <c r="L229" s="98">
        <f t="shared" si="43"/>
        <v>763.97500000000002</v>
      </c>
      <c r="M229" s="59">
        <f t="shared" si="43"/>
        <v>283.625</v>
      </c>
      <c r="N229" s="59">
        <f t="shared" si="43"/>
        <v>283.625</v>
      </c>
      <c r="O229" s="59">
        <f t="shared" si="43"/>
        <v>0</v>
      </c>
      <c r="P229" s="99">
        <f t="shared" si="43"/>
        <v>763.97500000000002</v>
      </c>
      <c r="Q229" s="59">
        <f t="shared" si="44"/>
        <v>7639.75</v>
      </c>
      <c r="R229" s="59">
        <f t="shared" si="44"/>
        <v>3970.75</v>
      </c>
      <c r="S229" s="59">
        <f t="shared" si="44"/>
        <v>6055.3937500000011</v>
      </c>
      <c r="T229" s="59">
        <f t="shared" si="44"/>
        <v>0</v>
      </c>
      <c r="U229" s="54">
        <f t="shared" si="44"/>
        <v>81714.765999999989</v>
      </c>
    </row>
    <row r="230" spans="11:21" x14ac:dyDescent="0.25">
      <c r="K230" s="93">
        <v>21</v>
      </c>
      <c r="L230" s="98">
        <f t="shared" si="43"/>
        <v>763.97500000000002</v>
      </c>
      <c r="M230" s="59">
        <f t="shared" si="43"/>
        <v>283.625</v>
      </c>
      <c r="N230" s="59">
        <f t="shared" si="43"/>
        <v>283.625</v>
      </c>
      <c r="O230" s="59">
        <f t="shared" si="43"/>
        <v>0</v>
      </c>
      <c r="P230" s="99">
        <f t="shared" si="43"/>
        <v>763.97500000000002</v>
      </c>
      <c r="Q230" s="59">
        <f t="shared" si="44"/>
        <v>7639.75</v>
      </c>
      <c r="R230" s="59">
        <f t="shared" si="44"/>
        <v>3970.75</v>
      </c>
      <c r="S230" s="59">
        <f t="shared" si="44"/>
        <v>6055.3937500000011</v>
      </c>
      <c r="T230" s="59">
        <f t="shared" si="44"/>
        <v>0</v>
      </c>
      <c r="U230" s="54">
        <f t="shared" si="44"/>
        <v>81714.765999999989</v>
      </c>
    </row>
    <row r="231" spans="11:21" x14ac:dyDescent="0.25">
      <c r="K231" s="93">
        <v>22</v>
      </c>
      <c r="L231" s="98">
        <f t="shared" si="43"/>
        <v>763.97500000000002</v>
      </c>
      <c r="M231" s="59">
        <f t="shared" si="43"/>
        <v>283.625</v>
      </c>
      <c r="N231" s="59">
        <f t="shared" si="43"/>
        <v>283.625</v>
      </c>
      <c r="O231" s="59">
        <f t="shared" si="43"/>
        <v>0</v>
      </c>
      <c r="P231" s="99">
        <f t="shared" si="43"/>
        <v>763.97500000000002</v>
      </c>
      <c r="Q231" s="59">
        <f t="shared" si="44"/>
        <v>7639.75</v>
      </c>
      <c r="R231" s="59">
        <f t="shared" si="44"/>
        <v>3970.75</v>
      </c>
      <c r="S231" s="59">
        <f t="shared" si="44"/>
        <v>6055.3937500000011</v>
      </c>
      <c r="T231" s="59">
        <f t="shared" si="44"/>
        <v>0</v>
      </c>
      <c r="U231" s="54">
        <f t="shared" si="44"/>
        <v>81714.765999999989</v>
      </c>
    </row>
    <row r="232" spans="11:21" x14ac:dyDescent="0.25">
      <c r="K232" s="93">
        <v>23</v>
      </c>
      <c r="L232" s="98">
        <f t="shared" si="43"/>
        <v>763.97500000000002</v>
      </c>
      <c r="M232" s="59">
        <f t="shared" si="43"/>
        <v>283.625</v>
      </c>
      <c r="N232" s="59">
        <f t="shared" si="43"/>
        <v>283.625</v>
      </c>
      <c r="O232" s="59">
        <f t="shared" si="43"/>
        <v>0</v>
      </c>
      <c r="P232" s="99">
        <f t="shared" si="43"/>
        <v>763.97500000000002</v>
      </c>
      <c r="Q232" s="59">
        <f t="shared" si="44"/>
        <v>7639.75</v>
      </c>
      <c r="R232" s="59">
        <f t="shared" si="44"/>
        <v>3970.75</v>
      </c>
      <c r="S232" s="59">
        <f t="shared" si="44"/>
        <v>6055.3937500000011</v>
      </c>
      <c r="T232" s="59">
        <f t="shared" si="44"/>
        <v>0</v>
      </c>
      <c r="U232" s="54">
        <f t="shared" si="44"/>
        <v>81714.765999999989</v>
      </c>
    </row>
    <row r="233" spans="11:21" x14ac:dyDescent="0.25">
      <c r="K233" s="93">
        <v>24</v>
      </c>
      <c r="L233" s="98">
        <f t="shared" si="43"/>
        <v>763.97500000000002</v>
      </c>
      <c r="M233" s="59">
        <f t="shared" si="43"/>
        <v>283.625</v>
      </c>
      <c r="N233" s="59">
        <f t="shared" si="43"/>
        <v>283.625</v>
      </c>
      <c r="O233" s="59">
        <f t="shared" si="43"/>
        <v>0</v>
      </c>
      <c r="P233" s="99">
        <f t="shared" si="43"/>
        <v>763.97500000000002</v>
      </c>
      <c r="Q233" s="59">
        <f t="shared" si="44"/>
        <v>7639.75</v>
      </c>
      <c r="R233" s="59">
        <f t="shared" si="44"/>
        <v>3970.75</v>
      </c>
      <c r="S233" s="59">
        <f t="shared" si="44"/>
        <v>6055.3937500000011</v>
      </c>
      <c r="T233" s="59">
        <f t="shared" si="44"/>
        <v>0</v>
      </c>
      <c r="U233" s="54">
        <f t="shared" si="44"/>
        <v>81714.765999999989</v>
      </c>
    </row>
    <row r="234" spans="11:21" x14ac:dyDescent="0.25">
      <c r="K234" s="93">
        <v>25</v>
      </c>
      <c r="L234" s="98">
        <f t="shared" si="43"/>
        <v>763.97500000000002</v>
      </c>
      <c r="M234" s="59">
        <f t="shared" si="43"/>
        <v>283.625</v>
      </c>
      <c r="N234" s="59">
        <f t="shared" si="43"/>
        <v>283.625</v>
      </c>
      <c r="O234" s="59">
        <f t="shared" si="43"/>
        <v>1213</v>
      </c>
      <c r="P234" s="99">
        <f t="shared" si="43"/>
        <v>763.97500000000002</v>
      </c>
      <c r="Q234" s="59">
        <f t="shared" si="44"/>
        <v>7639.75</v>
      </c>
      <c r="R234" s="59">
        <f t="shared" si="44"/>
        <v>3970.75</v>
      </c>
      <c r="S234" s="59">
        <f t="shared" si="44"/>
        <v>6055.3937500000011</v>
      </c>
      <c r="T234" s="59">
        <f t="shared" si="44"/>
        <v>37275.490000000005</v>
      </c>
      <c r="U234" s="54">
        <f t="shared" si="44"/>
        <v>81714.765999999989</v>
      </c>
    </row>
    <row r="235" spans="11:21" x14ac:dyDescent="0.25">
      <c r="K235" s="93">
        <v>26</v>
      </c>
      <c r="L235" s="98">
        <f t="shared" si="43"/>
        <v>763.97500000000002</v>
      </c>
      <c r="M235" s="59">
        <f t="shared" si="43"/>
        <v>283.625</v>
      </c>
      <c r="N235" s="59">
        <f t="shared" si="43"/>
        <v>283.625</v>
      </c>
      <c r="O235" s="59">
        <f t="shared" si="43"/>
        <v>1213</v>
      </c>
      <c r="P235" s="99">
        <f t="shared" si="43"/>
        <v>763.97500000000002</v>
      </c>
      <c r="Q235" s="59">
        <f t="shared" si="44"/>
        <v>7639.75</v>
      </c>
      <c r="R235" s="59">
        <f t="shared" si="44"/>
        <v>3970.75</v>
      </c>
      <c r="S235" s="59">
        <f t="shared" si="44"/>
        <v>6055.3937500000011</v>
      </c>
      <c r="T235" s="59">
        <f t="shared" si="44"/>
        <v>37275.490000000005</v>
      </c>
      <c r="U235" s="54">
        <f t="shared" si="44"/>
        <v>81714.765999999989</v>
      </c>
    </row>
    <row r="236" spans="11:21" x14ac:dyDescent="0.25">
      <c r="K236" s="93">
        <v>27</v>
      </c>
      <c r="L236" s="98">
        <f t="shared" si="43"/>
        <v>763.97500000000002</v>
      </c>
      <c r="M236" s="59">
        <f t="shared" si="43"/>
        <v>283.625</v>
      </c>
      <c r="N236" s="59">
        <f t="shared" si="43"/>
        <v>283.625</v>
      </c>
      <c r="O236" s="59">
        <f t="shared" si="43"/>
        <v>1213</v>
      </c>
      <c r="P236" s="99">
        <f t="shared" si="43"/>
        <v>763.97500000000002</v>
      </c>
      <c r="Q236" s="59">
        <f t="shared" si="44"/>
        <v>7639.75</v>
      </c>
      <c r="R236" s="59">
        <f t="shared" si="44"/>
        <v>3970.75</v>
      </c>
      <c r="S236" s="59">
        <f t="shared" si="44"/>
        <v>6055.3937500000011</v>
      </c>
      <c r="T236" s="59">
        <f t="shared" si="44"/>
        <v>37275.490000000005</v>
      </c>
      <c r="U236" s="54">
        <f t="shared" si="44"/>
        <v>81714.765999999989</v>
      </c>
    </row>
    <row r="237" spans="11:21" x14ac:dyDescent="0.25">
      <c r="K237" s="93">
        <v>28</v>
      </c>
      <c r="L237" s="98">
        <f t="shared" si="43"/>
        <v>763.97500000000002</v>
      </c>
      <c r="M237" s="59">
        <f t="shared" si="43"/>
        <v>283.625</v>
      </c>
      <c r="N237" s="59">
        <f t="shared" si="43"/>
        <v>283.625</v>
      </c>
      <c r="O237" s="59">
        <f t="shared" si="43"/>
        <v>1213</v>
      </c>
      <c r="P237" s="99">
        <f t="shared" si="43"/>
        <v>763.97500000000002</v>
      </c>
      <c r="Q237" s="59">
        <f t="shared" si="44"/>
        <v>7639.75</v>
      </c>
      <c r="R237" s="59">
        <f t="shared" si="44"/>
        <v>3970.75</v>
      </c>
      <c r="S237" s="59">
        <f t="shared" si="44"/>
        <v>6055.3937500000011</v>
      </c>
      <c r="T237" s="59">
        <f t="shared" si="44"/>
        <v>37275.490000000005</v>
      </c>
      <c r="U237" s="54">
        <f t="shared" si="44"/>
        <v>81714.765999999989</v>
      </c>
    </row>
    <row r="238" spans="11:21" x14ac:dyDescent="0.25">
      <c r="K238" s="93">
        <v>29</v>
      </c>
      <c r="L238" s="98">
        <f t="shared" si="43"/>
        <v>763.97500000000002</v>
      </c>
      <c r="M238" s="59">
        <f t="shared" si="43"/>
        <v>283.625</v>
      </c>
      <c r="N238" s="59">
        <f t="shared" si="43"/>
        <v>283.625</v>
      </c>
      <c r="O238" s="59">
        <f t="shared" si="43"/>
        <v>1213</v>
      </c>
      <c r="P238" s="99">
        <f t="shared" si="43"/>
        <v>763.97500000000002</v>
      </c>
      <c r="Q238" s="59">
        <f t="shared" si="44"/>
        <v>7639.75</v>
      </c>
      <c r="R238" s="59">
        <f t="shared" si="44"/>
        <v>3970.75</v>
      </c>
      <c r="S238" s="59">
        <f t="shared" si="44"/>
        <v>6055.3937500000011</v>
      </c>
      <c r="T238" s="59">
        <f t="shared" si="44"/>
        <v>37275.490000000005</v>
      </c>
      <c r="U238" s="54">
        <f t="shared" si="44"/>
        <v>81714.765999999989</v>
      </c>
    </row>
    <row r="239" spans="11:21" x14ac:dyDescent="0.25">
      <c r="K239" s="93">
        <v>30</v>
      </c>
      <c r="L239" s="98">
        <f t="shared" si="43"/>
        <v>763.97500000000002</v>
      </c>
      <c r="M239" s="59">
        <f t="shared" si="43"/>
        <v>283.625</v>
      </c>
      <c r="N239" s="59">
        <f t="shared" si="43"/>
        <v>283.625</v>
      </c>
      <c r="O239" s="59">
        <f t="shared" si="43"/>
        <v>283.625</v>
      </c>
      <c r="P239" s="99">
        <f t="shared" si="43"/>
        <v>763.97500000000002</v>
      </c>
      <c r="Q239" s="59">
        <f t="shared" si="44"/>
        <v>7639.75</v>
      </c>
      <c r="R239" s="59">
        <f t="shared" si="44"/>
        <v>3970.75</v>
      </c>
      <c r="S239" s="59">
        <f t="shared" si="44"/>
        <v>6055.3937500000011</v>
      </c>
      <c r="T239" s="59">
        <f t="shared" si="44"/>
        <v>8715.7962499999994</v>
      </c>
      <c r="U239" s="54">
        <f t="shared" si="44"/>
        <v>81714.765999999989</v>
      </c>
    </row>
    <row r="240" spans="11:21" x14ac:dyDescent="0.25">
      <c r="K240" s="93">
        <v>31</v>
      </c>
      <c r="L240" s="98">
        <f t="shared" si="43"/>
        <v>763.97500000000002</v>
      </c>
      <c r="M240" s="59">
        <f t="shared" si="43"/>
        <v>283.625</v>
      </c>
      <c r="N240" s="59">
        <f t="shared" si="43"/>
        <v>283.625</v>
      </c>
      <c r="O240" s="59">
        <f t="shared" si="43"/>
        <v>283.625</v>
      </c>
      <c r="P240" s="99">
        <f t="shared" si="43"/>
        <v>763.97500000000002</v>
      </c>
      <c r="Q240" s="59">
        <f t="shared" si="44"/>
        <v>7639.75</v>
      </c>
      <c r="R240" s="59">
        <f t="shared" si="44"/>
        <v>3970.75</v>
      </c>
      <c r="S240" s="59">
        <f t="shared" si="44"/>
        <v>6055.3937500000011</v>
      </c>
      <c r="T240" s="59">
        <f t="shared" si="44"/>
        <v>8715.7962499999994</v>
      </c>
      <c r="U240" s="54">
        <f t="shared" si="44"/>
        <v>81714.765999999989</v>
      </c>
    </row>
    <row r="241" spans="11:21" x14ac:dyDescent="0.25">
      <c r="K241" s="93">
        <v>32</v>
      </c>
      <c r="L241" s="98">
        <f t="shared" si="43"/>
        <v>763.97500000000002</v>
      </c>
      <c r="M241" s="59">
        <f t="shared" si="43"/>
        <v>283.625</v>
      </c>
      <c r="N241" s="59">
        <f t="shared" si="43"/>
        <v>283.625</v>
      </c>
      <c r="O241" s="59">
        <f t="shared" si="43"/>
        <v>283.625</v>
      </c>
      <c r="P241" s="99">
        <f t="shared" si="43"/>
        <v>763.97500000000002</v>
      </c>
      <c r="Q241" s="59">
        <f t="shared" si="44"/>
        <v>7639.75</v>
      </c>
      <c r="R241" s="59">
        <f t="shared" si="44"/>
        <v>3970.75</v>
      </c>
      <c r="S241" s="59">
        <f t="shared" si="44"/>
        <v>6055.3937500000011</v>
      </c>
      <c r="T241" s="59">
        <f t="shared" si="44"/>
        <v>8715.7962499999994</v>
      </c>
      <c r="U241" s="54">
        <f t="shared" si="44"/>
        <v>81714.765999999989</v>
      </c>
    </row>
    <row r="242" spans="11:21" x14ac:dyDescent="0.25">
      <c r="K242" s="93">
        <v>33</v>
      </c>
      <c r="L242" s="98">
        <f t="shared" ref="L242:P253" si="45">HLOOKUP(1+TRUNC($K242/5),$L$185:$T$191,L$208+2)/5</f>
        <v>763.97500000000002</v>
      </c>
      <c r="M242" s="59">
        <f t="shared" si="45"/>
        <v>283.625</v>
      </c>
      <c r="N242" s="59">
        <f t="shared" si="45"/>
        <v>283.625</v>
      </c>
      <c r="O242" s="59">
        <f t="shared" si="45"/>
        <v>283.625</v>
      </c>
      <c r="P242" s="99">
        <f t="shared" si="45"/>
        <v>763.97500000000002</v>
      </c>
      <c r="Q242" s="59">
        <f t="shared" ref="Q242:U253" si="46">HLOOKUP(1+TRUNC($K242/5),$L$172:$T$178,Q$208+2)/5</f>
        <v>7639.75</v>
      </c>
      <c r="R242" s="59">
        <f t="shared" si="46"/>
        <v>3970.75</v>
      </c>
      <c r="S242" s="59">
        <f t="shared" si="46"/>
        <v>6055.3937500000011</v>
      </c>
      <c r="T242" s="59">
        <f t="shared" si="46"/>
        <v>8715.7962499999994</v>
      </c>
      <c r="U242" s="54">
        <f t="shared" si="46"/>
        <v>81714.765999999989</v>
      </c>
    </row>
    <row r="243" spans="11:21" x14ac:dyDescent="0.25">
      <c r="K243" s="93">
        <v>34</v>
      </c>
      <c r="L243" s="98">
        <f t="shared" si="45"/>
        <v>763.97500000000002</v>
      </c>
      <c r="M243" s="59">
        <f t="shared" si="45"/>
        <v>283.625</v>
      </c>
      <c r="N243" s="59">
        <f t="shared" si="45"/>
        <v>283.625</v>
      </c>
      <c r="O243" s="59">
        <f t="shared" si="45"/>
        <v>283.625</v>
      </c>
      <c r="P243" s="99">
        <f t="shared" si="45"/>
        <v>763.97500000000002</v>
      </c>
      <c r="Q243" s="59">
        <f t="shared" si="46"/>
        <v>7639.75</v>
      </c>
      <c r="R243" s="59">
        <f t="shared" si="46"/>
        <v>3970.75</v>
      </c>
      <c r="S243" s="59">
        <f t="shared" si="46"/>
        <v>6055.3937500000011</v>
      </c>
      <c r="T243" s="59">
        <f t="shared" si="46"/>
        <v>8715.7962499999994</v>
      </c>
      <c r="U243" s="54">
        <f t="shared" si="46"/>
        <v>81714.765999999989</v>
      </c>
    </row>
    <row r="244" spans="11:21" x14ac:dyDescent="0.25">
      <c r="K244" s="93">
        <v>35</v>
      </c>
      <c r="L244" s="98">
        <f t="shared" si="45"/>
        <v>763.97500000000002</v>
      </c>
      <c r="M244" s="59">
        <f t="shared" si="45"/>
        <v>763.97500000000002</v>
      </c>
      <c r="N244" s="59">
        <f t="shared" si="45"/>
        <v>283.625</v>
      </c>
      <c r="O244" s="59">
        <f t="shared" si="45"/>
        <v>283.625</v>
      </c>
      <c r="P244" s="99">
        <f t="shared" si="45"/>
        <v>763.97500000000002</v>
      </c>
      <c r="Q244" s="59">
        <f t="shared" si="46"/>
        <v>7639.75</v>
      </c>
      <c r="R244" s="59">
        <f t="shared" si="46"/>
        <v>10695.65</v>
      </c>
      <c r="S244" s="59">
        <f t="shared" si="46"/>
        <v>6055.3937500000011</v>
      </c>
      <c r="T244" s="59">
        <f t="shared" si="46"/>
        <v>8715.7962499999994</v>
      </c>
      <c r="U244" s="54">
        <f t="shared" si="46"/>
        <v>81714.765999999989</v>
      </c>
    </row>
    <row r="245" spans="11:21" x14ac:dyDescent="0.25">
      <c r="K245" s="93">
        <v>36</v>
      </c>
      <c r="L245" s="98">
        <f t="shared" si="45"/>
        <v>763.97500000000002</v>
      </c>
      <c r="M245" s="59">
        <f t="shared" si="45"/>
        <v>763.97500000000002</v>
      </c>
      <c r="N245" s="59">
        <f t="shared" si="45"/>
        <v>283.625</v>
      </c>
      <c r="O245" s="59">
        <f t="shared" si="45"/>
        <v>283.625</v>
      </c>
      <c r="P245" s="99">
        <f t="shared" si="45"/>
        <v>763.97500000000002</v>
      </c>
      <c r="Q245" s="59">
        <f t="shared" si="46"/>
        <v>7639.75</v>
      </c>
      <c r="R245" s="59">
        <f t="shared" si="46"/>
        <v>10695.65</v>
      </c>
      <c r="S245" s="59">
        <f t="shared" si="46"/>
        <v>6055.3937500000011</v>
      </c>
      <c r="T245" s="59">
        <f t="shared" si="46"/>
        <v>8715.7962499999994</v>
      </c>
      <c r="U245" s="54">
        <f t="shared" si="46"/>
        <v>81714.765999999989</v>
      </c>
    </row>
    <row r="246" spans="11:21" x14ac:dyDescent="0.25">
      <c r="K246" s="93">
        <v>37</v>
      </c>
      <c r="L246" s="98">
        <f t="shared" si="45"/>
        <v>763.97500000000002</v>
      </c>
      <c r="M246" s="59">
        <f t="shared" si="45"/>
        <v>763.97500000000002</v>
      </c>
      <c r="N246" s="59">
        <f t="shared" si="45"/>
        <v>283.625</v>
      </c>
      <c r="O246" s="59">
        <f t="shared" si="45"/>
        <v>283.625</v>
      </c>
      <c r="P246" s="99">
        <f t="shared" si="45"/>
        <v>763.97500000000002</v>
      </c>
      <c r="Q246" s="59">
        <f t="shared" si="46"/>
        <v>7639.75</v>
      </c>
      <c r="R246" s="59">
        <f t="shared" si="46"/>
        <v>10695.65</v>
      </c>
      <c r="S246" s="59">
        <f t="shared" si="46"/>
        <v>6055.3937500000011</v>
      </c>
      <c r="T246" s="59">
        <f t="shared" si="46"/>
        <v>8715.7962499999994</v>
      </c>
      <c r="U246" s="54">
        <f t="shared" si="46"/>
        <v>81714.765999999989</v>
      </c>
    </row>
    <row r="247" spans="11:21" x14ac:dyDescent="0.25">
      <c r="K247" s="93">
        <v>38</v>
      </c>
      <c r="L247" s="98">
        <f t="shared" si="45"/>
        <v>763.97500000000002</v>
      </c>
      <c r="M247" s="59">
        <f t="shared" si="45"/>
        <v>763.97500000000002</v>
      </c>
      <c r="N247" s="59">
        <f t="shared" si="45"/>
        <v>283.625</v>
      </c>
      <c r="O247" s="59">
        <f t="shared" si="45"/>
        <v>283.625</v>
      </c>
      <c r="P247" s="99">
        <f t="shared" si="45"/>
        <v>763.97500000000002</v>
      </c>
      <c r="Q247" s="59">
        <f t="shared" si="46"/>
        <v>7639.75</v>
      </c>
      <c r="R247" s="59">
        <f t="shared" si="46"/>
        <v>10695.65</v>
      </c>
      <c r="S247" s="59">
        <f t="shared" si="46"/>
        <v>6055.3937500000011</v>
      </c>
      <c r="T247" s="59">
        <f t="shared" si="46"/>
        <v>8715.7962499999994</v>
      </c>
      <c r="U247" s="54">
        <f t="shared" si="46"/>
        <v>81714.765999999989</v>
      </c>
    </row>
    <row r="248" spans="11:21" x14ac:dyDescent="0.25">
      <c r="K248" s="93">
        <v>39</v>
      </c>
      <c r="L248" s="98">
        <f t="shared" si="45"/>
        <v>763.97500000000002</v>
      </c>
      <c r="M248" s="59">
        <f t="shared" si="45"/>
        <v>763.97500000000002</v>
      </c>
      <c r="N248" s="59">
        <f t="shared" si="45"/>
        <v>283.625</v>
      </c>
      <c r="O248" s="59">
        <f t="shared" si="45"/>
        <v>283.625</v>
      </c>
      <c r="P248" s="99">
        <f t="shared" si="45"/>
        <v>763.97500000000002</v>
      </c>
      <c r="Q248" s="59">
        <f t="shared" si="46"/>
        <v>7639.75</v>
      </c>
      <c r="R248" s="59">
        <f t="shared" si="46"/>
        <v>10695.65</v>
      </c>
      <c r="S248" s="59">
        <f t="shared" si="46"/>
        <v>6055.3937500000011</v>
      </c>
      <c r="T248" s="59">
        <f t="shared" si="46"/>
        <v>8715.7962499999994</v>
      </c>
      <c r="U248" s="54">
        <f t="shared" si="46"/>
        <v>81714.765999999989</v>
      </c>
    </row>
    <row r="249" spans="11:21" x14ac:dyDescent="0.25">
      <c r="K249" s="93">
        <v>40</v>
      </c>
      <c r="L249" s="98">
        <f t="shared" si="45"/>
        <v>763.97500000000002</v>
      </c>
      <c r="M249" s="59">
        <f t="shared" si="45"/>
        <v>763.97500000000002</v>
      </c>
      <c r="N249" s="59">
        <f t="shared" si="45"/>
        <v>763.97500000000002</v>
      </c>
      <c r="O249" s="59">
        <f t="shared" si="45"/>
        <v>283.625</v>
      </c>
      <c r="P249" s="99">
        <f t="shared" si="45"/>
        <v>763.97500000000002</v>
      </c>
      <c r="Q249" s="59">
        <f t="shared" si="46"/>
        <v>7639.75</v>
      </c>
      <c r="R249" s="59">
        <f t="shared" si="46"/>
        <v>10695.65</v>
      </c>
      <c r="S249" s="59">
        <f t="shared" si="46"/>
        <v>16310.866250000001</v>
      </c>
      <c r="T249" s="59">
        <f t="shared" si="46"/>
        <v>8715.7962499999994</v>
      </c>
      <c r="U249" s="54">
        <f t="shared" si="46"/>
        <v>123045.24446246916</v>
      </c>
    </row>
    <row r="250" spans="11:21" x14ac:dyDescent="0.25">
      <c r="K250" s="93">
        <v>41</v>
      </c>
      <c r="L250" s="98">
        <f t="shared" si="45"/>
        <v>763.97500000000002</v>
      </c>
      <c r="M250" s="59">
        <f t="shared" si="45"/>
        <v>763.97500000000002</v>
      </c>
      <c r="N250" s="59">
        <f t="shared" si="45"/>
        <v>763.97500000000002</v>
      </c>
      <c r="O250" s="59">
        <f t="shared" si="45"/>
        <v>283.625</v>
      </c>
      <c r="P250" s="99">
        <f t="shared" si="45"/>
        <v>763.97500000000002</v>
      </c>
      <c r="Q250" s="59">
        <f t="shared" si="46"/>
        <v>7639.75</v>
      </c>
      <c r="R250" s="59">
        <f t="shared" si="46"/>
        <v>10695.65</v>
      </c>
      <c r="S250" s="59">
        <f t="shared" si="46"/>
        <v>16310.866250000001</v>
      </c>
      <c r="T250" s="59">
        <f t="shared" si="46"/>
        <v>8715.7962499999994</v>
      </c>
      <c r="U250" s="54">
        <f t="shared" si="46"/>
        <v>123045.24446246916</v>
      </c>
    </row>
    <row r="251" spans="11:21" x14ac:dyDescent="0.25">
      <c r="K251" s="93">
        <v>42</v>
      </c>
      <c r="L251" s="98">
        <f t="shared" si="45"/>
        <v>763.97500000000002</v>
      </c>
      <c r="M251" s="59">
        <f t="shared" si="45"/>
        <v>763.97500000000002</v>
      </c>
      <c r="N251" s="59">
        <f t="shared" si="45"/>
        <v>763.97500000000002</v>
      </c>
      <c r="O251" s="59">
        <f t="shared" si="45"/>
        <v>283.625</v>
      </c>
      <c r="P251" s="99">
        <f t="shared" si="45"/>
        <v>763.97500000000002</v>
      </c>
      <c r="Q251" s="59">
        <f t="shared" si="46"/>
        <v>7639.75</v>
      </c>
      <c r="R251" s="59">
        <f t="shared" si="46"/>
        <v>10695.65</v>
      </c>
      <c r="S251" s="59">
        <f t="shared" si="46"/>
        <v>16310.866250000001</v>
      </c>
      <c r="T251" s="59">
        <f t="shared" si="46"/>
        <v>8715.7962499999994</v>
      </c>
      <c r="U251" s="54">
        <f t="shared" si="46"/>
        <v>123045.24446246916</v>
      </c>
    </row>
    <row r="252" spans="11:21" x14ac:dyDescent="0.25">
      <c r="K252" s="93">
        <v>43</v>
      </c>
      <c r="L252" s="98">
        <f t="shared" si="45"/>
        <v>763.97500000000002</v>
      </c>
      <c r="M252" s="59">
        <f t="shared" si="45"/>
        <v>763.97500000000002</v>
      </c>
      <c r="N252" s="59">
        <f t="shared" si="45"/>
        <v>763.97500000000002</v>
      </c>
      <c r="O252" s="59">
        <f t="shared" si="45"/>
        <v>283.625</v>
      </c>
      <c r="P252" s="99">
        <f t="shared" si="45"/>
        <v>763.97500000000002</v>
      </c>
      <c r="Q252" s="59">
        <f t="shared" si="46"/>
        <v>7639.75</v>
      </c>
      <c r="R252" s="59">
        <f t="shared" si="46"/>
        <v>10695.65</v>
      </c>
      <c r="S252" s="59">
        <f t="shared" si="46"/>
        <v>16310.866250000001</v>
      </c>
      <c r="T252" s="59">
        <f t="shared" si="46"/>
        <v>8715.7962499999994</v>
      </c>
      <c r="U252" s="54">
        <f t="shared" si="46"/>
        <v>123045.24446246916</v>
      </c>
    </row>
    <row r="253" spans="11:21" x14ac:dyDescent="0.25">
      <c r="K253" s="93">
        <v>44</v>
      </c>
      <c r="L253" s="98">
        <f t="shared" si="45"/>
        <v>763.97500000000002</v>
      </c>
      <c r="M253" s="59">
        <f t="shared" si="45"/>
        <v>763.97500000000002</v>
      </c>
      <c r="N253" s="59">
        <f t="shared" si="45"/>
        <v>763.97500000000002</v>
      </c>
      <c r="O253" s="59">
        <f t="shared" si="45"/>
        <v>283.625</v>
      </c>
      <c r="P253" s="99">
        <f t="shared" si="45"/>
        <v>763.97500000000002</v>
      </c>
      <c r="Q253" s="59">
        <f t="shared" si="46"/>
        <v>7639.75</v>
      </c>
      <c r="R253" s="59">
        <f t="shared" si="46"/>
        <v>10695.65</v>
      </c>
      <c r="S253" s="59">
        <f t="shared" si="46"/>
        <v>16310.866250000001</v>
      </c>
      <c r="T253" s="59">
        <f t="shared" si="46"/>
        <v>8715.7962499999994</v>
      </c>
      <c r="U253" s="54">
        <f t="shared" si="46"/>
        <v>123045.24446246916</v>
      </c>
    </row>
    <row r="254" spans="11:21" x14ac:dyDescent="0.25">
      <c r="K254" s="93"/>
      <c r="L254" s="98"/>
      <c r="M254" s="59"/>
      <c r="N254" s="59"/>
      <c r="O254" s="59"/>
      <c r="P254" s="99"/>
      <c r="Q254" s="59"/>
      <c r="R254" s="59"/>
      <c r="S254" s="59"/>
      <c r="T254" s="59"/>
      <c r="U254" s="54"/>
    </row>
    <row r="255" spans="11:21" x14ac:dyDescent="0.25">
      <c r="K255" s="93"/>
      <c r="L255" s="98"/>
      <c r="M255" s="59"/>
      <c r="N255" s="59"/>
      <c r="O255" s="59"/>
      <c r="P255" s="99"/>
      <c r="Q255" s="59"/>
      <c r="R255" s="59"/>
      <c r="S255" s="59"/>
      <c r="T255" s="59"/>
      <c r="U255" s="54"/>
    </row>
    <row r="256" spans="11:21" x14ac:dyDescent="0.25">
      <c r="K256" s="93"/>
      <c r="L256" s="98"/>
      <c r="M256" s="59"/>
      <c r="N256" s="59"/>
      <c r="O256" s="59"/>
      <c r="P256" s="99"/>
      <c r="Q256" s="59"/>
      <c r="R256" s="59"/>
      <c r="S256" s="59"/>
      <c r="T256" s="59"/>
      <c r="U256" s="54"/>
    </row>
    <row r="257" spans="11:21" x14ac:dyDescent="0.25">
      <c r="K257" s="93"/>
      <c r="L257" s="98"/>
      <c r="M257" s="59"/>
      <c r="N257" s="59"/>
      <c r="O257" s="59"/>
      <c r="P257" s="99"/>
      <c r="Q257" s="59"/>
      <c r="R257" s="59"/>
      <c r="S257" s="59"/>
      <c r="T257" s="59"/>
      <c r="U257" s="54"/>
    </row>
    <row r="258" spans="11:21" x14ac:dyDescent="0.25">
      <c r="K258" s="93"/>
      <c r="L258" s="98"/>
      <c r="M258" s="59"/>
      <c r="N258" s="59"/>
      <c r="O258" s="59"/>
      <c r="P258" s="99"/>
      <c r="Q258" s="59"/>
      <c r="R258" s="59"/>
      <c r="S258" s="59"/>
      <c r="T258" s="59"/>
      <c r="U258" s="54"/>
    </row>
    <row r="259" spans="11:21" x14ac:dyDescent="0.25">
      <c r="K259" s="93"/>
      <c r="L259" s="98"/>
      <c r="M259" s="59"/>
      <c r="N259" s="59"/>
      <c r="O259" s="59"/>
      <c r="P259" s="99"/>
      <c r="Q259" s="59"/>
      <c r="R259" s="59"/>
      <c r="S259" s="59"/>
      <c r="T259" s="59"/>
      <c r="U259" s="54"/>
    </row>
    <row r="260" spans="11:21" x14ac:dyDescent="0.25">
      <c r="K260" s="93"/>
      <c r="L260" s="98"/>
      <c r="M260" s="59"/>
      <c r="N260" s="59"/>
      <c r="O260" s="59"/>
      <c r="P260" s="99"/>
      <c r="Q260" s="59"/>
      <c r="R260" s="59"/>
      <c r="S260" s="59"/>
      <c r="T260" s="59"/>
      <c r="U260" s="54"/>
    </row>
    <row r="261" spans="11:21" x14ac:dyDescent="0.25">
      <c r="K261" s="93"/>
      <c r="L261" s="98"/>
      <c r="M261" s="59"/>
      <c r="N261" s="59"/>
      <c r="O261" s="59"/>
      <c r="P261" s="99"/>
      <c r="Q261" s="59"/>
      <c r="R261" s="59"/>
      <c r="S261" s="59"/>
      <c r="T261" s="59"/>
      <c r="U261" s="54"/>
    </row>
    <row r="262" spans="11:21" x14ac:dyDescent="0.25">
      <c r="K262" s="93"/>
      <c r="L262" s="98"/>
      <c r="M262" s="59"/>
      <c r="N262" s="59"/>
      <c r="O262" s="59"/>
      <c r="P262" s="99"/>
      <c r="Q262" s="59"/>
      <c r="R262" s="59"/>
      <c r="S262" s="59"/>
      <c r="T262" s="59"/>
      <c r="U262" s="54"/>
    </row>
    <row r="263" spans="11:21" x14ac:dyDescent="0.25">
      <c r="K263" s="93"/>
      <c r="L263" s="98"/>
      <c r="M263" s="59"/>
      <c r="N263" s="59"/>
      <c r="O263" s="59"/>
      <c r="P263" s="99"/>
      <c r="Q263" s="59"/>
      <c r="R263" s="59"/>
      <c r="S263" s="59"/>
      <c r="T263" s="59"/>
      <c r="U263" s="54"/>
    </row>
    <row r="264" spans="11:21" ht="13.8" thickBot="1" x14ac:dyDescent="0.3">
      <c r="K264" s="94"/>
      <c r="L264" s="100"/>
      <c r="M264" s="64"/>
      <c r="N264" s="64"/>
      <c r="O264" s="64"/>
      <c r="P264" s="101"/>
      <c r="Q264" s="64"/>
      <c r="R264" s="64"/>
      <c r="S264" s="64"/>
      <c r="T264" s="64"/>
      <c r="U264" s="63"/>
    </row>
  </sheetData>
  <mergeCells count="19">
    <mergeCell ref="B3:F3"/>
    <mergeCell ref="I184:J184"/>
    <mergeCell ref="L184:T184"/>
    <mergeCell ref="L206:P206"/>
    <mergeCell ref="Q206:U206"/>
    <mergeCell ref="D21:G21"/>
    <mergeCell ref="C23:G23"/>
    <mergeCell ref="C24:G24"/>
    <mergeCell ref="L171:T171"/>
    <mergeCell ref="I171:J171"/>
    <mergeCell ref="I196:T197"/>
    <mergeCell ref="L4:T4"/>
    <mergeCell ref="I145:J145"/>
    <mergeCell ref="L145:T145"/>
    <mergeCell ref="L119:T119"/>
    <mergeCell ref="L96:T96"/>
    <mergeCell ref="L73:T73"/>
    <mergeCell ref="L50:T50"/>
    <mergeCell ref="L27:T27"/>
  </mergeCells>
  <printOptions gridLines="1"/>
  <pageMargins left="0.75" right="0.75" top="1.54" bottom="1" header="0.5" footer="0.5"/>
  <pageSetup scale="70" orientation="landscape" horizontalDpi="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60"/>
  <sheetViews>
    <sheetView topLeftCell="A3" zoomScale="82" workbookViewId="0">
      <selection activeCell="B3" sqref="B3"/>
    </sheetView>
  </sheetViews>
  <sheetFormatPr defaultRowHeight="13.2" x14ac:dyDescent="0.25"/>
  <cols>
    <col min="1" max="1" width="13.6640625" bestFit="1" customWidth="1"/>
    <col min="2" max="2" width="9" customWidth="1"/>
    <col min="3" max="3" width="10.88671875" bestFit="1" customWidth="1"/>
    <col min="4" max="4" width="5.6640625" customWidth="1"/>
    <col min="5" max="5" width="9.88671875" customWidth="1"/>
    <col min="6" max="6" width="12.88671875" bestFit="1" customWidth="1"/>
    <col min="7" max="7" width="12.88671875" customWidth="1"/>
    <col min="8" max="8" width="10.88671875" bestFit="1" customWidth="1"/>
    <col min="9" max="9" width="10.6640625" bestFit="1" customWidth="1"/>
    <col min="10" max="10" width="9.6640625" bestFit="1" customWidth="1"/>
    <col min="11" max="11" width="11.33203125" bestFit="1" customWidth="1"/>
    <col min="12" max="12" width="10.33203125" bestFit="1" customWidth="1"/>
    <col min="13" max="13" width="12.109375" bestFit="1" customWidth="1"/>
    <col min="14" max="14" width="10.5546875" bestFit="1" customWidth="1"/>
    <col min="15" max="15" width="12.109375" bestFit="1" customWidth="1"/>
  </cols>
  <sheetData>
    <row r="1" spans="1:15" x14ac:dyDescent="0.25">
      <c r="B1" s="1"/>
      <c r="C1" s="2"/>
      <c r="D1" s="2"/>
      <c r="E1" s="2"/>
      <c r="F1" s="2"/>
      <c r="G1" s="2"/>
      <c r="H1" s="2"/>
      <c r="I1" s="2"/>
      <c r="J1" s="2"/>
      <c r="K1" s="2"/>
    </row>
    <row r="2" spans="1:15" x14ac:dyDescent="0.25">
      <c r="B2" s="1"/>
      <c r="C2" s="2"/>
      <c r="D2" s="2"/>
      <c r="E2" s="2"/>
      <c r="F2" s="2"/>
      <c r="G2" s="2"/>
      <c r="H2" s="2"/>
      <c r="I2" s="2"/>
      <c r="J2" s="2"/>
      <c r="K2" s="2"/>
    </row>
    <row r="3" spans="1:15" x14ac:dyDescent="0.25">
      <c r="A3" s="3" t="s">
        <v>0</v>
      </c>
      <c r="B3" s="4">
        <f>IO.CONTROL!C4</f>
        <v>3</v>
      </c>
      <c r="C3" s="28"/>
      <c r="D3" s="28"/>
      <c r="E3" s="28"/>
      <c r="F3" s="28"/>
      <c r="G3" s="28"/>
      <c r="H3" s="28"/>
      <c r="I3" s="28"/>
      <c r="J3" s="28"/>
      <c r="K3" s="28"/>
      <c r="L3" s="28"/>
      <c r="M3" s="28"/>
      <c r="N3" s="28"/>
      <c r="O3" s="28"/>
    </row>
    <row r="4" spans="1:15" x14ac:dyDescent="0.25">
      <c r="A4" s="3"/>
      <c r="B4" s="5"/>
      <c r="C4" s="6"/>
      <c r="D4" s="6"/>
      <c r="E4" s="6"/>
      <c r="F4" s="6"/>
      <c r="G4" s="6"/>
      <c r="H4" s="6"/>
      <c r="I4" s="6"/>
      <c r="J4" s="6"/>
      <c r="K4" s="6"/>
    </row>
    <row r="5" spans="1:15" x14ac:dyDescent="0.25">
      <c r="A5" s="3" t="s">
        <v>1</v>
      </c>
      <c r="B5" s="7">
        <f>IF(B$3=1,24.8,IF(B$3=2,21.6,IF(B$3=3,18.4,IF(B$3=4,15.2,IF(B$3=5,12,0)))))</f>
        <v>18.399999999999999</v>
      </c>
      <c r="C5" s="6"/>
      <c r="D5" s="6"/>
      <c r="E5" s="6"/>
      <c r="F5" s="6"/>
      <c r="G5" s="6"/>
      <c r="H5" s="6"/>
      <c r="I5" s="6"/>
      <c r="J5" s="6"/>
      <c r="K5" s="6"/>
      <c r="L5" s="6"/>
      <c r="M5" s="6"/>
      <c r="N5" s="6"/>
      <c r="O5" s="28"/>
    </row>
    <row r="6" spans="1:15" x14ac:dyDescent="0.25">
      <c r="A6" s="3" t="s">
        <v>2</v>
      </c>
      <c r="B6" s="8">
        <f>IF(B$3=1,0.77667,IF(B$3=2,0.90332,IF(B$3=3,1.10192,IF(B$3=4,1.40869,IF(B$3=5,1.89171,0)))))</f>
        <v>1.10192</v>
      </c>
      <c r="C6" s="2"/>
      <c r="D6" s="2"/>
      <c r="E6" s="2"/>
      <c r="F6" s="2"/>
      <c r="G6" s="2"/>
      <c r="H6" s="2"/>
      <c r="I6" s="2"/>
      <c r="J6" s="2"/>
      <c r="K6" s="2"/>
    </row>
    <row r="7" spans="1:15" x14ac:dyDescent="0.25">
      <c r="A7" s="3" t="s">
        <v>3</v>
      </c>
      <c r="B7" s="8">
        <f>IF(B$3=1,0.16197,IF(B$3=2,0.17,IF(B$3=3,0.17803,IF(B$3=4,0.18606,IF(B$3=5,0.194,0)))))</f>
        <v>0.17802999999999999</v>
      </c>
      <c r="C7" s="2"/>
      <c r="D7" s="2"/>
      <c r="E7" s="2"/>
      <c r="F7" s="2"/>
      <c r="G7" s="2"/>
      <c r="H7" s="2"/>
      <c r="I7" s="2"/>
      <c r="J7" s="2"/>
      <c r="K7" s="2"/>
    </row>
    <row r="8" spans="1:15" ht="13.8" thickBot="1" x14ac:dyDescent="0.3">
      <c r="B8" s="1"/>
      <c r="C8" s="2"/>
      <c r="D8" s="2"/>
      <c r="E8" s="2"/>
      <c r="F8" s="2"/>
      <c r="G8" s="2"/>
      <c r="H8" s="2"/>
      <c r="I8" s="2"/>
      <c r="J8" s="2"/>
      <c r="K8" s="2"/>
    </row>
    <row r="9" spans="1:15" x14ac:dyDescent="0.25">
      <c r="B9" s="157" t="s">
        <v>4</v>
      </c>
      <c r="C9" s="155"/>
      <c r="D9" s="155"/>
      <c r="E9" s="155"/>
      <c r="F9" s="155"/>
      <c r="G9" s="173"/>
      <c r="H9" s="170" t="s">
        <v>5</v>
      </c>
      <c r="I9" s="155"/>
      <c r="J9" s="155"/>
      <c r="K9" s="155"/>
      <c r="L9" s="174"/>
      <c r="M9" s="150"/>
      <c r="N9" s="151"/>
      <c r="O9" s="164"/>
    </row>
    <row r="10" spans="1:15" x14ac:dyDescent="0.25">
      <c r="B10" s="9" t="s">
        <v>6</v>
      </c>
      <c r="C10" s="10" t="s">
        <v>7</v>
      </c>
      <c r="D10" s="10" t="s">
        <v>8</v>
      </c>
      <c r="E10" s="10" t="s">
        <v>9</v>
      </c>
      <c r="F10" s="10" t="s">
        <v>10</v>
      </c>
      <c r="G10" s="33" t="s">
        <v>11</v>
      </c>
      <c r="H10" s="36" t="s">
        <v>7</v>
      </c>
      <c r="I10" s="10" t="s">
        <v>12</v>
      </c>
      <c r="J10" s="10" t="s">
        <v>13</v>
      </c>
      <c r="K10" s="10" t="s">
        <v>14</v>
      </c>
      <c r="L10" s="11" t="s">
        <v>11</v>
      </c>
      <c r="M10" s="10"/>
      <c r="N10" s="10"/>
      <c r="O10" s="10"/>
    </row>
    <row r="11" spans="1:15" x14ac:dyDescent="0.25">
      <c r="B11" s="9">
        <v>1</v>
      </c>
      <c r="C11" s="12">
        <f>EXP(6.375-0.0356*B11+0.0381*$B$5)</f>
        <v>1141.8899276784118</v>
      </c>
      <c r="D11" s="13">
        <f>200*SQRT(F11/(3.1416*C11))</f>
        <v>1.0223984150420604</v>
      </c>
      <c r="E11" s="13">
        <f>(B11/(B$6+B$7*B11))^2</f>
        <v>0.61039924900993359</v>
      </c>
      <c r="F11" s="14">
        <f>EXP(2.013*LN(B11)-0.0464*B11+0.0611*$B$5-3.445)</f>
        <v>9.3746588886897603E-2</v>
      </c>
      <c r="G11" s="34">
        <f>(0.1315*B11+0.335*$B$5-3.4)*F11</f>
        <v>0.27144324812201198</v>
      </c>
      <c r="H11" s="37"/>
      <c r="I11" s="15"/>
      <c r="J11" s="15"/>
      <c r="K11" s="15"/>
      <c r="L11" s="43"/>
      <c r="M11" s="15"/>
      <c r="N11" s="15"/>
      <c r="O11" s="15"/>
    </row>
    <row r="12" spans="1:15" x14ac:dyDescent="0.25">
      <c r="B12" s="9">
        <v>2</v>
      </c>
      <c r="C12" s="12">
        <f>EXP(6.375-0.0356*B12+0.0381*$B$5)</f>
        <v>1101.9537283079026</v>
      </c>
      <c r="D12" s="13">
        <f>200*SQRT(F12/(3.1416*C12))</f>
        <v>2.0429684886132584</v>
      </c>
      <c r="E12" s="13">
        <f t="shared" ref="E12:E60" si="0">(B12/(B$6+B$7*B12))^2</f>
        <v>1.8817280477169862</v>
      </c>
      <c r="F12" s="14">
        <f>EXP(2.013*LN(B12)-0.0464*B12+0.0611*$B$5-3.445)</f>
        <v>0.36122482681780688</v>
      </c>
      <c r="G12" s="34">
        <f>(0.1315*B12+0.335*$B$5-3.4)*F12</f>
        <v>1.0934275507775013</v>
      </c>
      <c r="H12" s="38">
        <f>C11-C12</f>
        <v>39.936199370509257</v>
      </c>
      <c r="I12" s="16">
        <f>G11/C11</f>
        <v>2.3771402264129436E-4</v>
      </c>
      <c r="J12" s="14">
        <f>H12*I12</f>
        <v>9.4933946013684833E-3</v>
      </c>
      <c r="K12" s="17">
        <f>J12/2</f>
        <v>4.7466973006842416E-3</v>
      </c>
      <c r="L12" s="18">
        <f>K12+L11</f>
        <v>4.7466973006842416E-3</v>
      </c>
      <c r="M12" s="13"/>
      <c r="N12" s="14"/>
      <c r="O12" s="14"/>
    </row>
    <row r="13" spans="1:15" x14ac:dyDescent="0.25">
      <c r="B13" s="9">
        <v>3</v>
      </c>
      <c r="C13" s="12">
        <f>EXP(6.375-0.0356*B13+0.0381*$B$5)</f>
        <v>1063.4142485173661</v>
      </c>
      <c r="D13" s="13">
        <f>200*SQRT(F13/(3.1416*C13))</f>
        <v>3.0559928234428311</v>
      </c>
      <c r="E13" s="13">
        <f t="shared" si="0"/>
        <v>3.3625643290925509</v>
      </c>
      <c r="F13" s="14">
        <f>EXP(2.013*LN(B13)-0.0464*B13+0.0611*$B$5-3.445)</f>
        <v>0.78000615920649341</v>
      </c>
      <c r="G13" s="34">
        <f>(0.1315*B13+0.335*$B$5-3.4)*F13</f>
        <v>2.463649453853709</v>
      </c>
      <c r="H13" s="38">
        <f>C12-C13</f>
        <v>38.539479790536461</v>
      </c>
      <c r="I13" s="16">
        <f>G12/C12</f>
        <v>9.9226267191500545E-4</v>
      </c>
      <c r="J13" s="14">
        <f>H13*I13</f>
        <v>3.8241287191172063E-2</v>
      </c>
      <c r="K13" s="17">
        <f>J13/2</f>
        <v>1.9120643595586032E-2</v>
      </c>
      <c r="L13" s="18">
        <f>K13+L12</f>
        <v>2.3867340896270274E-2</v>
      </c>
      <c r="M13" s="13"/>
      <c r="N13" s="14"/>
      <c r="O13" s="14"/>
    </row>
    <row r="14" spans="1:15" x14ac:dyDescent="0.25">
      <c r="B14" s="9">
        <v>4</v>
      </c>
      <c r="C14" s="12">
        <f>EXP(6.375-0.0356*B14+0.0381*$B$5)</f>
        <v>1026.2226397529616</v>
      </c>
      <c r="D14" s="13">
        <f>200*SQRT(F14/(3.1416*C14))</f>
        <v>4.0602986453419136</v>
      </c>
      <c r="E14" s="13">
        <f t="shared" si="0"/>
        <v>4.8621266179153588</v>
      </c>
      <c r="F14" s="14">
        <f>EXP(2.013*LN(B14)-0.0464*B14+0.0611*$B$5-3.445)</f>
        <v>1.3287658099074542</v>
      </c>
      <c r="G14" s="34">
        <f>(0.1315*B14+0.335*$B$5-3.4)*F14</f>
        <v>4.3716395145955236</v>
      </c>
      <c r="H14" s="38">
        <f>C13-C14</f>
        <v>37.191608764404464</v>
      </c>
      <c r="I14" s="16">
        <f>G13/C13</f>
        <v>2.3167354182893258E-3</v>
      </c>
      <c r="J14" s="14">
        <f>H14*I14</f>
        <v>8.6163117287655536E-2</v>
      </c>
      <c r="K14" s="17">
        <f>J14/2</f>
        <v>4.3081558643827768E-2</v>
      </c>
      <c r="L14" s="18">
        <f>K14+L13</f>
        <v>6.6948899540098042E-2</v>
      </c>
      <c r="M14" s="13"/>
      <c r="N14" s="14"/>
      <c r="O14" s="14"/>
    </row>
    <row r="15" spans="1:15" x14ac:dyDescent="0.25">
      <c r="B15" s="9">
        <v>5</v>
      </c>
      <c r="C15" s="12">
        <f>EXP(6.375-0.0356*B15+0.0381*$B$5)</f>
        <v>990.33176187909555</v>
      </c>
      <c r="D15" s="13">
        <f>200*SQRT(F15/(3.1416*C15))</f>
        <v>5.055367313686939</v>
      </c>
      <c r="E15" s="13">
        <f t="shared" si="0"/>
        <v>6.2998588390957506</v>
      </c>
      <c r="F15" s="14">
        <f>EXP(2.013*LN(B15)-0.0464*B15+0.0611*$B$5-3.445)</f>
        <v>1.9878199142341324</v>
      </c>
      <c r="G15" s="34">
        <f>(0.1315*B15+0.335*$B$5-3.4)*F15</f>
        <v>6.801325836552083</v>
      </c>
      <c r="H15" s="38">
        <f>C14-C15</f>
        <v>35.890877873866089</v>
      </c>
      <c r="I15" s="16">
        <f>G14/C14</f>
        <v>4.2599328306067094E-3</v>
      </c>
      <c r="J15" s="14">
        <f>H15*I15</f>
        <v>0.15289272897417808</v>
      </c>
      <c r="K15" s="17">
        <f>J15/2</f>
        <v>7.6446364487089039E-2</v>
      </c>
      <c r="L15" s="18">
        <f>K15+L14</f>
        <v>0.14339526402718708</v>
      </c>
      <c r="M15" s="13"/>
      <c r="N15" s="14"/>
      <c r="O15" s="14"/>
    </row>
    <row r="16" spans="1:15" x14ac:dyDescent="0.25">
      <c r="B16" s="9">
        <v>6</v>
      </c>
      <c r="C16" s="12">
        <f t="shared" ref="C16:C60" si="1">EXP(6.375-0.0356*B16+0.0381*$B$5)</f>
        <v>955.69612342858409</v>
      </c>
      <c r="D16" s="13">
        <f t="shared" ref="D16:D60" si="2">200*SQRT(F16/(3.1416*C16))</f>
        <v>6.0409250861965056</v>
      </c>
      <c r="E16" s="13">
        <f t="shared" si="0"/>
        <v>7.644393012590756</v>
      </c>
      <c r="F16" s="14">
        <f t="shared" ref="F16:F60" si="3">EXP(2.013*LN(B16)-0.0464*B16+0.0611*$B$5-3.445)</f>
        <v>2.7391613901271996</v>
      </c>
      <c r="G16" s="34">
        <f t="shared" ref="G16:G60" si="4">(0.1315*B16+0.335*$B$5-3.4)*F16</f>
        <v>9.732240419121938</v>
      </c>
      <c r="H16" s="38">
        <f>C15-C16</f>
        <v>34.635638450511465</v>
      </c>
      <c r="I16" s="16">
        <f>G15/C15</f>
        <v>6.8677246336591004E-3</v>
      </c>
      <c r="J16" s="14">
        <f>H16*I16</f>
        <v>0.23786802738908791</v>
      </c>
      <c r="K16" s="17">
        <f>J16/2</f>
        <v>0.11893401369454396</v>
      </c>
      <c r="L16" s="18">
        <f>K16+L15</f>
        <v>0.26232927772173104</v>
      </c>
      <c r="M16" s="13"/>
      <c r="N16" s="14"/>
      <c r="O16" s="14"/>
    </row>
    <row r="17" spans="2:15" x14ac:dyDescent="0.25">
      <c r="B17" s="9">
        <v>7</v>
      </c>
      <c r="C17" s="12">
        <f t="shared" si="1"/>
        <v>922.27182394249951</v>
      </c>
      <c r="D17" s="13">
        <f t="shared" si="2"/>
        <v>7.0168178632261835</v>
      </c>
      <c r="E17" s="13">
        <f t="shared" si="0"/>
        <v>8.8869309478300842</v>
      </c>
      <c r="F17" s="14">
        <f t="shared" si="3"/>
        <v>3.5664015920373142</v>
      </c>
      <c r="G17" s="34">
        <f t="shared" si="4"/>
        <v>13.140406665861486</v>
      </c>
      <c r="H17" s="38">
        <f t="shared" ref="H17:H60" si="5">C16-C17</f>
        <v>33.424299486084578</v>
      </c>
      <c r="I17" s="16">
        <f t="shared" ref="I17:I60" si="6">G16/C16</f>
        <v>1.0183404725141376E-2</v>
      </c>
      <c r="J17" s="14">
        <f t="shared" ref="J17:J60" si="7">H17*I17</f>
        <v>0.34037316932113415</v>
      </c>
      <c r="K17" s="17">
        <f t="shared" ref="K17:K60" si="8">J17/2</f>
        <v>0.17018658466056708</v>
      </c>
      <c r="L17" s="18">
        <f t="shared" ref="L17:L60" si="9">K17+L16</f>
        <v>0.43251586238229811</v>
      </c>
      <c r="M17" s="13"/>
      <c r="N17" s="14"/>
      <c r="O17" s="14"/>
    </row>
    <row r="18" spans="2:15" x14ac:dyDescent="0.25">
      <c r="B18" s="9">
        <v>8</v>
      </c>
      <c r="C18" s="12">
        <f t="shared" si="1"/>
        <v>890.01649832661155</v>
      </c>
      <c r="D18" s="13">
        <f t="shared" si="2"/>
        <v>7.9829591706062413</v>
      </c>
      <c r="E18" s="13">
        <f t="shared" si="0"/>
        <v>10.029014651446676</v>
      </c>
      <c r="F18" s="14">
        <f t="shared" si="3"/>
        <v>4.4546826481465835</v>
      </c>
      <c r="G18" s="34">
        <f t="shared" si="4"/>
        <v>16.999068985327359</v>
      </c>
      <c r="H18" s="38">
        <f t="shared" si="5"/>
        <v>32.255325615887955</v>
      </c>
      <c r="I18" s="16">
        <f t="shared" si="6"/>
        <v>1.4247867412547936E-2</v>
      </c>
      <c r="J18" s="14">
        <f t="shared" si="7"/>
        <v>0.45956960272373265</v>
      </c>
      <c r="K18" s="17">
        <f t="shared" si="8"/>
        <v>0.22978480136186633</v>
      </c>
      <c r="L18" s="18">
        <f t="shared" si="9"/>
        <v>0.66230066374416441</v>
      </c>
      <c r="M18" s="13"/>
      <c r="N18" s="14"/>
      <c r="O18" s="14"/>
    </row>
    <row r="19" spans="2:15" x14ac:dyDescent="0.25">
      <c r="B19" s="9">
        <v>9</v>
      </c>
      <c r="C19" s="12">
        <f t="shared" si="1"/>
        <v>858.88926315388471</v>
      </c>
      <c r="D19" s="13">
        <f t="shared" si="2"/>
        <v>8.9393045157114344</v>
      </c>
      <c r="E19" s="13">
        <f t="shared" si="0"/>
        <v>11.076705623431092</v>
      </c>
      <c r="F19" s="14">
        <f t="shared" si="3"/>
        <v>5.3905804763496867</v>
      </c>
      <c r="G19" s="34">
        <f t="shared" si="4"/>
        <v>21.279316430390388</v>
      </c>
      <c r="H19" s="38">
        <f t="shared" si="5"/>
        <v>31.127235172726841</v>
      </c>
      <c r="I19" s="16">
        <f t="shared" si="6"/>
        <v>1.9099723451518724E-2</v>
      </c>
      <c r="J19" s="14">
        <f t="shared" si="7"/>
        <v>0.59452158360946938</v>
      </c>
      <c r="K19" s="17">
        <f t="shared" si="8"/>
        <v>0.29726079180473469</v>
      </c>
      <c r="L19" s="18">
        <f t="shared" si="9"/>
        <v>0.95956145554889916</v>
      </c>
      <c r="M19" s="13"/>
      <c r="N19" s="14"/>
      <c r="O19" s="14"/>
    </row>
    <row r="20" spans="2:15" x14ac:dyDescent="0.25">
      <c r="B20" s="9">
        <v>10</v>
      </c>
      <c r="C20" s="12">
        <f t="shared" si="1"/>
        <v>828.85066484499191</v>
      </c>
      <c r="D20" s="13">
        <f t="shared" si="2"/>
        <v>9.8858372344885836</v>
      </c>
      <c r="E20" s="13">
        <f t="shared" si="0"/>
        <v>12.037761791752422</v>
      </c>
      <c r="F20" s="14">
        <f t="shared" si="3"/>
        <v>6.3620063548145103</v>
      </c>
      <c r="G20" s="34">
        <f t="shared" si="4"/>
        <v>25.950623921288379</v>
      </c>
      <c r="H20" s="38">
        <f t="shared" si="5"/>
        <v>30.038598308892801</v>
      </c>
      <c r="I20" s="16">
        <f t="shared" si="6"/>
        <v>2.4775389963837321E-2</v>
      </c>
      <c r="J20" s="14">
        <f t="shared" si="7"/>
        <v>0.7442179870698834</v>
      </c>
      <c r="K20" s="17">
        <f t="shared" si="8"/>
        <v>0.3721089935349417</v>
      </c>
      <c r="L20" s="18">
        <f t="shared" si="9"/>
        <v>1.3316704490838409</v>
      </c>
      <c r="M20" s="13"/>
      <c r="N20" s="14"/>
      <c r="O20" s="14"/>
    </row>
    <row r="21" spans="2:15" x14ac:dyDescent="0.25">
      <c r="B21" s="9">
        <v>11</v>
      </c>
      <c r="C21" s="12">
        <f t="shared" si="1"/>
        <v>799.86262966113929</v>
      </c>
      <c r="D21" s="13">
        <f t="shared" si="2"/>
        <v>10.822560023318186</v>
      </c>
      <c r="E21" s="13">
        <f t="shared" si="0"/>
        <v>12.920269039776619</v>
      </c>
      <c r="F21" s="14">
        <f t="shared" si="3"/>
        <v>7.3581105728854421</v>
      </c>
      <c r="G21" s="34">
        <f t="shared" si="4"/>
        <v>30.981324567134152</v>
      </c>
      <c r="H21" s="38">
        <f t="shared" si="5"/>
        <v>28.988035183852617</v>
      </c>
      <c r="I21" s="16">
        <f t="shared" si="6"/>
        <v>3.1309167045358591E-2</v>
      </c>
      <c r="J21" s="14">
        <f t="shared" si="7"/>
        <v>0.90759123588797375</v>
      </c>
      <c r="K21" s="17">
        <f t="shared" si="8"/>
        <v>0.45379561794398687</v>
      </c>
      <c r="L21" s="18">
        <f t="shared" si="9"/>
        <v>1.7854660670278277</v>
      </c>
      <c r="M21" s="13"/>
      <c r="N21" s="14"/>
      <c r="O21" s="14"/>
    </row>
    <row r="22" spans="2:15" x14ac:dyDescent="0.25">
      <c r="B22" s="9">
        <v>12</v>
      </c>
      <c r="C22" s="12">
        <f t="shared" si="1"/>
        <v>771.88841544584204</v>
      </c>
      <c r="D22" s="13">
        <f t="shared" si="2"/>
        <v>11.749489553824535</v>
      </c>
      <c r="E22" s="13">
        <f t="shared" si="0"/>
        <v>13.731996905957114</v>
      </c>
      <c r="F22" s="14">
        <f t="shared" si="3"/>
        <v>8.3691898359499355</v>
      </c>
      <c r="G22" s="34">
        <f t="shared" si="4"/>
        <v>36.339022267694624</v>
      </c>
      <c r="H22" s="38">
        <f t="shared" si="5"/>
        <v>27.974214215297252</v>
      </c>
      <c r="I22" s="16">
        <f t="shared" si="6"/>
        <v>3.8733306718254042E-2</v>
      </c>
      <c r="J22" s="14">
        <f t="shared" si="7"/>
        <v>1.0835338194032507</v>
      </c>
      <c r="K22" s="17">
        <f t="shared" si="8"/>
        <v>0.54176690970162533</v>
      </c>
      <c r="L22" s="18">
        <f t="shared" si="9"/>
        <v>2.3272329767294533</v>
      </c>
      <c r="M22" s="13"/>
      <c r="N22" s="14"/>
      <c r="O22" s="14"/>
    </row>
    <row r="23" spans="2:15" x14ac:dyDescent="0.25">
      <c r="B23" s="9">
        <v>13</v>
      </c>
      <c r="C23" s="12">
        <f t="shared" si="1"/>
        <v>744.89256505446144</v>
      </c>
      <c r="D23" s="13">
        <f t="shared" si="2"/>
        <v>12.666652880704406</v>
      </c>
      <c r="E23" s="13">
        <f t="shared" si="0"/>
        <v>14.480119974808881</v>
      </c>
      <c r="F23" s="14">
        <f t="shared" si="3"/>
        <v>9.3865992138374637</v>
      </c>
      <c r="G23" s="34">
        <f t="shared" si="4"/>
        <v>41.990951583101889</v>
      </c>
      <c r="H23" s="38">
        <f t="shared" si="5"/>
        <v>26.9958503913806</v>
      </c>
      <c r="I23" s="16">
        <f t="shared" si="6"/>
        <v>4.7078077012861035E-2</v>
      </c>
      <c r="J23" s="14">
        <f t="shared" si="7"/>
        <v>1.2709127237530906</v>
      </c>
      <c r="K23" s="17">
        <f t="shared" si="8"/>
        <v>0.63545636187654531</v>
      </c>
      <c r="L23" s="18">
        <f t="shared" si="9"/>
        <v>2.9626893386059985</v>
      </c>
      <c r="M23" s="13"/>
      <c r="N23" s="14"/>
      <c r="O23" s="14"/>
    </row>
    <row r="24" spans="2:15" x14ac:dyDescent="0.25">
      <c r="B24" s="9">
        <v>14</v>
      </c>
      <c r="C24" s="12">
        <f t="shared" si="1"/>
        <v>718.84086141249452</v>
      </c>
      <c r="D24" s="13">
        <f t="shared" si="2"/>
        <v>13.574084951562051</v>
      </c>
      <c r="E24" s="13">
        <f t="shared" si="0"/>
        <v>15.171124045605328</v>
      </c>
      <c r="F24" s="14">
        <f t="shared" si="3"/>
        <v>10.402668965440601</v>
      </c>
      <c r="G24" s="34">
        <f t="shared" si="4"/>
        <v>47.90429058585395</v>
      </c>
      <c r="H24" s="38">
        <f t="shared" si="5"/>
        <v>26.051703641966924</v>
      </c>
      <c r="I24" s="16">
        <f t="shared" si="6"/>
        <v>5.637182266684565E-2</v>
      </c>
      <c r="J24" s="14">
        <f t="shared" si="7"/>
        <v>1.4685820178741764</v>
      </c>
      <c r="K24" s="17">
        <f t="shared" si="8"/>
        <v>0.73429100893708821</v>
      </c>
      <c r="L24" s="18">
        <f t="shared" si="9"/>
        <v>3.6969803475430867</v>
      </c>
      <c r="M24" s="13"/>
      <c r="N24" s="14"/>
      <c r="O24" s="14"/>
    </row>
    <row r="25" spans="2:15" x14ac:dyDescent="0.25">
      <c r="B25" s="9">
        <v>15</v>
      </c>
      <c r="C25" s="12">
        <f t="shared" si="1"/>
        <v>693.70028414564422</v>
      </c>
      <c r="D25" s="13">
        <f t="shared" si="2"/>
        <v>14.471826825083864</v>
      </c>
      <c r="E25" s="13">
        <f t="shared" si="0"/>
        <v>15.81080393783725</v>
      </c>
      <c r="F25" s="14">
        <f t="shared" si="3"/>
        <v>11.410626322869335</v>
      </c>
      <c r="G25" s="34">
        <f t="shared" si="4"/>
        <v>54.0464315782706</v>
      </c>
      <c r="H25" s="38">
        <f t="shared" si="5"/>
        <v>25.1405772668503</v>
      </c>
      <c r="I25" s="16">
        <f t="shared" si="6"/>
        <v>6.6641023288136217E-2</v>
      </c>
      <c r="J25" s="14">
        <f t="shared" si="7"/>
        <v>1.6753937951173588</v>
      </c>
      <c r="K25" s="17">
        <f t="shared" si="8"/>
        <v>0.83769689755867938</v>
      </c>
      <c r="L25" s="18">
        <f t="shared" si="9"/>
        <v>4.5346772451017658</v>
      </c>
      <c r="M25" s="13"/>
      <c r="N25" s="14"/>
      <c r="O25" s="14"/>
    </row>
    <row r="26" spans="2:15" x14ac:dyDescent="0.25">
      <c r="B26" s="9">
        <v>16</v>
      </c>
      <c r="C26" s="12">
        <f t="shared" si="1"/>
        <v>669.43896772669302</v>
      </c>
      <c r="D26" s="13">
        <f t="shared" si="2"/>
        <v>15.359924361740457</v>
      </c>
      <c r="E26" s="13">
        <f t="shared" si="0"/>
        <v>16.404304423863604</v>
      </c>
      <c r="F26" s="14">
        <f t="shared" si="3"/>
        <v>12.404522177595327</v>
      </c>
      <c r="G26" s="34">
        <f t="shared" si="4"/>
        <v>60.385213960534053</v>
      </c>
      <c r="H26" s="38">
        <f t="shared" si="5"/>
        <v>24.261316418951196</v>
      </c>
      <c r="I26" s="16">
        <f t="shared" si="6"/>
        <v>7.7910349488805181E-2</v>
      </c>
      <c r="J26" s="14">
        <f t="shared" si="7"/>
        <v>1.890207641258975</v>
      </c>
      <c r="K26" s="17">
        <f t="shared" si="8"/>
        <v>0.9451038206294875</v>
      </c>
      <c r="L26" s="18">
        <f t="shared" si="9"/>
        <v>5.4797810657312533</v>
      </c>
      <c r="M26" s="13"/>
      <c r="N26" s="14"/>
      <c r="O26" s="14"/>
    </row>
    <row r="27" spans="2:15" x14ac:dyDescent="0.25">
      <c r="B27" s="9">
        <v>17</v>
      </c>
      <c r="C27" s="12">
        <f t="shared" si="1"/>
        <v>646.02616108614814</v>
      </c>
      <c r="D27" s="13">
        <f t="shared" si="2"/>
        <v>16.23842723973376</v>
      </c>
      <c r="E27" s="13">
        <f t="shared" si="0"/>
        <v>16.95617898475248</v>
      </c>
      <c r="F27" s="14">
        <f t="shared" si="3"/>
        <v>13.379162530332573</v>
      </c>
      <c r="G27" s="34">
        <f t="shared" si="4"/>
        <v>66.889123070397687</v>
      </c>
      <c r="H27" s="38">
        <f t="shared" si="5"/>
        <v>23.412806640544886</v>
      </c>
      <c r="I27" s="16">
        <f t="shared" si="6"/>
        <v>9.0202717307587457E-2</v>
      </c>
      <c r="J27" s="14">
        <f t="shared" si="7"/>
        <v>2.1118987787742767</v>
      </c>
      <c r="K27" s="17">
        <f t="shared" si="8"/>
        <v>1.0559493893871383</v>
      </c>
      <c r="L27" s="18">
        <f t="shared" si="9"/>
        <v>6.5357304551183919</v>
      </c>
      <c r="M27" s="13"/>
      <c r="N27" s="14"/>
      <c r="O27" s="14"/>
    </row>
    <row r="28" spans="2:15" x14ac:dyDescent="0.25">
      <c r="B28" s="9">
        <v>18</v>
      </c>
      <c r="C28" s="12">
        <f t="shared" si="1"/>
        <v>623.4321886354453</v>
      </c>
      <c r="D28" s="13">
        <f t="shared" si="2"/>
        <v>17.107388200888519</v>
      </c>
      <c r="E28" s="13">
        <f t="shared" si="0"/>
        <v>17.470453349041087</v>
      </c>
      <c r="F28" s="14">
        <f t="shared" si="3"/>
        <v>14.330044520583359</v>
      </c>
      <c r="G28" s="34">
        <f t="shared" si="4"/>
        <v>73.527458435113189</v>
      </c>
      <c r="H28" s="38">
        <f t="shared" si="5"/>
        <v>22.593972450702836</v>
      </c>
      <c r="I28" s="16">
        <f t="shared" si="6"/>
        <v>0.10353934112813423</v>
      </c>
      <c r="J28" s="14">
        <f t="shared" si="7"/>
        <v>2.3393650210129877</v>
      </c>
      <c r="K28" s="17">
        <f t="shared" si="8"/>
        <v>1.1696825105064939</v>
      </c>
      <c r="L28" s="18">
        <f t="shared" si="9"/>
        <v>7.7054129656248858</v>
      </c>
      <c r="M28" s="13"/>
      <c r="N28" s="14"/>
      <c r="O28" s="14"/>
    </row>
    <row r="29" spans="2:15" x14ac:dyDescent="0.25">
      <c r="B29" s="9">
        <v>19</v>
      </c>
      <c r="C29" s="12">
        <f t="shared" si="1"/>
        <v>601.6284126533269</v>
      </c>
      <c r="D29" s="13">
        <f t="shared" si="2"/>
        <v>17.966862462922084</v>
      </c>
      <c r="E29" s="13">
        <f t="shared" si="0"/>
        <v>17.950687319694786</v>
      </c>
      <c r="F29" s="14">
        <f t="shared" si="3"/>
        <v>15.253296826943028</v>
      </c>
      <c r="G29" s="34">
        <f t="shared" si="4"/>
        <v>80.270474551787672</v>
      </c>
      <c r="H29" s="38">
        <f t="shared" si="5"/>
        <v>21.803775982118395</v>
      </c>
      <c r="I29" s="16">
        <f t="shared" si="6"/>
        <v>0.11793978523317585</v>
      </c>
      <c r="J29" s="14">
        <f t="shared" si="7"/>
        <v>2.5715326566033214</v>
      </c>
      <c r="K29" s="17">
        <f t="shared" si="8"/>
        <v>1.2857663283016607</v>
      </c>
      <c r="L29" s="18">
        <f t="shared" si="9"/>
        <v>8.991179293926546</v>
      </c>
      <c r="M29" s="13"/>
      <c r="N29" s="14"/>
      <c r="O29" s="14"/>
    </row>
    <row r="30" spans="2:15" x14ac:dyDescent="0.25">
      <c r="B30" s="9">
        <v>20</v>
      </c>
      <c r="C30" s="12">
        <f t="shared" si="1"/>
        <v>580.58719698770255</v>
      </c>
      <c r="D30" s="13">
        <f t="shared" si="2"/>
        <v>18.816907254562214</v>
      </c>
      <c r="E30" s="13">
        <f t="shared" si="0"/>
        <v>18.400031896116737</v>
      </c>
      <c r="F30" s="14">
        <f t="shared" si="3"/>
        <v>16.145624217385755</v>
      </c>
      <c r="G30" s="34">
        <f t="shared" si="4"/>
        <v>87.089497028578762</v>
      </c>
      <c r="H30" s="38">
        <f t="shared" si="5"/>
        <v>21.04121566562435</v>
      </c>
      <c r="I30" s="16">
        <f t="shared" si="6"/>
        <v>0.13342201409301041</v>
      </c>
      <c r="J30" s="14">
        <f t="shared" si="7"/>
        <v>2.8073613730730034</v>
      </c>
      <c r="K30" s="17">
        <f t="shared" si="8"/>
        <v>1.4036806865365017</v>
      </c>
      <c r="L30" s="18">
        <f t="shared" si="9"/>
        <v>10.394859980463048</v>
      </c>
      <c r="M30" s="13"/>
      <c r="N30" s="14"/>
      <c r="O30" s="14"/>
    </row>
    <row r="31" spans="2:15" x14ac:dyDescent="0.25">
      <c r="B31" s="9">
        <v>21</v>
      </c>
      <c r="C31" s="12">
        <f t="shared" si="1"/>
        <v>560.28187202699769</v>
      </c>
      <c r="D31" s="13">
        <f t="shared" si="2"/>
        <v>19.657581443005537</v>
      </c>
      <c r="E31" s="13">
        <f t="shared" si="0"/>
        <v>18.821280556693484</v>
      </c>
      <c r="F31" s="14">
        <f t="shared" si="3"/>
        <v>17.004256025046018</v>
      </c>
      <c r="G31" s="34">
        <f t="shared" si="4"/>
        <v>93.957016666391766</v>
      </c>
      <c r="H31" s="38">
        <f t="shared" si="5"/>
        <v>20.305324960704866</v>
      </c>
      <c r="I31" s="16">
        <f t="shared" si="6"/>
        <v>0.15000244146000935</v>
      </c>
      <c r="J31" s="14">
        <f t="shared" si="7"/>
        <v>3.0458483187445982</v>
      </c>
      <c r="K31" s="17">
        <f t="shared" si="8"/>
        <v>1.5229241593722991</v>
      </c>
      <c r="L31" s="18">
        <f t="shared" si="9"/>
        <v>11.917784139835348</v>
      </c>
      <c r="M31" s="13"/>
      <c r="N31" s="14"/>
      <c r="O31" s="14"/>
    </row>
    <row r="32" spans="2:15" x14ac:dyDescent="0.25">
      <c r="B32" s="9">
        <v>22</v>
      </c>
      <c r="C32" s="12">
        <f t="shared" si="1"/>
        <v>540.6867008965861</v>
      </c>
      <c r="D32" s="13">
        <f t="shared" si="2"/>
        <v>20.488945231896185</v>
      </c>
      <c r="E32" s="13">
        <f t="shared" si="0"/>
        <v>19.216914531440192</v>
      </c>
      <c r="F32" s="14">
        <f t="shared" si="3"/>
        <v>17.826898326501301</v>
      </c>
      <c r="G32" s="34">
        <f t="shared" si="4"/>
        <v>100.84676383301786</v>
      </c>
      <c r="H32" s="38">
        <f t="shared" si="5"/>
        <v>19.595171130411586</v>
      </c>
      <c r="I32" s="16">
        <f t="shared" si="6"/>
        <v>0.16769597832332572</v>
      </c>
      <c r="J32" s="14">
        <f t="shared" si="7"/>
        <v>3.2860313931273595</v>
      </c>
      <c r="K32" s="17">
        <f t="shared" si="8"/>
        <v>1.6430156965636797</v>
      </c>
      <c r="L32" s="18">
        <f t="shared" si="9"/>
        <v>13.560799836399028</v>
      </c>
      <c r="M32" s="13"/>
      <c r="N32" s="14"/>
      <c r="O32" s="14"/>
    </row>
    <row r="33" spans="2:15" x14ac:dyDescent="0.25">
      <c r="B33" s="9">
        <v>23</v>
      </c>
      <c r="C33" s="12">
        <f t="shared" si="1"/>
        <v>521.7768468374569</v>
      </c>
      <c r="D33" s="13">
        <f t="shared" si="2"/>
        <v>21.311059913929896</v>
      </c>
      <c r="E33" s="13">
        <f t="shared" si="0"/>
        <v>19.589142369933853</v>
      </c>
      <c r="F33" s="14">
        <f t="shared" si="3"/>
        <v>18.611689604363846</v>
      </c>
      <c r="G33" s="34">
        <f t="shared" si="4"/>
        <v>107.7337652748601</v>
      </c>
      <c r="H33" s="38">
        <f t="shared" si="5"/>
        <v>18.909854059129202</v>
      </c>
      <c r="I33" s="16">
        <f t="shared" si="6"/>
        <v>0.18651607976632334</v>
      </c>
      <c r="J33" s="14">
        <f t="shared" si="7"/>
        <v>3.5269918480620754</v>
      </c>
      <c r="K33" s="17">
        <f t="shared" si="8"/>
        <v>1.7634959240310377</v>
      </c>
      <c r="L33" s="18">
        <f t="shared" si="9"/>
        <v>15.324295760430065</v>
      </c>
      <c r="M33" s="13"/>
      <c r="N33" s="14"/>
      <c r="O33" s="14"/>
    </row>
    <row r="34" spans="2:15" x14ac:dyDescent="0.25">
      <c r="B34" s="9">
        <v>24</v>
      </c>
      <c r="C34" s="12">
        <f t="shared" si="1"/>
        <v>503.52834172577604</v>
      </c>
      <c r="D34" s="13">
        <f t="shared" si="2"/>
        <v>22.123987666315493</v>
      </c>
      <c r="E34" s="13">
        <f t="shared" si="0"/>
        <v>19.939934319925676</v>
      </c>
      <c r="F34" s="14">
        <f t="shared" si="3"/>
        <v>19.357159682881477</v>
      </c>
      <c r="G34" s="34">
        <f t="shared" si="4"/>
        <v>114.59438532265834</v>
      </c>
      <c r="H34" s="38">
        <f t="shared" si="5"/>
        <v>18.248505111680856</v>
      </c>
      <c r="I34" s="16">
        <f t="shared" si="6"/>
        <v>0.20647479076131017</v>
      </c>
      <c r="J34" s="14">
        <f t="shared" si="7"/>
        <v>3.7678562746410038</v>
      </c>
      <c r="K34" s="17">
        <f t="shared" si="8"/>
        <v>1.8839281373205019</v>
      </c>
      <c r="L34" s="18">
        <f t="shared" si="9"/>
        <v>17.208223897750567</v>
      </c>
      <c r="M34" s="13"/>
      <c r="N34" s="14"/>
      <c r="O34" s="14"/>
    </row>
    <row r="35" spans="2:15" x14ac:dyDescent="0.25">
      <c r="B35" s="9">
        <v>25</v>
      </c>
      <c r="C35" s="12">
        <f t="shared" si="1"/>
        <v>485.91805569343859</v>
      </c>
      <c r="D35" s="13">
        <f t="shared" si="2"/>
        <v>22.927791380251776</v>
      </c>
      <c r="E35" s="13">
        <f t="shared" si="0"/>
        <v>20.271052100271113</v>
      </c>
      <c r="F35" s="14">
        <f t="shared" si="3"/>
        <v>20.062191733417972</v>
      </c>
      <c r="G35" s="34">
        <f t="shared" si="4"/>
        <v>121.40635327477884</v>
      </c>
      <c r="H35" s="38">
        <f t="shared" si="5"/>
        <v>17.610286032337456</v>
      </c>
      <c r="I35" s="16">
        <f t="shared" si="6"/>
        <v>0.227582790930698</v>
      </c>
      <c r="J35" s="14">
        <f t="shared" si="7"/>
        <v>4.0077980443272461</v>
      </c>
      <c r="K35" s="17">
        <f t="shared" si="8"/>
        <v>2.003899022163623</v>
      </c>
      <c r="L35" s="18">
        <f t="shared" si="9"/>
        <v>19.21212291991419</v>
      </c>
      <c r="M35" s="13"/>
      <c r="N35" s="14"/>
      <c r="O35" s="14"/>
    </row>
    <row r="36" spans="2:15" x14ac:dyDescent="0.25">
      <c r="B36" s="9">
        <v>26</v>
      </c>
      <c r="C36" s="12">
        <f t="shared" si="1"/>
        <v>468.92366781109928</v>
      </c>
      <c r="D36" s="13">
        <f t="shared" si="2"/>
        <v>23.722534517687173</v>
      </c>
      <c r="E36" s="13">
        <f t="shared" si="0"/>
        <v>20.584074646680246</v>
      </c>
      <c r="F36" s="14">
        <f t="shared" si="3"/>
        <v>20.725987155588157</v>
      </c>
      <c r="G36" s="34">
        <f t="shared" si="4"/>
        <v>128.14877858300159</v>
      </c>
      <c r="H36" s="38">
        <f t="shared" si="5"/>
        <v>16.994387882339311</v>
      </c>
      <c r="I36" s="16">
        <f t="shared" si="6"/>
        <v>0.24984943829988698</v>
      </c>
      <c r="J36" s="14">
        <f t="shared" si="7"/>
        <v>4.2460382666528824</v>
      </c>
      <c r="K36" s="17">
        <f t="shared" si="8"/>
        <v>2.1230191333264412</v>
      </c>
      <c r="L36" s="18">
        <f t="shared" si="9"/>
        <v>21.335142053240631</v>
      </c>
      <c r="M36" s="13"/>
      <c r="N36" s="14"/>
      <c r="O36" s="14"/>
    </row>
    <row r="37" spans="2:15" x14ac:dyDescent="0.25">
      <c r="B37" s="9">
        <v>27</v>
      </c>
      <c r="C37" s="12">
        <f t="shared" si="1"/>
        <v>452.52363779653547</v>
      </c>
      <c r="D37" s="13">
        <f t="shared" si="2"/>
        <v>24.508280990172498</v>
      </c>
      <c r="E37" s="13">
        <f t="shared" si="0"/>
        <v>20.880420368250377</v>
      </c>
      <c r="F37" s="14">
        <f t="shared" si="3"/>
        <v>21.348033149093741</v>
      </c>
      <c r="G37" s="34">
        <f t="shared" si="4"/>
        <v>134.80215531995239</v>
      </c>
      <c r="H37" s="38">
        <f t="shared" si="5"/>
        <v>16.400030014563811</v>
      </c>
      <c r="I37" s="16">
        <f t="shared" si="6"/>
        <v>0.27328281206446781</v>
      </c>
      <c r="J37" s="14">
        <f t="shared" si="7"/>
        <v>4.4818463203216732</v>
      </c>
      <c r="K37" s="17">
        <f t="shared" si="8"/>
        <v>2.2409231601608366</v>
      </c>
      <c r="L37" s="18">
        <f t="shared" si="9"/>
        <v>23.576065213401467</v>
      </c>
      <c r="M37" s="13"/>
      <c r="N37" s="14"/>
      <c r="O37" s="14"/>
    </row>
    <row r="38" spans="2:15" x14ac:dyDescent="0.25">
      <c r="B38" s="9">
        <v>28</v>
      </c>
      <c r="C38" s="12">
        <f t="shared" si="1"/>
        <v>436.69717871246854</v>
      </c>
      <c r="D38" s="13">
        <f t="shared" si="2"/>
        <v>25.285095055763197</v>
      </c>
      <c r="E38" s="13">
        <f t="shared" si="0"/>
        <v>21.161366397600897</v>
      </c>
      <c r="F38" s="14">
        <f t="shared" si="3"/>
        <v>21.92807280069054</v>
      </c>
      <c r="G38" s="34">
        <f t="shared" si="4"/>
        <v>141.34835727325122</v>
      </c>
      <c r="H38" s="38">
        <f t="shared" si="5"/>
        <v>15.826459084066926</v>
      </c>
      <c r="I38" s="16">
        <f t="shared" si="6"/>
        <v>0.29788975439237142</v>
      </c>
      <c r="J38" s="14">
        <f t="shared" si="7"/>
        <v>4.7145400094536116</v>
      </c>
      <c r="K38" s="17">
        <f t="shared" si="8"/>
        <v>2.3572700047268058</v>
      </c>
      <c r="L38" s="18">
        <f t="shared" si="9"/>
        <v>25.933335218128274</v>
      </c>
      <c r="M38" s="13"/>
      <c r="N38" s="14"/>
      <c r="O38" s="14"/>
    </row>
    <row r="39" spans="2:15" x14ac:dyDescent="0.25">
      <c r="B39" s="9">
        <v>29</v>
      </c>
      <c r="C39" s="12">
        <f t="shared" si="1"/>
        <v>421.4242306192516</v>
      </c>
      <c r="D39" s="13">
        <f t="shared" si="2"/>
        <v>26.053041230785862</v>
      </c>
      <c r="E39" s="13">
        <f t="shared" si="0"/>
        <v>21.428065258814136</v>
      </c>
      <c r="F39" s="14">
        <f t="shared" si="3"/>
        <v>22.466077520041637</v>
      </c>
      <c r="G39" s="34">
        <f t="shared" si="4"/>
        <v>147.77062488807383</v>
      </c>
      <c r="H39" s="38">
        <f t="shared" si="5"/>
        <v>15.272948093216939</v>
      </c>
      <c r="I39" s="16">
        <f t="shared" si="6"/>
        <v>0.3236759112802014</v>
      </c>
      <c r="J39" s="14">
        <f t="shared" si="7"/>
        <v>4.943485392007207</v>
      </c>
      <c r="K39" s="17">
        <f t="shared" si="8"/>
        <v>2.4717426960036035</v>
      </c>
      <c r="L39" s="18">
        <f t="shared" si="9"/>
        <v>28.405077914131876</v>
      </c>
      <c r="M39" s="13"/>
      <c r="N39" s="14"/>
      <c r="O39" s="14"/>
    </row>
    <row r="40" spans="2:15" x14ac:dyDescent="0.25">
      <c r="B40" s="9">
        <v>30</v>
      </c>
      <c r="C40" s="12">
        <f t="shared" si="1"/>
        <v>406.68543514901671</v>
      </c>
      <c r="D40" s="13">
        <f t="shared" si="2"/>
        <v>26.812184213938828</v>
      </c>
      <c r="E40" s="13">
        <f t="shared" si="0"/>
        <v>21.681559320978526</v>
      </c>
      <c r="F40" s="14">
        <f t="shared" si="3"/>
        <v>22.962221667361469</v>
      </c>
      <c r="G40" s="34">
        <f t="shared" si="4"/>
        <v>154.05354516632809</v>
      </c>
      <c r="H40" s="38">
        <f t="shared" si="5"/>
        <v>14.738795470234891</v>
      </c>
      <c r="I40" s="16">
        <f t="shared" si="6"/>
        <v>0.35064577248189044</v>
      </c>
      <c r="J40" s="14">
        <f t="shared" si="7"/>
        <v>5.168096323113101</v>
      </c>
      <c r="K40" s="17">
        <f t="shared" si="8"/>
        <v>2.5840481615565505</v>
      </c>
      <c r="L40" s="18">
        <f t="shared" si="9"/>
        <v>30.989126075688425</v>
      </c>
      <c r="M40" s="13"/>
      <c r="N40" s="14"/>
      <c r="O40" s="14"/>
    </row>
    <row r="41" spans="2:15" x14ac:dyDescent="0.25">
      <c r="B41" s="9">
        <v>31</v>
      </c>
      <c r="C41" s="12">
        <f t="shared" si="1"/>
        <v>392.46211096906347</v>
      </c>
      <c r="D41" s="13">
        <f t="shared" si="2"/>
        <v>27.562588820697371</v>
      </c>
      <c r="E41" s="13">
        <f t="shared" si="0"/>
        <v>21.922793353574281</v>
      </c>
      <c r="F41" s="14">
        <f t="shared" si="3"/>
        <v>23.416859224648526</v>
      </c>
      <c r="G41" s="34">
        <f t="shared" si="4"/>
        <v>160.18302552620824</v>
      </c>
      <c r="H41" s="38">
        <f t="shared" si="5"/>
        <v>14.223324179953238</v>
      </c>
      <c r="I41" s="16">
        <f t="shared" si="6"/>
        <v>0.37880271052706904</v>
      </c>
      <c r="J41" s="14">
        <f t="shared" si="7"/>
        <v>5.3878337520714883</v>
      </c>
      <c r="K41" s="17">
        <f t="shared" si="8"/>
        <v>2.6939168760357441</v>
      </c>
      <c r="L41" s="18">
        <f t="shared" si="9"/>
        <v>33.683042951724168</v>
      </c>
      <c r="M41" s="13"/>
      <c r="N41" s="14"/>
      <c r="O41" s="14"/>
    </row>
    <row r="42" spans="2:15" x14ac:dyDescent="0.25">
      <c r="B42" s="9">
        <v>32</v>
      </c>
      <c r="C42" s="12">
        <f t="shared" si="1"/>
        <v>378.73623010338588</v>
      </c>
      <c r="D42" s="13">
        <f t="shared" si="2"/>
        <v>28.304319926383641</v>
      </c>
      <c r="E42" s="13">
        <f t="shared" si="0"/>
        <v>22.15262545420989</v>
      </c>
      <c r="F42" s="14">
        <f t="shared" si="3"/>
        <v>23.830502370891768</v>
      </c>
      <c r="G42" s="34">
        <f t="shared" si="4"/>
        <v>166.14626252985741</v>
      </c>
      <c r="H42" s="38">
        <f t="shared" si="5"/>
        <v>13.725880865677595</v>
      </c>
      <c r="I42" s="16">
        <f t="shared" si="6"/>
        <v>0.40814901884588534</v>
      </c>
      <c r="J42" s="14">
        <f t="shared" si="7"/>
        <v>5.6022048081218214</v>
      </c>
      <c r="K42" s="17">
        <f t="shared" si="8"/>
        <v>2.8011024040609107</v>
      </c>
      <c r="L42" s="18">
        <f t="shared" si="9"/>
        <v>36.484145355785081</v>
      </c>
      <c r="M42" s="13"/>
      <c r="N42" s="14"/>
      <c r="O42" s="14"/>
    </row>
    <row r="43" spans="2:15" x14ac:dyDescent="0.25">
      <c r="B43" s="9">
        <v>33</v>
      </c>
      <c r="C43" s="12">
        <f t="shared" si="1"/>
        <v>365.49039508232107</v>
      </c>
      <c r="D43" s="13">
        <f t="shared" si="2"/>
        <v>29.037442416565867</v>
      </c>
      <c r="E43" s="13">
        <f t="shared" si="0"/>
        <v>22.371836579397765</v>
      </c>
      <c r="F43" s="14">
        <f t="shared" si="3"/>
        <v>24.203801829882334</v>
      </c>
      <c r="G43" s="34">
        <f t="shared" si="4"/>
        <v>171.93170629856911</v>
      </c>
      <c r="H43" s="38">
        <f t="shared" si="5"/>
        <v>13.245835021064806</v>
      </c>
      <c r="I43" s="16">
        <f t="shared" si="6"/>
        <v>0.43868594901655822</v>
      </c>
      <c r="J43" s="14">
        <f t="shared" si="7"/>
        <v>5.8107617067325767</v>
      </c>
      <c r="K43" s="17">
        <f t="shared" si="8"/>
        <v>2.9053808533662884</v>
      </c>
      <c r="L43" s="18">
        <f t="shared" si="9"/>
        <v>39.38952620915137</v>
      </c>
      <c r="M43" s="13"/>
      <c r="N43" s="14"/>
      <c r="O43" s="14"/>
    </row>
    <row r="44" spans="2:15" x14ac:dyDescent="0.25">
      <c r="B44" s="9">
        <v>34</v>
      </c>
      <c r="C44" s="12">
        <f t="shared" si="1"/>
        <v>352.70781689136595</v>
      </c>
      <c r="D44" s="13">
        <f t="shared" si="2"/>
        <v>29.762021143691658</v>
      </c>
      <c r="E44" s="13">
        <f t="shared" si="0"/>
        <v>22.581138874791463</v>
      </c>
      <c r="F44" s="14">
        <f t="shared" si="3"/>
        <v>24.53752886715284</v>
      </c>
      <c r="G44" s="34">
        <f t="shared" si="4"/>
        <v>177.52902135385079</v>
      </c>
      <c r="H44" s="38">
        <f t="shared" si="5"/>
        <v>12.782578190955121</v>
      </c>
      <c r="I44" s="16">
        <f t="shared" si="6"/>
        <v>0.47041374715153361</v>
      </c>
      <c r="J44" s="14">
        <f t="shared" si="7"/>
        <v>6.0131005050646706</v>
      </c>
      <c r="K44" s="17">
        <f t="shared" si="8"/>
        <v>3.0065502525323353</v>
      </c>
      <c r="L44" s="18">
        <f t="shared" si="9"/>
        <v>42.396076461683705</v>
      </c>
      <c r="M44" s="13"/>
      <c r="N44" s="14"/>
      <c r="O44" s="14"/>
    </row>
    <row r="45" spans="2:15" x14ac:dyDescent="0.25">
      <c r="B45" s="9">
        <v>35</v>
      </c>
      <c r="C45" s="12">
        <f t="shared" si="1"/>
        <v>340.372293691202</v>
      </c>
      <c r="D45" s="13">
        <f t="shared" si="2"/>
        <v>30.478120889051581</v>
      </c>
      <c r="E45" s="13">
        <f t="shared" si="0"/>
        <v>22.781182972043425</v>
      </c>
      <c r="F45" s="14">
        <f t="shared" si="3"/>
        <v>24.832558820087698</v>
      </c>
      <c r="G45" s="34">
        <f t="shared" si="4"/>
        <v>182.92904454817602</v>
      </c>
      <c r="H45" s="38">
        <f t="shared" si="5"/>
        <v>12.335523200163948</v>
      </c>
      <c r="I45" s="16">
        <f t="shared" si="6"/>
        <v>0.50333168943780382</v>
      </c>
      <c r="J45" s="14">
        <f t="shared" si="7"/>
        <v>6.2088597324377437</v>
      </c>
      <c r="K45" s="17">
        <f t="shared" si="8"/>
        <v>3.1044298662188718</v>
      </c>
      <c r="L45" s="18">
        <f t="shared" si="9"/>
        <v>45.500506327902578</v>
      </c>
      <c r="M45" s="13"/>
      <c r="N45" s="14"/>
      <c r="O45" s="14"/>
    </row>
    <row r="46" spans="2:15" x14ac:dyDescent="0.25">
      <c r="B46" s="9">
        <v>36</v>
      </c>
      <c r="C46" s="12">
        <f t="shared" si="1"/>
        <v>328.4681902819658</v>
      </c>
      <c r="D46" s="13">
        <f t="shared" si="2"/>
        <v>31.185806329322439</v>
      </c>
      <c r="E46" s="13">
        <f t="shared" si="0"/>
        <v>22.972564394570739</v>
      </c>
      <c r="F46" s="14">
        <f t="shared" si="3"/>
        <v>25.089856052404414</v>
      </c>
      <c r="G46" s="34">
        <f t="shared" si="4"/>
        <v>188.12374068092828</v>
      </c>
      <c r="H46" s="38">
        <f t="shared" si="5"/>
        <v>11.9041034092362</v>
      </c>
      <c r="I46" s="16">
        <f t="shared" si="6"/>
        <v>0.53743811684665455</v>
      </c>
      <c r="J46" s="14">
        <f t="shared" si="7"/>
        <v>6.397718919007743</v>
      </c>
      <c r="K46" s="17">
        <f t="shared" si="8"/>
        <v>3.1988594595038715</v>
      </c>
      <c r="L46" s="18">
        <f t="shared" si="9"/>
        <v>48.69936578740645</v>
      </c>
      <c r="M46" s="13"/>
      <c r="N46" s="14"/>
      <c r="O46" s="14"/>
    </row>
    <row r="47" spans="2:15" x14ac:dyDescent="0.25">
      <c r="B47" s="9">
        <v>37</v>
      </c>
      <c r="C47" s="12">
        <f t="shared" si="1"/>
        <v>316.98041828572752</v>
      </c>
      <c r="D47" s="13">
        <f t="shared" si="2"/>
        <v>31.885142007063074</v>
      </c>
      <c r="E47" s="13">
        <f t="shared" si="0"/>
        <v>23.155829193438286</v>
      </c>
      <c r="F47" s="14">
        <f t="shared" si="3"/>
        <v>25.310460230993783</v>
      </c>
      <c r="G47" s="34">
        <f t="shared" si="4"/>
        <v>193.10615633236702</v>
      </c>
      <c r="H47" s="38">
        <f t="shared" si="5"/>
        <v>11.48777199623828</v>
      </c>
      <c r="I47" s="16">
        <f t="shared" si="6"/>
        <v>0.57273046902787716</v>
      </c>
      <c r="J47" s="14">
        <f t="shared" si="7"/>
        <v>6.5793970434908626</v>
      </c>
      <c r="K47" s="17">
        <f t="shared" si="8"/>
        <v>3.2896985217454313</v>
      </c>
      <c r="L47" s="18">
        <f t="shared" si="9"/>
        <v>51.989064309151878</v>
      </c>
      <c r="M47" s="13"/>
      <c r="N47" s="14"/>
      <c r="O47" s="14"/>
    </row>
    <row r="48" spans="2:15" x14ac:dyDescent="0.25">
      <c r="B48" s="9">
        <v>38</v>
      </c>
      <c r="C48" s="12">
        <f t="shared" si="1"/>
        <v>305.89441702206517</v>
      </c>
      <c r="D48" s="13">
        <f t="shared" si="2"/>
        <v>32.576192304636173</v>
      </c>
      <c r="E48" s="13">
        <f t="shared" si="0"/>
        <v>23.331478916732806</v>
      </c>
      <c r="F48" s="14">
        <f t="shared" si="3"/>
        <v>25.495473829541368</v>
      </c>
      <c r="G48" s="34">
        <f t="shared" si="4"/>
        <v>197.87037239107053</v>
      </c>
      <c r="H48" s="38">
        <f t="shared" si="5"/>
        <v>11.086001263662354</v>
      </c>
      <c r="I48" s="16">
        <f t="shared" si="6"/>
        <v>0.60920531740323558</v>
      </c>
      <c r="J48" s="14">
        <f t="shared" si="7"/>
        <v>6.7536509185620952</v>
      </c>
      <c r="K48" s="17">
        <f t="shared" si="8"/>
        <v>3.3768254592810476</v>
      </c>
      <c r="L48" s="18">
        <f t="shared" si="9"/>
        <v>55.365889768432929</v>
      </c>
      <c r="M48" s="13"/>
      <c r="N48" s="14"/>
      <c r="O48" s="14"/>
    </row>
    <row r="49" spans="2:15" x14ac:dyDescent="0.25">
      <c r="B49" s="9">
        <v>39</v>
      </c>
      <c r="C49" s="12">
        <f t="shared" si="1"/>
        <v>295.19613505249254</v>
      </c>
      <c r="D49" s="13">
        <f t="shared" si="2"/>
        <v>33.259021421112024</v>
      </c>
      <c r="E49" s="13">
        <f t="shared" si="0"/>
        <v>23.499975000718099</v>
      </c>
      <c r="F49" s="14">
        <f t="shared" si="3"/>
        <v>25.646050769437458</v>
      </c>
      <c r="G49" s="34">
        <f t="shared" si="4"/>
        <v>202.41145569778513</v>
      </c>
      <c r="H49" s="38">
        <f t="shared" si="5"/>
        <v>10.698281969572633</v>
      </c>
      <c r="I49" s="16">
        <f t="shared" si="6"/>
        <v>0.64685839747378415</v>
      </c>
      <c r="J49" s="14">
        <f t="shared" si="7"/>
        <v>6.9202735305604328</v>
      </c>
      <c r="K49" s="17">
        <f t="shared" si="8"/>
        <v>3.4601367652802164</v>
      </c>
      <c r="L49" s="18">
        <f t="shared" si="9"/>
        <v>58.826026533713147</v>
      </c>
      <c r="M49" s="13"/>
      <c r="N49" s="14"/>
      <c r="O49" s="14"/>
    </row>
    <row r="50" spans="2:15" x14ac:dyDescent="0.25">
      <c r="B50" s="9">
        <v>40</v>
      </c>
      <c r="C50" s="12">
        <f t="shared" si="1"/>
        <v>284.8720123703456</v>
      </c>
      <c r="D50" s="13">
        <f t="shared" si="2"/>
        <v>33.93369335177686</v>
      </c>
      <c r="E50" s="13">
        <f t="shared" si="0"/>
        <v>23.661742658303414</v>
      </c>
      <c r="F50" s="14">
        <f t="shared" si="3"/>
        <v>25.763386114230759</v>
      </c>
      <c r="G50" s="34">
        <f t="shared" si="4"/>
        <v>206.72541018058757</v>
      </c>
      <c r="H50" s="38">
        <f t="shared" si="5"/>
        <v>10.324122682146935</v>
      </c>
      <c r="I50" s="16">
        <f t="shared" si="6"/>
        <v>0.68568464035544296</v>
      </c>
      <c r="J50" s="14">
        <f t="shared" si="7"/>
        <v>7.0790923482933925</v>
      </c>
      <c r="K50" s="17">
        <f t="shared" si="8"/>
        <v>3.5395461741466963</v>
      </c>
      <c r="L50" s="18">
        <f t="shared" si="9"/>
        <v>62.36557270785984</v>
      </c>
      <c r="M50" s="13"/>
      <c r="N50" s="14"/>
      <c r="O50" s="14"/>
    </row>
    <row r="51" spans="2:15" x14ac:dyDescent="0.25">
      <c r="B51" s="9">
        <v>41</v>
      </c>
      <c r="C51" s="12">
        <f t="shared" si="1"/>
        <v>274.90896321355831</v>
      </c>
      <c r="D51" s="13">
        <f t="shared" si="2"/>
        <v>34.600271869924981</v>
      </c>
      <c r="E51" s="13">
        <f t="shared" si="0"/>
        <v>23.817174329559808</v>
      </c>
      <c r="F51" s="14">
        <f t="shared" si="3"/>
        <v>25.848706739308096</v>
      </c>
      <c r="G51" s="34">
        <f t="shared" si="4"/>
        <v>210.80912781242716</v>
      </c>
      <c r="H51" s="38">
        <f t="shared" si="5"/>
        <v>9.9630491567872923</v>
      </c>
      <c r="I51" s="16">
        <f t="shared" si="6"/>
        <v>0.72567820355702706</v>
      </c>
      <c r="J51" s="14">
        <f t="shared" si="7"/>
        <v>7.2299676140477551</v>
      </c>
      <c r="K51" s="17">
        <f t="shared" si="8"/>
        <v>3.6149838070238776</v>
      </c>
      <c r="L51" s="18">
        <f t="shared" si="9"/>
        <v>65.980556514883716</v>
      </c>
      <c r="M51" s="13"/>
      <c r="N51" s="14"/>
      <c r="O51" s="14"/>
    </row>
    <row r="52" spans="2:15" x14ac:dyDescent="0.25">
      <c r="B52" s="9">
        <v>42</v>
      </c>
      <c r="C52" s="12">
        <f t="shared" si="1"/>
        <v>265.29435947854</v>
      </c>
      <c r="D52" s="13">
        <f t="shared" si="2"/>
        <v>35.258820510659646</v>
      </c>
      <c r="E52" s="13">
        <f t="shared" si="0"/>
        <v>23.966632749870765</v>
      </c>
      <c r="F52" s="14">
        <f t="shared" si="3"/>
        <v>25.903262903596659</v>
      </c>
      <c r="G52" s="34">
        <f t="shared" si="4"/>
        <v>214.66033968210553</v>
      </c>
      <c r="H52" s="38">
        <f t="shared" si="5"/>
        <v>9.6146037350183065</v>
      </c>
      <c r="I52" s="16">
        <f t="shared" si="6"/>
        <v>0.76683250101475853</v>
      </c>
      <c r="J52" s="14">
        <f t="shared" si="7"/>
        <v>7.3727906283899269</v>
      </c>
      <c r="K52" s="17">
        <f t="shared" si="8"/>
        <v>3.6863953141949635</v>
      </c>
      <c r="L52" s="18">
        <f t="shared" si="9"/>
        <v>69.666951829078684</v>
      </c>
      <c r="M52" s="13"/>
      <c r="N52" s="14"/>
      <c r="O52" s="14"/>
    </row>
    <row r="53" spans="2:15" x14ac:dyDescent="0.25">
      <c r="B53" s="9">
        <v>43</v>
      </c>
      <c r="C53" s="12">
        <f t="shared" si="1"/>
        <v>256.01601471413107</v>
      </c>
      <c r="D53" s="13">
        <f t="shared" si="2"/>
        <v>35.909402556466894</v>
      </c>
      <c r="E53" s="13">
        <f t="shared" si="0"/>
        <v>24.110453683542772</v>
      </c>
      <c r="F53" s="14">
        <f t="shared" si="3"/>
        <v>25.928320654904326</v>
      </c>
      <c r="G53" s="34">
        <f t="shared" si="4"/>
        <v>218.27756743331207</v>
      </c>
      <c r="H53" s="38">
        <f t="shared" si="5"/>
        <v>9.2783447644089279</v>
      </c>
      <c r="I53" s="16">
        <f t="shared" si="6"/>
        <v>0.80914023239709953</v>
      </c>
      <c r="J53" s="14">
        <f t="shared" si="7"/>
        <v>7.5074820389342518</v>
      </c>
      <c r="K53" s="17">
        <f t="shared" si="8"/>
        <v>3.7537410194671259</v>
      </c>
      <c r="L53" s="18">
        <f t="shared" si="9"/>
        <v>73.420692848545812</v>
      </c>
      <c r="M53" s="13"/>
      <c r="N53" s="14"/>
      <c r="O53" s="14"/>
    </row>
    <row r="54" spans="2:15" x14ac:dyDescent="0.25">
      <c r="B54" s="9">
        <v>44</v>
      </c>
      <c r="C54" s="12">
        <f t="shared" si="1"/>
        <v>247.06216867535076</v>
      </c>
      <c r="D54" s="13">
        <f t="shared" si="2"/>
        <v>36.552081024358642</v>
      </c>
      <c r="E54" s="13">
        <f t="shared" si="0"/>
        <v>24.248948364107207</v>
      </c>
      <c r="F54" s="14">
        <f t="shared" si="3"/>
        <v>25.925155005049838</v>
      </c>
      <c r="G54" s="34">
        <f t="shared" si="4"/>
        <v>221.66007529317608</v>
      </c>
      <c r="H54" s="38">
        <f t="shared" si="5"/>
        <v>8.9538460387803127</v>
      </c>
      <c r="I54" s="16">
        <f t="shared" si="6"/>
        <v>0.85259341169356939</v>
      </c>
      <c r="J54" s="14">
        <f t="shared" si="7"/>
        <v>7.6339901419826584</v>
      </c>
      <c r="K54" s="17">
        <f t="shared" si="8"/>
        <v>3.8169950709913292</v>
      </c>
      <c r="L54" s="18">
        <f t="shared" si="9"/>
        <v>77.237687919537137</v>
      </c>
      <c r="M54" s="13"/>
      <c r="N54" s="14"/>
      <c r="O54" s="14"/>
    </row>
    <row r="55" spans="2:15" x14ac:dyDescent="0.25">
      <c r="B55" s="9">
        <v>45</v>
      </c>
      <c r="C55" s="12">
        <f t="shared" si="1"/>
        <v>238.42147241735915</v>
      </c>
      <c r="D55" s="13">
        <f t="shared" si="2"/>
        <v>37.186918654408714</v>
      </c>
      <c r="E55" s="13">
        <f t="shared" si="0"/>
        <v>24.382405676932937</v>
      </c>
      <c r="F55" s="14">
        <f t="shared" si="3"/>
        <v>25.895043815200474</v>
      </c>
      <c r="G55" s="34">
        <f t="shared" si="4"/>
        <v>224.8078228816629</v>
      </c>
      <c r="H55" s="38">
        <f t="shared" si="5"/>
        <v>8.6406962579916069</v>
      </c>
      <c r="I55" s="16">
        <f t="shared" si="6"/>
        <v>0.89718339510103617</v>
      </c>
      <c r="J55" s="14">
        <f t="shared" si="7"/>
        <v>7.7522892047817287</v>
      </c>
      <c r="K55" s="17">
        <f t="shared" si="8"/>
        <v>3.8761446023908643</v>
      </c>
      <c r="L55" s="18">
        <f t="shared" si="9"/>
        <v>81.113832521928003</v>
      </c>
      <c r="M55" s="13"/>
      <c r="N55" s="14"/>
      <c r="O55" s="14"/>
    </row>
    <row r="56" spans="2:15" x14ac:dyDescent="0.25">
      <c r="B56" s="9">
        <v>46</v>
      </c>
      <c r="C56" s="12">
        <f t="shared" si="1"/>
        <v>230.08297391074009</v>
      </c>
      <c r="D56" s="13">
        <f t="shared" si="2"/>
        <v>37.81397789952878</v>
      </c>
      <c r="E56" s="13">
        <f t="shared" si="0"/>
        <v>24.511094114984083</v>
      </c>
      <c r="F56" s="14">
        <f t="shared" si="3"/>
        <v>25.839262335846307</v>
      </c>
      <c r="G56" s="34">
        <f t="shared" si="4"/>
        <v>227.72141896581351</v>
      </c>
      <c r="H56" s="38">
        <f t="shared" si="5"/>
        <v>8.3384985066190609</v>
      </c>
      <c r="I56" s="16">
        <f t="shared" si="6"/>
        <v>0.9429009082207771</v>
      </c>
      <c r="J56" s="14">
        <f t="shared" si="7"/>
        <v>7.8623778150887063</v>
      </c>
      <c r="K56" s="17">
        <f t="shared" si="8"/>
        <v>3.9311889075443531</v>
      </c>
      <c r="L56" s="18">
        <f t="shared" si="9"/>
        <v>85.045021429472357</v>
      </c>
      <c r="M56" s="13"/>
      <c r="N56" s="14"/>
      <c r="O56" s="14"/>
    </row>
    <row r="57" spans="2:15" x14ac:dyDescent="0.25">
      <c r="B57" s="9">
        <v>47</v>
      </c>
      <c r="C57" s="12">
        <f t="shared" si="1"/>
        <v>222.03610415986992</v>
      </c>
      <c r="D57" s="13">
        <f t="shared" si="2"/>
        <v>38.433320916350716</v>
      </c>
      <c r="E57" s="13">
        <f t="shared" si="0"/>
        <v>24.635263534469775</v>
      </c>
      <c r="F57" s="14">
        <f t="shared" si="3"/>
        <v>25.759078349607556</v>
      </c>
      <c r="G57" s="34">
        <f t="shared" si="4"/>
        <v>230.40207629806477</v>
      </c>
      <c r="H57" s="38">
        <f t="shared" si="5"/>
        <v>8.0468697508701723</v>
      </c>
      <c r="I57" s="16">
        <f t="shared" si="6"/>
        <v>0.98973607257943941</v>
      </c>
      <c r="J57" s="14">
        <f t="shared" si="7"/>
        <v>7.9642772637845365</v>
      </c>
      <c r="K57" s="17">
        <f t="shared" si="8"/>
        <v>3.9821386318922682</v>
      </c>
      <c r="L57" s="18">
        <f t="shared" si="9"/>
        <v>89.027160061364626</v>
      </c>
      <c r="M57" s="13"/>
      <c r="N57" s="14"/>
      <c r="O57" s="14"/>
    </row>
    <row r="58" spans="2:15" x14ac:dyDescent="0.25">
      <c r="B58" s="9">
        <v>48</v>
      </c>
      <c r="C58" s="12">
        <f t="shared" si="1"/>
        <v>214.27066380678102</v>
      </c>
      <c r="D58" s="13">
        <f t="shared" si="2"/>
        <v>39.045009557098901</v>
      </c>
      <c r="E58" s="13">
        <f t="shared" si="0"/>
        <v>24.755146733634753</v>
      </c>
      <c r="F58" s="14">
        <f t="shared" si="3"/>
        <v>25.655747868610963</v>
      </c>
      <c r="G58" s="34">
        <f t="shared" si="4"/>
        <v>232.85156765551307</v>
      </c>
      <c r="H58" s="38">
        <f t="shared" si="5"/>
        <v>7.7654403530889056</v>
      </c>
      <c r="I58" s="16">
        <f t="shared" si="6"/>
        <v>1.0376784314868504</v>
      </c>
      <c r="J58" s="14">
        <f t="shared" si="7"/>
        <v>8.0580299653979885</v>
      </c>
      <c r="K58" s="17">
        <f t="shared" si="8"/>
        <v>4.0290149826989943</v>
      </c>
      <c r="L58" s="18">
        <f t="shared" si="9"/>
        <v>93.056175044063622</v>
      </c>
      <c r="M58" s="13"/>
      <c r="N58" s="14"/>
      <c r="O58" s="14"/>
    </row>
    <row r="59" spans="2:15" x14ac:dyDescent="0.25">
      <c r="B59" s="9">
        <v>49</v>
      </c>
      <c r="C59" s="12">
        <f t="shared" si="1"/>
        <v>206.7768102035389</v>
      </c>
      <c r="D59" s="13">
        <f t="shared" si="2"/>
        <v>39.649105362349751</v>
      </c>
      <c r="E59" s="13">
        <f t="shared" si="0"/>
        <v>24.870960874939556</v>
      </c>
      <c r="F59" s="14">
        <f t="shared" si="3"/>
        <v>25.530511341490154</v>
      </c>
      <c r="G59" s="34">
        <f t="shared" si="4"/>
        <v>235.07218317677058</v>
      </c>
      <c r="H59" s="38">
        <f t="shared" si="5"/>
        <v>7.4938536032421155</v>
      </c>
      <c r="I59" s="16">
        <f t="shared" si="6"/>
        <v>1.0867169752434584</v>
      </c>
      <c r="J59" s="14">
        <f t="shared" si="7"/>
        <v>8.1436979206325635</v>
      </c>
      <c r="K59" s="17">
        <f t="shared" si="8"/>
        <v>4.0718489603162817</v>
      </c>
      <c r="L59" s="18">
        <f t="shared" si="9"/>
        <v>97.12802400437991</v>
      </c>
      <c r="M59" s="13"/>
      <c r="N59" s="14"/>
      <c r="O59" s="14"/>
    </row>
    <row r="60" spans="2:15" ht="13.8" thickBot="1" x14ac:dyDescent="0.3">
      <c r="B60" s="19">
        <v>50</v>
      </c>
      <c r="C60" s="20">
        <f t="shared" si="1"/>
        <v>199.54504493674506</v>
      </c>
      <c r="D60" s="21">
        <f t="shared" si="2"/>
        <v>40.24566955458922</v>
      </c>
      <c r="E60" s="21">
        <f t="shared" si="0"/>
        <v>24.982908768301538</v>
      </c>
      <c r="F60" s="22">
        <f t="shared" si="3"/>
        <v>25.38459032818135</v>
      </c>
      <c r="G60" s="35">
        <f t="shared" si="4"/>
        <v>237.06668907488563</v>
      </c>
      <c r="H60" s="39">
        <f t="shared" si="5"/>
        <v>7.2317652667938432</v>
      </c>
      <c r="I60" s="23">
        <f t="shared" si="6"/>
        <v>1.136840165709972</v>
      </c>
      <c r="J60" s="22">
        <f t="shared" si="7"/>
        <v>8.2213612242775334</v>
      </c>
      <c r="K60" s="24">
        <f t="shared" si="8"/>
        <v>4.1106806121387667</v>
      </c>
      <c r="L60" s="25">
        <f t="shared" si="9"/>
        <v>101.23870461651867</v>
      </c>
      <c r="M60" s="13"/>
      <c r="N60" s="14"/>
      <c r="O60" s="14"/>
    </row>
  </sheetData>
  <mergeCells count="3">
    <mergeCell ref="B9:G9"/>
    <mergeCell ref="H9:L9"/>
    <mergeCell ref="M9:O9"/>
  </mergeCells>
  <printOptions gridLines="1"/>
  <pageMargins left="0.75" right="0.75" top="1" bottom="1" header="0.5" footer="0.5"/>
  <pageSetup scale="64" orientation="landscape" horizontalDpi="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O60"/>
  <sheetViews>
    <sheetView zoomScale="82" workbookViewId="0"/>
  </sheetViews>
  <sheetFormatPr defaultRowHeight="13.2" x14ac:dyDescent="0.25"/>
  <cols>
    <col min="1" max="1" width="13.6640625" bestFit="1" customWidth="1"/>
    <col min="2" max="2" width="9" customWidth="1"/>
    <col min="3" max="3" width="10.88671875" bestFit="1" customWidth="1"/>
    <col min="4" max="4" width="5.6640625" customWidth="1"/>
    <col min="5" max="5" width="9.88671875" customWidth="1"/>
    <col min="6" max="6" width="12.88671875" bestFit="1" customWidth="1"/>
    <col min="7" max="7" width="12.88671875" customWidth="1"/>
    <col min="8" max="8" width="10.88671875" bestFit="1" customWidth="1"/>
    <col min="9" max="9" width="10.6640625" bestFit="1" customWidth="1"/>
    <col min="10" max="10" width="11" customWidth="1"/>
    <col min="11" max="11" width="11.33203125" bestFit="1" customWidth="1"/>
    <col min="12" max="12" width="10.33203125" bestFit="1" customWidth="1"/>
    <col min="13" max="13" width="12.109375" bestFit="1" customWidth="1"/>
    <col min="14" max="14" width="10.5546875" bestFit="1" customWidth="1"/>
    <col min="15" max="15" width="12.109375" bestFit="1" customWidth="1"/>
  </cols>
  <sheetData>
    <row r="1" spans="1:15" x14ac:dyDescent="0.25">
      <c r="B1" s="1"/>
      <c r="C1" s="2"/>
      <c r="D1" s="2"/>
      <c r="E1" s="2"/>
      <c r="F1" s="2"/>
      <c r="G1" s="2"/>
      <c r="H1" s="2"/>
      <c r="I1" s="2"/>
      <c r="J1" s="2"/>
      <c r="K1" s="2"/>
    </row>
    <row r="2" spans="1:15" x14ac:dyDescent="0.25">
      <c r="B2" s="1"/>
      <c r="C2" s="2"/>
      <c r="D2" s="2"/>
      <c r="E2" s="2"/>
      <c r="F2" s="2"/>
      <c r="G2" s="2"/>
      <c r="H2" s="2"/>
      <c r="I2" s="2"/>
      <c r="J2" s="2"/>
      <c r="K2" s="2"/>
    </row>
    <row r="3" spans="1:15" x14ac:dyDescent="0.25">
      <c r="A3" s="3" t="s">
        <v>0</v>
      </c>
      <c r="B3" s="4">
        <f>IO.CONTROL!C4</f>
        <v>3</v>
      </c>
      <c r="C3" s="28"/>
      <c r="D3" s="28"/>
      <c r="E3" s="28"/>
      <c r="F3" s="28"/>
      <c r="G3" s="28"/>
      <c r="H3" s="28"/>
      <c r="I3" s="28"/>
      <c r="J3" s="28"/>
      <c r="K3" s="28"/>
      <c r="L3" s="28"/>
      <c r="M3" s="28"/>
      <c r="N3" s="28"/>
      <c r="O3" s="28"/>
    </row>
    <row r="4" spans="1:15" x14ac:dyDescent="0.25">
      <c r="A4" s="3"/>
      <c r="B4" s="5"/>
      <c r="C4" s="6"/>
      <c r="D4" s="6"/>
      <c r="E4" s="6"/>
      <c r="F4" s="6"/>
      <c r="G4" s="6"/>
      <c r="H4" s="6"/>
      <c r="I4" s="6"/>
      <c r="J4" s="6"/>
      <c r="K4" s="6"/>
    </row>
    <row r="5" spans="1:15" x14ac:dyDescent="0.25">
      <c r="A5" s="3" t="s">
        <v>1</v>
      </c>
      <c r="B5" s="7">
        <f>IF(B$3=1,24.8,IF(B$3=2,21.6,IF(B$3=3,18.4,IF(B$3=4,15.2,IF(B$3=5,12,0)))))</f>
        <v>18.399999999999999</v>
      </c>
      <c r="C5" s="6"/>
      <c r="D5" s="6"/>
      <c r="E5" s="6"/>
      <c r="F5" s="6"/>
      <c r="G5" s="6"/>
      <c r="H5" s="6"/>
      <c r="I5" s="6"/>
      <c r="J5" s="6"/>
      <c r="K5" s="6"/>
      <c r="L5" s="6"/>
      <c r="M5" s="6"/>
      <c r="N5" s="6"/>
      <c r="O5" s="28"/>
    </row>
    <row r="6" spans="1:15" x14ac:dyDescent="0.25">
      <c r="A6" s="3" t="s">
        <v>2</v>
      </c>
      <c r="B6" s="8">
        <f>IF(B$3=1,0.77667,IF(B$3=2,0.90332,IF(B$3=3,1.10192,IF(B$3=4,1.40869,IF(B$3=5,1.89171,0)))))</f>
        <v>1.10192</v>
      </c>
      <c r="C6" s="2"/>
      <c r="D6" s="2"/>
      <c r="E6" s="2"/>
      <c r="F6" s="2"/>
      <c r="G6" s="2"/>
      <c r="H6" s="2"/>
      <c r="I6" s="2"/>
      <c r="J6" s="2"/>
      <c r="K6" s="2"/>
    </row>
    <row r="7" spans="1:15" x14ac:dyDescent="0.25">
      <c r="A7" s="3" t="s">
        <v>3</v>
      </c>
      <c r="B7" s="8">
        <f>IF(B$3=1,0.16197,IF(B$3=2,0.17,IF(B$3=3,0.17803,IF(B$3=4,0.18606,IF(B$3=5,0.194,0)))))</f>
        <v>0.17802999999999999</v>
      </c>
      <c r="C7" s="2"/>
      <c r="D7" s="2"/>
      <c r="E7" s="2"/>
      <c r="F7" s="2"/>
      <c r="G7" s="2"/>
      <c r="H7" s="2"/>
      <c r="I7" s="2"/>
      <c r="J7" s="2"/>
      <c r="K7" s="2"/>
    </row>
    <row r="8" spans="1:15" ht="13.8" thickBot="1" x14ac:dyDescent="0.3">
      <c r="B8" s="1"/>
      <c r="C8" s="2"/>
      <c r="D8" s="2"/>
      <c r="E8" s="2"/>
      <c r="F8" s="2"/>
      <c r="G8" s="2"/>
      <c r="H8" s="2"/>
      <c r="I8" s="2"/>
      <c r="J8" s="2"/>
      <c r="K8" s="2"/>
    </row>
    <row r="9" spans="1:15" x14ac:dyDescent="0.25">
      <c r="B9" s="157" t="s">
        <v>117</v>
      </c>
      <c r="C9" s="155"/>
      <c r="D9" s="155"/>
      <c r="E9" s="155"/>
      <c r="F9" s="155"/>
      <c r="G9" s="156"/>
      <c r="H9" s="150"/>
      <c r="I9" s="150"/>
      <c r="J9" s="150"/>
      <c r="K9" s="150"/>
      <c r="L9" s="151"/>
      <c r="M9" s="150"/>
      <c r="N9" s="151"/>
      <c r="O9" s="164"/>
    </row>
    <row r="10" spans="1:15" x14ac:dyDescent="0.25">
      <c r="B10" s="9" t="s">
        <v>6</v>
      </c>
      <c r="C10" s="10" t="s">
        <v>7</v>
      </c>
      <c r="D10" s="10" t="s">
        <v>8</v>
      </c>
      <c r="E10" s="10" t="s">
        <v>9</v>
      </c>
      <c r="F10" s="10" t="s">
        <v>10</v>
      </c>
      <c r="G10" s="11" t="s">
        <v>11</v>
      </c>
      <c r="H10" s="10"/>
      <c r="I10" s="10"/>
      <c r="J10" s="10"/>
      <c r="K10" s="10"/>
      <c r="L10" s="10"/>
      <c r="M10" s="10"/>
      <c r="N10" s="10"/>
      <c r="O10" s="10"/>
    </row>
    <row r="11" spans="1:15" x14ac:dyDescent="0.25">
      <c r="B11" s="9">
        <v>1</v>
      </c>
      <c r="C11" s="12">
        <f>EXP(7.1033-0.0333*B11+0.0281*$B$5)</f>
        <v>1972.4663637965375</v>
      </c>
      <c r="D11" s="13">
        <f t="shared" ref="D11:D42" si="0">200*SQRT(F11/(3.1416*C11))</f>
        <v>1.2943145557032174</v>
      </c>
      <c r="E11" s="13">
        <f t="shared" ref="E11:E42" si="1">(B11/(B$6+B$7*B11))^2</f>
        <v>0.61039924900993359</v>
      </c>
      <c r="F11" s="14">
        <f>EXP(1.674*LN(B11)-0.03514*B11+0.0611*$B$5-2.438)</f>
        <v>0.25952558183048358</v>
      </c>
      <c r="G11" s="66">
        <f t="shared" ref="G11:G42" si="2">(0.1315*B11+0.335*$B$5-3.4)*F11</f>
        <v>0.75145632219016512</v>
      </c>
      <c r="H11" s="15"/>
      <c r="I11" s="15"/>
      <c r="J11" s="15"/>
      <c r="K11" s="15"/>
      <c r="L11" s="15"/>
      <c r="M11" s="15"/>
      <c r="N11" s="15"/>
      <c r="O11" s="15"/>
    </row>
    <row r="12" spans="1:15" x14ac:dyDescent="0.25">
      <c r="B12" s="9">
        <v>2</v>
      </c>
      <c r="C12" s="12">
        <f t="shared" ref="C12:C60" si="3">EXP(7.1033-0.0333*B12+0.0281*$B$5)</f>
        <v>1907.8648191572663</v>
      </c>
      <c r="D12" s="13">
        <f t="shared" si="0"/>
        <v>2.3099489957681181</v>
      </c>
      <c r="E12" s="13">
        <f t="shared" si="1"/>
        <v>1.8817280477169862</v>
      </c>
      <c r="F12" s="14">
        <f t="shared" ref="F12:F60" si="4">EXP(1.674*LN(B12)-0.03514*B12+0.0611*$B$5-2.438)</f>
        <v>0.7995456743135031</v>
      </c>
      <c r="G12" s="66">
        <f t="shared" si="2"/>
        <v>2.4202247561469736</v>
      </c>
      <c r="H12" s="12"/>
      <c r="I12" s="16"/>
      <c r="J12" s="14"/>
      <c r="K12" s="17"/>
      <c r="L12" s="14"/>
      <c r="M12" s="13"/>
      <c r="N12" s="14"/>
      <c r="O12" s="14"/>
    </row>
    <row r="13" spans="1:15" x14ac:dyDescent="0.25">
      <c r="B13" s="9">
        <v>3</v>
      </c>
      <c r="C13" s="12">
        <f t="shared" si="3"/>
        <v>1845.3790822429746</v>
      </c>
      <c r="D13" s="13">
        <f t="shared" si="0"/>
        <v>3.2403447874510154</v>
      </c>
      <c r="E13" s="13">
        <f t="shared" si="1"/>
        <v>3.3625643290925509</v>
      </c>
      <c r="F13" s="14">
        <f t="shared" si="4"/>
        <v>1.5218047578696814</v>
      </c>
      <c r="G13" s="66">
        <f t="shared" si="2"/>
        <v>4.8066203277313884</v>
      </c>
      <c r="H13" s="12"/>
      <c r="I13" s="16"/>
      <c r="J13" s="14"/>
      <c r="K13" s="17"/>
      <c r="L13" s="14"/>
      <c r="M13" s="13"/>
      <c r="N13" s="14"/>
      <c r="O13" s="14"/>
    </row>
    <row r="14" spans="1:15" x14ac:dyDescent="0.25">
      <c r="B14" s="9">
        <v>4</v>
      </c>
      <c r="C14" s="12">
        <f t="shared" si="3"/>
        <v>1784.9398568417175</v>
      </c>
      <c r="D14" s="13">
        <f t="shared" si="0"/>
        <v>4.1187496515367688</v>
      </c>
      <c r="E14" s="13">
        <f t="shared" si="1"/>
        <v>4.8621266179153588</v>
      </c>
      <c r="F14" s="14">
        <f t="shared" si="4"/>
        <v>2.3781830232640915</v>
      </c>
      <c r="G14" s="66">
        <f t="shared" si="2"/>
        <v>7.8242221465388599</v>
      </c>
      <c r="H14" s="12"/>
      <c r="I14" s="16"/>
      <c r="J14" s="14"/>
      <c r="K14" s="17"/>
      <c r="L14" s="14"/>
      <c r="M14" s="13"/>
      <c r="N14" s="14"/>
      <c r="O14" s="14"/>
    </row>
    <row r="15" spans="1:15" x14ac:dyDescent="0.25">
      <c r="B15" s="9">
        <v>5</v>
      </c>
      <c r="C15" s="12">
        <f t="shared" si="3"/>
        <v>1726.4801163074219</v>
      </c>
      <c r="D15" s="13">
        <f t="shared" si="0"/>
        <v>4.9599754300943015</v>
      </c>
      <c r="E15" s="13">
        <f t="shared" si="1"/>
        <v>6.2998588390957506</v>
      </c>
      <c r="F15" s="14">
        <f t="shared" si="4"/>
        <v>3.3358885158059191</v>
      </c>
      <c r="G15" s="66">
        <f t="shared" si="2"/>
        <v>11.41374255682995</v>
      </c>
      <c r="H15" s="12"/>
      <c r="I15" s="16"/>
      <c r="J15" s="14"/>
      <c r="K15" s="17"/>
      <c r="L15" s="14"/>
      <c r="M15" s="13"/>
      <c r="N15" s="14"/>
      <c r="O15" s="14"/>
    </row>
    <row r="16" spans="1:15" x14ac:dyDescent="0.25">
      <c r="B16" s="9">
        <v>6</v>
      </c>
      <c r="C16" s="12">
        <f t="shared" si="3"/>
        <v>1669.935029227828</v>
      </c>
      <c r="D16" s="13">
        <f t="shared" si="0"/>
        <v>5.7723768617925542</v>
      </c>
      <c r="E16" s="13">
        <f t="shared" si="1"/>
        <v>7.644393012590756</v>
      </c>
      <c r="F16" s="14">
        <f t="shared" si="4"/>
        <v>4.3701850401192477</v>
      </c>
      <c r="G16" s="66">
        <f t="shared" si="2"/>
        <v>15.527267447543684</v>
      </c>
      <c r="H16" s="12"/>
      <c r="I16" s="16"/>
      <c r="J16" s="14"/>
      <c r="K16" s="17"/>
      <c r="L16" s="14"/>
      <c r="M16" s="13"/>
      <c r="N16" s="14"/>
      <c r="O16" s="14"/>
    </row>
    <row r="17" spans="2:15" x14ac:dyDescent="0.25">
      <c r="B17" s="9">
        <v>7</v>
      </c>
      <c r="C17" s="12">
        <f t="shared" si="3"/>
        <v>1615.2418875269477</v>
      </c>
      <c r="D17" s="13">
        <f t="shared" si="0"/>
        <v>6.5612953750201513</v>
      </c>
      <c r="E17" s="13">
        <f t="shared" si="1"/>
        <v>8.8869309478300842</v>
      </c>
      <c r="F17" s="14">
        <f t="shared" si="4"/>
        <v>5.4614459981408565</v>
      </c>
      <c r="G17" s="66">
        <f t="shared" si="2"/>
        <v>20.122697780149988</v>
      </c>
      <c r="H17" s="12"/>
      <c r="I17" s="16"/>
      <c r="J17" s="14"/>
      <c r="K17" s="17"/>
      <c r="L17" s="14"/>
      <c r="M17" s="13"/>
      <c r="N17" s="14"/>
      <c r="O17" s="14"/>
    </row>
    <row r="18" spans="2:15" x14ac:dyDescent="0.25">
      <c r="B18" s="9">
        <v>8</v>
      </c>
      <c r="C18" s="12">
        <f t="shared" si="3"/>
        <v>1562.3400369222834</v>
      </c>
      <c r="D18" s="13">
        <f t="shared" si="0"/>
        <v>7.3304274166588872</v>
      </c>
      <c r="E18" s="13">
        <f t="shared" si="1"/>
        <v>10.029014651446676</v>
      </c>
      <c r="F18" s="14">
        <f t="shared" si="4"/>
        <v>6.5936373144064442</v>
      </c>
      <c r="G18" s="66">
        <f t="shared" si="2"/>
        <v>25.161319991774988</v>
      </c>
      <c r="H18" s="12"/>
      <c r="I18" s="16"/>
      <c r="J18" s="14"/>
      <c r="K18" s="17"/>
      <c r="L18" s="14"/>
      <c r="M18" s="13"/>
      <c r="N18" s="14"/>
      <c r="O18" s="14"/>
    </row>
    <row r="19" spans="2:15" x14ac:dyDescent="0.25">
      <c r="B19" s="9">
        <v>9</v>
      </c>
      <c r="C19" s="12">
        <f t="shared" si="3"/>
        <v>1511.1708096596765</v>
      </c>
      <c r="D19" s="13">
        <f t="shared" si="0"/>
        <v>8.0824757122870157</v>
      </c>
      <c r="E19" s="13">
        <f t="shared" si="1"/>
        <v>11.076705623431092</v>
      </c>
      <c r="F19" s="14">
        <f t="shared" si="4"/>
        <v>7.7534192720541784</v>
      </c>
      <c r="G19" s="66">
        <f t="shared" si="2"/>
        <v>30.606622576433871</v>
      </c>
      <c r="H19" s="12"/>
      <c r="I19" s="16"/>
      <c r="J19" s="14"/>
      <c r="K19" s="17"/>
      <c r="L19" s="14"/>
      <c r="M19" s="13"/>
      <c r="N19" s="14"/>
      <c r="O19" s="14"/>
    </row>
    <row r="20" spans="2:15" x14ac:dyDescent="0.25">
      <c r="B20" s="9">
        <v>10</v>
      </c>
      <c r="C20" s="12">
        <f t="shared" si="3"/>
        <v>1461.6774594512149</v>
      </c>
      <c r="D20" s="13">
        <f t="shared" si="0"/>
        <v>8.8194982199942444</v>
      </c>
      <c r="E20" s="13">
        <f t="shared" si="1"/>
        <v>12.037761791752422</v>
      </c>
      <c r="F20" s="14">
        <f t="shared" si="4"/>
        <v>8.9295628941958451</v>
      </c>
      <c r="G20" s="66">
        <f t="shared" si="2"/>
        <v>36.423687045424842</v>
      </c>
      <c r="H20" s="12"/>
      <c r="I20" s="16"/>
      <c r="J20" s="14"/>
      <c r="K20" s="17"/>
      <c r="L20" s="14"/>
      <c r="M20" s="13"/>
      <c r="N20" s="14"/>
      <c r="O20" s="14"/>
    </row>
    <row r="21" spans="2:15" x14ac:dyDescent="0.25">
      <c r="B21" s="9">
        <v>11</v>
      </c>
      <c r="C21" s="12">
        <f t="shared" si="3"/>
        <v>1413.8050985440293</v>
      </c>
      <c r="D21" s="13">
        <f t="shared" si="0"/>
        <v>9.5431116184849305</v>
      </c>
      <c r="E21" s="13">
        <f t="shared" si="1"/>
        <v>12.920269039776619</v>
      </c>
      <c r="F21" s="14">
        <f t="shared" si="4"/>
        <v>10.112544538378186</v>
      </c>
      <c r="G21" s="66">
        <f t="shared" si="2"/>
        <v>42.578868778841347</v>
      </c>
      <c r="H21" s="12"/>
      <c r="I21" s="16"/>
      <c r="J21" s="14"/>
      <c r="K21" s="17"/>
      <c r="L21" s="14"/>
      <c r="M21" s="13"/>
      <c r="N21" s="14"/>
      <c r="O21" s="14"/>
    </row>
    <row r="22" spans="2:15" x14ac:dyDescent="0.25">
      <c r="B22" s="9">
        <v>12</v>
      </c>
      <c r="C22" s="12">
        <f t="shared" si="3"/>
        <v>1367.5006368501809</v>
      </c>
      <c r="D22" s="13">
        <f t="shared" si="0"/>
        <v>10.254617790509567</v>
      </c>
      <c r="E22" s="13">
        <f t="shared" si="1"/>
        <v>13.731996905957114</v>
      </c>
      <c r="F22" s="14">
        <f t="shared" si="4"/>
        <v>11.294249831627706</v>
      </c>
      <c r="G22" s="66">
        <f t="shared" si="2"/>
        <v>49.039632768927504</v>
      </c>
      <c r="H22" s="12"/>
      <c r="I22" s="16"/>
      <c r="J22" s="14"/>
      <c r="K22" s="17"/>
      <c r="L22" s="14"/>
      <c r="M22" s="13"/>
      <c r="N22" s="14"/>
      <c r="O22" s="14"/>
    </row>
    <row r="23" spans="2:15" x14ac:dyDescent="0.25">
      <c r="B23" s="9">
        <v>13</v>
      </c>
      <c r="C23" s="12">
        <f t="shared" si="3"/>
        <v>1322.7127230701622</v>
      </c>
      <c r="D23" s="13">
        <f t="shared" si="0"/>
        <v>10.955086474237213</v>
      </c>
      <c r="E23" s="13">
        <f t="shared" si="1"/>
        <v>14.480119974808881</v>
      </c>
      <c r="F23" s="14">
        <f t="shared" si="4"/>
        <v>12.467748927997469</v>
      </c>
      <c r="G23" s="66">
        <f t="shared" si="2"/>
        <v>55.774474829396674</v>
      </c>
      <c r="H23" s="12"/>
      <c r="I23" s="16"/>
      <c r="J23" s="14"/>
      <c r="K23" s="17"/>
      <c r="L23" s="14"/>
      <c r="M23" s="13"/>
      <c r="N23" s="14"/>
      <c r="O23" s="14"/>
    </row>
    <row r="24" spans="2:15" x14ac:dyDescent="0.25">
      <c r="B24" s="9">
        <v>14</v>
      </c>
      <c r="C24" s="12">
        <f t="shared" si="3"/>
        <v>1279.3916877446843</v>
      </c>
      <c r="D24" s="13">
        <f t="shared" si="0"/>
        <v>11.645411494511301</v>
      </c>
      <c r="E24" s="13">
        <f t="shared" si="1"/>
        <v>15.171124045605328</v>
      </c>
      <c r="F24" s="14">
        <f t="shared" si="4"/>
        <v>13.627120613223315</v>
      </c>
      <c r="G24" s="66">
        <f t="shared" si="2"/>
        <v>62.752890423893348</v>
      </c>
      <c r="H24" s="12"/>
      <c r="I24" s="16"/>
      <c r="J24" s="14"/>
      <c r="K24" s="17"/>
      <c r="L24" s="14"/>
      <c r="M24" s="13"/>
      <c r="N24" s="14"/>
      <c r="O24" s="14"/>
    </row>
    <row r="25" spans="2:15" x14ac:dyDescent="0.25">
      <c r="B25" s="9">
        <v>15</v>
      </c>
      <c r="C25" s="12">
        <f t="shared" si="3"/>
        <v>1237.4894881716243</v>
      </c>
      <c r="D25" s="13">
        <f t="shared" si="0"/>
        <v>12.326350312236238</v>
      </c>
      <c r="E25" s="13">
        <f t="shared" si="1"/>
        <v>15.81080393783725</v>
      </c>
      <c r="F25" s="14">
        <f t="shared" si="4"/>
        <v>14.767311220070678</v>
      </c>
      <c r="G25" s="66">
        <f t="shared" si="2"/>
        <v>69.945369593864754</v>
      </c>
      <c r="H25" s="12"/>
      <c r="I25" s="16"/>
      <c r="J25" s="14"/>
      <c r="K25" s="17"/>
      <c r="L25" s="14"/>
      <c r="M25" s="13"/>
      <c r="N25" s="14"/>
      <c r="O25" s="14"/>
    </row>
    <row r="26" spans="2:15" x14ac:dyDescent="0.25">
      <c r="B26" s="9">
        <v>16</v>
      </c>
      <c r="C26" s="12">
        <f t="shared" si="3"/>
        <v>1196.9596551270329</v>
      </c>
      <c r="D26" s="13">
        <f t="shared" si="0"/>
        <v>12.998552627563306</v>
      </c>
      <c r="E26" s="13">
        <f t="shared" si="1"/>
        <v>16.404304423863604</v>
      </c>
      <c r="F26" s="14">
        <f t="shared" si="4"/>
        <v>15.884019184077593</v>
      </c>
      <c r="G26" s="66">
        <f t="shared" si="2"/>
        <v>77.323405388089725</v>
      </c>
      <c r="H26" s="12"/>
      <c r="I26" s="16"/>
      <c r="J26" s="14"/>
      <c r="K26" s="17"/>
      <c r="L26" s="14"/>
      <c r="M26" s="13"/>
      <c r="N26" s="14"/>
      <c r="O26" s="14"/>
    </row>
    <row r="27" spans="2:15" x14ac:dyDescent="0.25">
      <c r="B27" s="9">
        <v>17</v>
      </c>
      <c r="C27" s="12">
        <f t="shared" si="3"/>
        <v>1157.7572413311088</v>
      </c>
      <c r="D27" s="13">
        <f t="shared" si="0"/>
        <v>13.662581563723508</v>
      </c>
      <c r="E27" s="13">
        <f t="shared" si="1"/>
        <v>16.95617898475248</v>
      </c>
      <c r="F27" s="14">
        <f t="shared" si="4"/>
        <v>16.973599017794413</v>
      </c>
      <c r="G27" s="66">
        <f t="shared" si="2"/>
        <v>84.859508289463164</v>
      </c>
      <c r="H27" s="12"/>
      <c r="I27" s="16"/>
      <c r="J27" s="14"/>
      <c r="K27" s="17"/>
      <c r="L27" s="14"/>
      <c r="M27" s="13"/>
      <c r="N27" s="14"/>
      <c r="O27" s="14"/>
    </row>
    <row r="28" spans="2:15" x14ac:dyDescent="0.25">
      <c r="B28" s="9">
        <v>18</v>
      </c>
      <c r="C28" s="12">
        <f t="shared" si="3"/>
        <v>1119.8387716020068</v>
      </c>
      <c r="D28" s="13">
        <f t="shared" si="0"/>
        <v>14.318929680629369</v>
      </c>
      <c r="E28" s="13">
        <f t="shared" si="1"/>
        <v>17.470453349041087</v>
      </c>
      <c r="F28" s="14">
        <f t="shared" si="4"/>
        <v>18.03298034391528</v>
      </c>
      <c r="G28" s="66">
        <f t="shared" si="2"/>
        <v>92.527222144629278</v>
      </c>
      <c r="H28" s="12"/>
      <c r="I28" s="16"/>
      <c r="J28" s="14"/>
      <c r="K28" s="17"/>
      <c r="L28" s="14"/>
      <c r="M28" s="13"/>
      <c r="N28" s="14"/>
      <c r="O28" s="14"/>
    </row>
    <row r="29" spans="2:15" x14ac:dyDescent="0.25">
      <c r="B29" s="9">
        <v>19</v>
      </c>
      <c r="C29" s="12">
        <f t="shared" si="3"/>
        <v>1083.162194642191</v>
      </c>
      <c r="D29" s="13">
        <f t="shared" si="0"/>
        <v>14.968031298086704</v>
      </c>
      <c r="E29" s="13">
        <f t="shared" si="1"/>
        <v>17.950687319694786</v>
      </c>
      <c r="F29" s="14">
        <f t="shared" si="4"/>
        <v>19.059598846468219</v>
      </c>
      <c r="G29" s="66">
        <f t="shared" si="2"/>
        <v>100.30113892953899</v>
      </c>
      <c r="H29" s="12"/>
      <c r="I29" s="16"/>
      <c r="J29" s="14"/>
      <c r="K29" s="17"/>
      <c r="L29" s="14"/>
      <c r="M29" s="13"/>
      <c r="N29" s="14"/>
      <c r="O29" s="14"/>
    </row>
    <row r="30" spans="2:15" x14ac:dyDescent="0.25">
      <c r="B30" s="9">
        <v>20</v>
      </c>
      <c r="C30" s="12">
        <f t="shared" si="3"/>
        <v>1047.6868364038558</v>
      </c>
      <c r="D30" s="13">
        <f t="shared" si="0"/>
        <v>15.610272129075497</v>
      </c>
      <c r="E30" s="13">
        <f t="shared" si="1"/>
        <v>18.400031896116737</v>
      </c>
      <c r="F30" s="14">
        <f t="shared" si="4"/>
        <v>20.051336821708809</v>
      </c>
      <c r="G30" s="66">
        <f t="shared" si="2"/>
        <v>108.15691081629731</v>
      </c>
      <c r="H30" s="12"/>
      <c r="I30" s="16"/>
      <c r="J30" s="14"/>
      <c r="K30" s="17"/>
      <c r="L30" s="14"/>
      <c r="M30" s="13"/>
      <c r="N30" s="14"/>
      <c r="O30" s="14"/>
    </row>
    <row r="31" spans="2:15" x14ac:dyDescent="0.25">
      <c r="B31" s="9">
        <v>21</v>
      </c>
      <c r="C31" s="12">
        <f t="shared" si="3"/>
        <v>1013.3733549817208</v>
      </c>
      <c r="D31" s="13">
        <f t="shared" si="0"/>
        <v>16.245996915745089</v>
      </c>
      <c r="E31" s="13">
        <f t="shared" si="1"/>
        <v>18.821280556693484</v>
      </c>
      <c r="F31" s="14">
        <f t="shared" si="4"/>
        <v>21.006471580507601</v>
      </c>
      <c r="G31" s="66">
        <f t="shared" si="2"/>
        <v>116.07125871809473</v>
      </c>
      <c r="H31" s="12"/>
      <c r="I31" s="16"/>
      <c r="J31" s="14"/>
      <c r="K31" s="17"/>
      <c r="L31" s="14"/>
      <c r="M31" s="13"/>
      <c r="N31" s="14"/>
      <c r="O31" s="14"/>
    </row>
    <row r="32" spans="2:15" x14ac:dyDescent="0.25">
      <c r="B32" s="9">
        <v>22</v>
      </c>
      <c r="C32" s="12">
        <f t="shared" si="3"/>
        <v>980.18369698314689</v>
      </c>
      <c r="D32" s="13">
        <f t="shared" si="0"/>
        <v>16.87551555784858</v>
      </c>
      <c r="E32" s="13">
        <f t="shared" si="1"/>
        <v>19.216914531440192</v>
      </c>
      <c r="F32" s="14">
        <f t="shared" si="4"/>
        <v>21.923630358730975</v>
      </c>
      <c r="G32" s="66">
        <f t="shared" si="2"/>
        <v>124.02197693934113</v>
      </c>
      <c r="H32" s="12"/>
      <c r="I32" s="16"/>
      <c r="J32" s="14"/>
      <c r="K32" s="17"/>
      <c r="L32" s="14"/>
      <c r="M32" s="13"/>
      <c r="N32" s="14"/>
      <c r="O32" s="14"/>
    </row>
    <row r="33" spans="2:15" x14ac:dyDescent="0.25">
      <c r="B33" s="9">
        <v>23</v>
      </c>
      <c r="C33" s="12">
        <f t="shared" si="3"/>
        <v>948.08105532721322</v>
      </c>
      <c r="D33" s="13">
        <f t="shared" si="0"/>
        <v>17.499108086412249</v>
      </c>
      <c r="E33" s="13">
        <f t="shared" si="1"/>
        <v>19.589142369933853</v>
      </c>
      <c r="F33" s="14">
        <f t="shared" si="4"/>
        <v>22.801750685523313</v>
      </c>
      <c r="G33" s="66">
        <f t="shared" si="2"/>
        <v>131.98793384315167</v>
      </c>
      <c r="H33" s="12"/>
      <c r="I33" s="16"/>
      <c r="J33" s="14"/>
      <c r="K33" s="17"/>
      <c r="L33" s="14"/>
      <c r="M33" s="13"/>
      <c r="N33" s="14"/>
      <c r="O33" s="14"/>
    </row>
    <row r="34" spans="2:15" x14ac:dyDescent="0.25">
      <c r="B34" s="9">
        <v>24</v>
      </c>
      <c r="C34" s="12">
        <f t="shared" si="3"/>
        <v>917.02982842594463</v>
      </c>
      <c r="D34" s="13">
        <f t="shared" si="0"/>
        <v>18.11702874109541</v>
      </c>
      <c r="E34" s="13">
        <f t="shared" si="1"/>
        <v>19.939934319925676</v>
      </c>
      <c r="F34" s="14">
        <f t="shared" si="4"/>
        <v>23.640045376185817</v>
      </c>
      <c r="G34" s="66">
        <f t="shared" si="2"/>
        <v>139.94906862702004</v>
      </c>
      <c r="H34" s="12"/>
      <c r="I34" s="16"/>
      <c r="J34" s="14"/>
      <c r="K34" s="17"/>
      <c r="L34" s="14"/>
      <c r="M34" s="13"/>
      <c r="N34" s="14"/>
      <c r="O34" s="14"/>
    </row>
    <row r="35" spans="2:15" x14ac:dyDescent="0.25">
      <c r="B35" s="9">
        <v>25</v>
      </c>
      <c r="C35" s="12">
        <f t="shared" si="3"/>
        <v>886.99558070241142</v>
      </c>
      <c r="D35" s="13">
        <f t="shared" si="0"/>
        <v>18.72950934346996</v>
      </c>
      <c r="E35" s="13">
        <f t="shared" si="1"/>
        <v>20.271052100271113</v>
      </c>
      <c r="F35" s="14">
        <f t="shared" si="4"/>
        <v>24.43797147928306</v>
      </c>
      <c r="G35" s="66">
        <f t="shared" si="2"/>
        <v>147.8863844068814</v>
      </c>
      <c r="H35" s="12"/>
      <c r="I35" s="16"/>
      <c r="J35" s="14"/>
      <c r="K35" s="17"/>
      <c r="L35" s="14"/>
      <c r="M35" s="13"/>
      <c r="N35" s="14"/>
      <c r="O35" s="14"/>
    </row>
    <row r="36" spans="2:15" x14ac:dyDescent="0.25">
      <c r="B36" s="9">
        <v>26</v>
      </c>
      <c r="C36" s="12">
        <f t="shared" si="3"/>
        <v>857.94500440194167</v>
      </c>
      <c r="D36" s="13">
        <f t="shared" si="0"/>
        <v>19.336762111167534</v>
      </c>
      <c r="E36" s="13">
        <f t="shared" si="1"/>
        <v>20.584074646680246</v>
      </c>
      <c r="F36" s="14">
        <f t="shared" si="4"/>
        <v>25.195202631990334</v>
      </c>
      <c r="G36" s="66">
        <f t="shared" si="2"/>
        <v>155.78193787359623</v>
      </c>
      <c r="H36" s="12"/>
      <c r="I36" s="16"/>
      <c r="J36" s="14"/>
      <c r="K36" s="17"/>
      <c r="L36" s="14"/>
      <c r="M36" s="13"/>
      <c r="N36" s="14"/>
      <c r="O36" s="14"/>
    </row>
    <row r="37" spans="2:15" x14ac:dyDescent="0.25">
      <c r="B37" s="9">
        <v>27</v>
      </c>
      <c r="C37" s="12">
        <f t="shared" si="3"/>
        <v>829.84588265406512</v>
      </c>
      <c r="D37" s="13">
        <f t="shared" si="0"/>
        <v>19.938982023565309</v>
      </c>
      <c r="E37" s="13">
        <f t="shared" si="1"/>
        <v>20.880420368250377</v>
      </c>
      <c r="F37" s="14">
        <f t="shared" si="4"/>
        <v>25.911604373997555</v>
      </c>
      <c r="G37" s="66">
        <f t="shared" si="2"/>
        <v>163.61882581960754</v>
      </c>
      <c r="H37" s="12"/>
      <c r="I37" s="16"/>
      <c r="J37" s="14"/>
      <c r="K37" s="17"/>
      <c r="L37" s="14"/>
      <c r="M37" s="13"/>
      <c r="N37" s="14"/>
      <c r="O37" s="14"/>
    </row>
    <row r="38" spans="2:15" x14ac:dyDescent="0.25">
      <c r="B38" s="9">
        <v>28</v>
      </c>
      <c r="C38" s="12">
        <f t="shared" si="3"/>
        <v>802.66705374424964</v>
      </c>
      <c r="D38" s="13">
        <f t="shared" si="0"/>
        <v>20.536348824481053</v>
      </c>
      <c r="E38" s="13">
        <f t="shared" si="1"/>
        <v>21.161366397600897</v>
      </c>
      <c r="F38" s="14">
        <f t="shared" si="4"/>
        <v>26.587212045824984</v>
      </c>
      <c r="G38" s="66">
        <f t="shared" si="2"/>
        <v>171.38116884738784</v>
      </c>
      <c r="H38" s="12"/>
      <c r="I38" s="16"/>
      <c r="J38" s="14"/>
      <c r="K38" s="17"/>
      <c r="L38" s="14"/>
      <c r="M38" s="13"/>
      <c r="N38" s="14"/>
      <c r="O38" s="14"/>
    </row>
    <row r="39" spans="2:15" x14ac:dyDescent="0.25">
      <c r="B39" s="9">
        <v>29</v>
      </c>
      <c r="C39" s="12">
        <f t="shared" si="3"/>
        <v>776.37837655579608</v>
      </c>
      <c r="D39" s="13">
        <f t="shared" si="0"/>
        <v>21.129028728582071</v>
      </c>
      <c r="E39" s="13">
        <f t="shared" si="1"/>
        <v>21.428065258814136</v>
      </c>
      <c r="F39" s="14">
        <f t="shared" si="4"/>
        <v>27.222210957365483</v>
      </c>
      <c r="G39" s="66">
        <f t="shared" si="2"/>
        <v>179.05409257207143</v>
      </c>
      <c r="H39" s="12"/>
      <c r="I39" s="16"/>
      <c r="J39" s="14"/>
      <c r="K39" s="17"/>
      <c r="L39" s="14"/>
      <c r="M39" s="13"/>
      <c r="N39" s="14"/>
      <c r="O39" s="14"/>
    </row>
    <row r="40" spans="2:15" x14ac:dyDescent="0.25">
      <c r="B40" s="9">
        <v>30</v>
      </c>
      <c r="C40" s="12">
        <f t="shared" si="3"/>
        <v>750.95069714356225</v>
      </c>
      <c r="D40" s="13">
        <f t="shared" si="0"/>
        <v>21.717175884074315</v>
      </c>
      <c r="E40" s="13">
        <f t="shared" si="1"/>
        <v>21.681559320978526</v>
      </c>
      <c r="F40" s="14">
        <f t="shared" si="4"/>
        <v>27.816918560594981</v>
      </c>
      <c r="G40" s="66">
        <f t="shared" si="2"/>
        <v>186.62370662303172</v>
      </c>
      <c r="H40" s="12"/>
      <c r="I40" s="16"/>
      <c r="J40" s="14"/>
      <c r="K40" s="17"/>
      <c r="L40" s="14"/>
      <c r="M40" s="13"/>
      <c r="N40" s="14"/>
      <c r="O40" s="14"/>
    </row>
    <row r="41" spans="2:15" x14ac:dyDescent="0.25">
      <c r="B41" s="9">
        <v>31</v>
      </c>
      <c r="C41" s="12">
        <f t="shared" si="3"/>
        <v>726.35581640245994</v>
      </c>
      <c r="D41" s="13">
        <f t="shared" si="0"/>
        <v>22.30093363346662</v>
      </c>
      <c r="E41" s="13">
        <f t="shared" si="1"/>
        <v>21.922793353574281</v>
      </c>
      <c r="F41" s="14">
        <f t="shared" si="4"/>
        <v>28.371768399409742</v>
      </c>
      <c r="G41" s="66">
        <f t="shared" si="2"/>
        <v>194.07708173616234</v>
      </c>
      <c r="H41" s="12"/>
      <c r="I41" s="16"/>
      <c r="J41" s="14"/>
      <c r="K41" s="17"/>
      <c r="L41" s="14"/>
      <c r="M41" s="13"/>
      <c r="N41" s="14"/>
      <c r="O41" s="14"/>
    </row>
    <row r="42" spans="2:15" x14ac:dyDescent="0.25">
      <c r="B42" s="9">
        <v>32</v>
      </c>
      <c r="C42" s="12">
        <f t="shared" si="3"/>
        <v>702.56645879486086</v>
      </c>
      <c r="D42" s="13">
        <f t="shared" si="0"/>
        <v>22.880435605918475</v>
      </c>
      <c r="E42" s="13">
        <f t="shared" si="1"/>
        <v>22.15262545420989</v>
      </c>
      <c r="F42" s="14">
        <f t="shared" si="4"/>
        <v>28.887295641484172</v>
      </c>
      <c r="G42" s="66">
        <f t="shared" si="2"/>
        <v>201.40222521242762</v>
      </c>
      <c r="H42" s="12"/>
      <c r="I42" s="16"/>
      <c r="J42" s="14"/>
      <c r="K42" s="17"/>
      <c r="L42" s="14"/>
      <c r="M42" s="13"/>
      <c r="N42" s="14"/>
      <c r="O42" s="14"/>
    </row>
    <row r="43" spans="2:15" x14ac:dyDescent="0.25">
      <c r="B43" s="9">
        <v>33</v>
      </c>
      <c r="C43" s="12">
        <f t="shared" si="3"/>
        <v>679.55624210222652</v>
      </c>
      <c r="D43" s="13">
        <f t="shared" ref="D43:D60" si="5">200*SQRT(F43/(3.1416*C43))</f>
        <v>23.455806668244737</v>
      </c>
      <c r="E43" s="13">
        <f t="shared" ref="E43:E60" si="6">(B43/(B$6+B$7*B43))^2</f>
        <v>22.371836579397765</v>
      </c>
      <c r="F43" s="14">
        <f t="shared" si="4"/>
        <v>29.364124023413414</v>
      </c>
      <c r="G43" s="66">
        <f t="shared" ref="G43:G60" si="7">(0.1315*B43+0.335*$B$5-3.4)*F43</f>
        <v>208.58805500031715</v>
      </c>
      <c r="H43" s="12"/>
      <c r="I43" s="16"/>
      <c r="J43" s="14"/>
      <c r="K43" s="17"/>
      <c r="L43" s="14"/>
      <c r="M43" s="13"/>
      <c r="N43" s="14"/>
      <c r="O43" s="14"/>
    </row>
    <row r="44" spans="2:15" x14ac:dyDescent="0.25">
      <c r="B44" s="9">
        <v>34</v>
      </c>
      <c r="C44" s="12">
        <f t="shared" si="3"/>
        <v>657.29964816743143</v>
      </c>
      <c r="D44" s="13">
        <f t="shared" si="5"/>
        <v>24.027163756607248</v>
      </c>
      <c r="E44" s="13">
        <f t="shared" si="6"/>
        <v>22.581138874791463</v>
      </c>
      <c r="F44" s="14">
        <f t="shared" si="4"/>
        <v>29.80295406235151</v>
      </c>
      <c r="G44" s="66">
        <f t="shared" si="7"/>
        <v>215.62437264111315</v>
      </c>
      <c r="H44" s="12"/>
      <c r="I44" s="16"/>
      <c r="J44" s="14"/>
      <c r="K44" s="17"/>
      <c r="L44" s="14"/>
      <c r="M44" s="13"/>
      <c r="N44" s="14"/>
      <c r="O44" s="14"/>
    </row>
    <row r="45" spans="2:15" x14ac:dyDescent="0.25">
      <c r="B45" s="9">
        <v>35</v>
      </c>
      <c r="C45" s="12">
        <f t="shared" si="3"/>
        <v>635.77199459531425</v>
      </c>
      <c r="D45" s="13">
        <f t="shared" si="5"/>
        <v>24.594616606943038</v>
      </c>
      <c r="E45" s="13">
        <f t="shared" si="6"/>
        <v>22.781182972043425</v>
      </c>
      <c r="F45" s="14">
        <f t="shared" si="4"/>
        <v>30.204552405768812</v>
      </c>
      <c r="G45" s="66">
        <f t="shared" si="7"/>
        <v>222.50183529709597</v>
      </c>
      <c r="H45" s="12"/>
      <c r="I45" s="16"/>
      <c r="J45" s="14"/>
      <c r="K45" s="17"/>
      <c r="L45" s="14"/>
      <c r="M45" s="13"/>
      <c r="N45" s="14"/>
      <c r="O45" s="14"/>
    </row>
    <row r="46" spans="2:15" x14ac:dyDescent="0.25">
      <c r="B46" s="9">
        <v>36</v>
      </c>
      <c r="C46" s="12">
        <f t="shared" si="3"/>
        <v>614.94940738009154</v>
      </c>
      <c r="D46" s="13">
        <f t="shared" si="5"/>
        <v>25.158268399008481</v>
      </c>
      <c r="E46" s="13">
        <f t="shared" si="6"/>
        <v>22.972564394570739</v>
      </c>
      <c r="F46" s="14">
        <f t="shared" si="4"/>
        <v>30.569742206501971</v>
      </c>
      <c r="G46" s="66">
        <f t="shared" si="7"/>
        <v>229.21192706435176</v>
      </c>
      <c r="H46" s="12"/>
      <c r="I46" s="16"/>
      <c r="J46" s="14"/>
      <c r="K46" s="17"/>
      <c r="L46" s="14"/>
      <c r="M46" s="13"/>
      <c r="N46" s="14"/>
      <c r="O46" s="14"/>
    </row>
    <row r="47" spans="2:15" x14ac:dyDescent="0.25">
      <c r="B47" s="9">
        <v>37</v>
      </c>
      <c r="C47" s="12">
        <f t="shared" si="3"/>
        <v>594.80879442926152</v>
      </c>
      <c r="D47" s="13">
        <f t="shared" si="5"/>
        <v>25.718216326379633</v>
      </c>
      <c r="E47" s="13">
        <f t="shared" si="6"/>
        <v>23.155829193438286</v>
      </c>
      <c r="F47" s="14">
        <f t="shared" si="4"/>
        <v>30.899394423492499</v>
      </c>
      <c r="G47" s="66">
        <f t="shared" si="7"/>
        <v>235.74692975403596</v>
      </c>
      <c r="H47" s="12"/>
      <c r="I47" s="16"/>
      <c r="J47" s="14"/>
      <c r="K47" s="17"/>
      <c r="L47" s="14"/>
      <c r="M47" s="13"/>
      <c r="N47" s="14"/>
      <c r="O47" s="14"/>
    </row>
    <row r="48" spans="2:15" x14ac:dyDescent="0.25">
      <c r="B48" s="9">
        <v>38</v>
      </c>
      <c r="C48" s="12">
        <f t="shared" si="3"/>
        <v>575.32781995464859</v>
      </c>
      <c r="D48" s="13">
        <f t="shared" si="5"/>
        <v>26.274552102699332</v>
      </c>
      <c r="E48" s="13">
        <f t="shared" si="6"/>
        <v>23.331478916732806</v>
      </c>
      <c r="F48" s="14">
        <f t="shared" si="4"/>
        <v>31.194419959923284</v>
      </c>
      <c r="G48" s="66">
        <f t="shared" si="7"/>
        <v>242.0998933089646</v>
      </c>
      <c r="H48" s="12"/>
      <c r="I48" s="16"/>
      <c r="J48" s="14"/>
      <c r="K48" s="17"/>
      <c r="L48" s="14"/>
      <c r="M48" s="13"/>
      <c r="N48" s="14"/>
      <c r="O48" s="14"/>
    </row>
    <row r="49" spans="2:15" x14ac:dyDescent="0.25">
      <c r="B49" s="9">
        <v>39</v>
      </c>
      <c r="C49" s="12">
        <f t="shared" si="3"/>
        <v>556.48487970218412</v>
      </c>
      <c r="D49" s="13">
        <f t="shared" si="5"/>
        <v>26.827362412798056</v>
      </c>
      <c r="E49" s="13">
        <f t="shared" si="6"/>
        <v>23.499975000718099</v>
      </c>
      <c r="F49" s="14">
        <f t="shared" si="4"/>
        <v>31.455762560195812</v>
      </c>
      <c r="G49" s="66">
        <f t="shared" si="7"/>
        <v>248.26460600634545</v>
      </c>
      <c r="H49" s="12"/>
      <c r="I49" s="16"/>
      <c r="J49" s="14"/>
      <c r="K49" s="17"/>
      <c r="L49" s="14"/>
      <c r="M49" s="13"/>
      <c r="N49" s="14"/>
      <c r="O49" s="14"/>
    </row>
    <row r="50" spans="2:15" x14ac:dyDescent="0.25">
      <c r="B50" s="9">
        <v>40</v>
      </c>
      <c r="C50" s="12">
        <f t="shared" si="3"/>
        <v>538.25907699294851</v>
      </c>
      <c r="D50" s="13">
        <f t="shared" si="5"/>
        <v>27.376729315956212</v>
      </c>
      <c r="E50" s="13">
        <f t="shared" si="6"/>
        <v>23.661742658303414</v>
      </c>
      <c r="F50" s="14">
        <f t="shared" si="4"/>
        <v>31.684392395611304</v>
      </c>
      <c r="G50" s="66">
        <f t="shared" si="7"/>
        <v>254.23556458238508</v>
      </c>
      <c r="H50" s="12"/>
      <c r="I50" s="16"/>
      <c r="J50" s="14"/>
      <c r="K50" s="17"/>
      <c r="L50" s="14"/>
      <c r="M50" s="13"/>
      <c r="N50" s="14"/>
      <c r="O50" s="14"/>
    </row>
    <row r="51" spans="2:15" x14ac:dyDescent="0.25">
      <c r="B51" s="9">
        <v>41</v>
      </c>
      <c r="C51" s="12">
        <f t="shared" si="3"/>
        <v>520.63019954891229</v>
      </c>
      <c r="D51" s="13">
        <f t="shared" si="5"/>
        <v>27.92273060745908</v>
      </c>
      <c r="E51" s="13">
        <f t="shared" si="6"/>
        <v>23.817174329559808</v>
      </c>
      <c r="F51" s="14">
        <f t="shared" si="4"/>
        <v>31.881300275939147</v>
      </c>
      <c r="G51" s="66">
        <f t="shared" si="7"/>
        <v>260.00794440042171</v>
      </c>
      <c r="H51" s="12"/>
      <c r="I51" s="16"/>
      <c r="J51" s="14"/>
      <c r="K51" s="17"/>
      <c r="L51" s="14"/>
      <c r="M51" s="13"/>
      <c r="N51" s="14"/>
      <c r="O51" s="14"/>
    </row>
    <row r="52" spans="2:15" x14ac:dyDescent="0.25">
      <c r="B52" s="9">
        <v>42</v>
      </c>
      <c r="C52" s="12">
        <f t="shared" si="3"/>
        <v>503.57869707767418</v>
      </c>
      <c r="D52" s="13">
        <f t="shared" si="5"/>
        <v>28.465440143674275</v>
      </c>
      <c r="E52" s="13">
        <f t="shared" si="6"/>
        <v>23.966632749870765</v>
      </c>
      <c r="F52" s="14">
        <f t="shared" si="4"/>
        <v>32.047492430452088</v>
      </c>
      <c r="G52" s="66">
        <f t="shared" si="7"/>
        <v>265.5775697711565</v>
      </c>
      <c r="H52" s="12"/>
      <c r="I52" s="16"/>
      <c r="J52" s="14"/>
      <c r="K52" s="17"/>
      <c r="L52" s="14"/>
      <c r="M52" s="13"/>
      <c r="N52" s="14"/>
      <c r="O52" s="14"/>
    </row>
    <row r="53" spans="2:15" x14ac:dyDescent="0.25">
      <c r="B53" s="9">
        <v>43</v>
      </c>
      <c r="C53" s="12">
        <f t="shared" si="3"/>
        <v>487.0856595913304</v>
      </c>
      <c r="D53" s="13">
        <f t="shared" si="5"/>
        <v>29.004928135116636</v>
      </c>
      <c r="E53" s="13">
        <f t="shared" si="6"/>
        <v>24.110453683542772</v>
      </c>
      <c r="F53" s="14">
        <f t="shared" si="4"/>
        <v>32.183985807616608</v>
      </c>
      <c r="G53" s="66">
        <f t="shared" si="7"/>
        <v>270.9408845214204</v>
      </c>
      <c r="H53" s="12"/>
      <c r="I53" s="16"/>
      <c r="J53" s="14"/>
      <c r="K53" s="17"/>
      <c r="L53" s="14"/>
      <c r="M53" s="13"/>
      <c r="N53" s="14"/>
      <c r="O53" s="14"/>
    </row>
    <row r="54" spans="2:15" x14ac:dyDescent="0.25">
      <c r="B54" s="9">
        <v>44</v>
      </c>
      <c r="C54" s="12">
        <f t="shared" si="3"/>
        <v>471.13279643544234</v>
      </c>
      <c r="D54" s="13">
        <f t="shared" si="5"/>
        <v>29.541261411327145</v>
      </c>
      <c r="E54" s="13">
        <f t="shared" si="6"/>
        <v>24.248948364107207</v>
      </c>
      <c r="F54" s="14">
        <f t="shared" si="4"/>
        <v>32.29180384756927</v>
      </c>
      <c r="G54" s="66">
        <f t="shared" si="7"/>
        <v>276.09492289671721</v>
      </c>
      <c r="H54" s="12"/>
      <c r="I54" s="16"/>
      <c r="J54" s="14"/>
      <c r="K54" s="17"/>
      <c r="L54" s="14"/>
      <c r="M54" s="13"/>
      <c r="N54" s="14"/>
      <c r="O54" s="14"/>
    </row>
    <row r="55" spans="2:15" x14ac:dyDescent="0.25">
      <c r="B55" s="9">
        <v>45</v>
      </c>
      <c r="C55" s="12">
        <f t="shared" si="3"/>
        <v>455.70241600483973</v>
      </c>
      <c r="D55" s="13">
        <f t="shared" si="5"/>
        <v>30.07450366085861</v>
      </c>
      <c r="E55" s="13">
        <f t="shared" si="6"/>
        <v>24.382405676932937</v>
      </c>
      <c r="F55" s="14">
        <f t="shared" si="4"/>
        <v>32.371972685879484</v>
      </c>
      <c r="G55" s="66">
        <f t="shared" si="7"/>
        <v>281.03728087246276</v>
      </c>
      <c r="H55" s="12"/>
      <c r="I55" s="16"/>
      <c r="J55" s="14"/>
      <c r="K55" s="17"/>
      <c r="L55" s="14"/>
      <c r="M55" s="13"/>
      <c r="N55" s="14"/>
      <c r="O55" s="14"/>
    </row>
    <row r="56" spans="2:15" x14ac:dyDescent="0.25">
      <c r="B56" s="9">
        <v>46</v>
      </c>
      <c r="C56" s="12">
        <f t="shared" si="3"/>
        <v>440.77740612376056</v>
      </c>
      <c r="D56" s="13">
        <f t="shared" si="5"/>
        <v>30.604715649211457</v>
      </c>
      <c r="E56" s="13">
        <f t="shared" si="6"/>
        <v>24.511094114984083</v>
      </c>
      <c r="F56" s="14">
        <f t="shared" si="4"/>
        <v>32.425517750977299</v>
      </c>
      <c r="G56" s="66">
        <f t="shared" si="7"/>
        <v>285.76608793936293</v>
      </c>
      <c r="H56" s="12"/>
      <c r="I56" s="16"/>
      <c r="J56" s="14"/>
      <c r="K56" s="17"/>
      <c r="L56" s="14"/>
      <c r="M56" s="13"/>
      <c r="N56" s="14"/>
      <c r="O56" s="14"/>
    </row>
    <row r="57" spans="2:15" x14ac:dyDescent="0.25">
      <c r="B57" s="9">
        <v>47</v>
      </c>
      <c r="C57" s="12">
        <f t="shared" si="3"/>
        <v>426.34121506857889</v>
      </c>
      <c r="D57" s="13">
        <f t="shared" si="5"/>
        <v>31.131955417183043</v>
      </c>
      <c r="E57" s="13">
        <f t="shared" si="6"/>
        <v>24.635263534469775</v>
      </c>
      <c r="F57" s="14">
        <f t="shared" si="4"/>
        <v>32.453460721077896</v>
      </c>
      <c r="G57" s="66">
        <f t="shared" si="7"/>
        <v>290.27997941968124</v>
      </c>
      <c r="H57" s="12"/>
      <c r="I57" s="16"/>
      <c r="J57" s="14"/>
      <c r="K57" s="17"/>
      <c r="L57" s="14"/>
      <c r="M57" s="13"/>
      <c r="N57" s="14"/>
      <c r="O57" s="14"/>
    </row>
    <row r="58" spans="2:15" x14ac:dyDescent="0.25">
      <c r="B58" s="9">
        <v>48</v>
      </c>
      <c r="C58" s="12">
        <f t="shared" si="3"/>
        <v>412.37783321206837</v>
      </c>
      <c r="D58" s="13">
        <f t="shared" si="5"/>
        <v>31.656278461772182</v>
      </c>
      <c r="E58" s="13">
        <f t="shared" si="6"/>
        <v>24.755146733634753</v>
      </c>
      <c r="F58" s="14">
        <f t="shared" si="4"/>
        <v>32.456816809517463</v>
      </c>
      <c r="G58" s="66">
        <f t="shared" si="7"/>
        <v>294.57806936318048</v>
      </c>
      <c r="H58" s="12"/>
      <c r="I58" s="16"/>
      <c r="J58" s="14"/>
      <c r="K58" s="17"/>
      <c r="L58" s="14"/>
      <c r="M58" s="13"/>
      <c r="N58" s="14"/>
      <c r="O58" s="14"/>
    </row>
    <row r="59" spans="2:15" x14ac:dyDescent="0.25">
      <c r="B59" s="9">
        <v>49</v>
      </c>
      <c r="C59" s="12">
        <f t="shared" si="3"/>
        <v>398.87177526884523</v>
      </c>
      <c r="D59" s="13">
        <f t="shared" si="5"/>
        <v>32.177737901506106</v>
      </c>
      <c r="E59" s="13">
        <f t="shared" si="6"/>
        <v>24.870960874939556</v>
      </c>
      <c r="F59" s="14">
        <f t="shared" si="4"/>
        <v>32.436592350177129</v>
      </c>
      <c r="G59" s="66">
        <f t="shared" si="7"/>
        <v>298.6599240642559</v>
      </c>
      <c r="H59" s="12"/>
      <c r="I59" s="16"/>
      <c r="J59" s="14"/>
      <c r="K59" s="17"/>
      <c r="L59" s="14"/>
      <c r="M59" s="13"/>
      <c r="N59" s="14"/>
      <c r="O59" s="14"/>
    </row>
    <row r="60" spans="2:15" ht="13.8" thickBot="1" x14ac:dyDescent="0.3">
      <c r="B60" s="19">
        <v>50</v>
      </c>
      <c r="C60" s="20">
        <f t="shared" si="3"/>
        <v>385.80806312230294</v>
      </c>
      <c r="D60" s="21">
        <f t="shared" si="5"/>
        <v>32.696384627824379</v>
      </c>
      <c r="E60" s="21">
        <f t="shared" si="6"/>
        <v>24.982908768301538</v>
      </c>
      <c r="F60" s="22">
        <f t="shared" si="4"/>
        <v>32.393782657154766</v>
      </c>
      <c r="G60" s="67">
        <f t="shared" si="7"/>
        <v>302.52553623516837</v>
      </c>
      <c r="H60" s="12"/>
      <c r="I60" s="16"/>
      <c r="J60" s="14"/>
      <c r="K60" s="17"/>
      <c r="L60" s="14"/>
      <c r="M60" s="13"/>
      <c r="N60" s="14"/>
      <c r="O60" s="14"/>
    </row>
  </sheetData>
  <mergeCells count="3">
    <mergeCell ref="B9:G9"/>
    <mergeCell ref="H9:L9"/>
    <mergeCell ref="M9:O9"/>
  </mergeCells>
  <printOptions gridLines="1"/>
  <pageMargins left="0.75" right="0.75" top="1" bottom="1" header="0.5" footer="0.5"/>
  <pageSetup scale="64" orientation="landscape" horizontalDpi="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workbookViewId="0"/>
  </sheetViews>
  <sheetFormatPr defaultRowHeight="13.2" x14ac:dyDescent="0.25"/>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heetViews>
  <sheetFormatPr defaultRowHeight="13.2" x14ac:dyDescent="0.25"/>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IO.CONTROL</vt:lpstr>
      <vt:lpstr>CASH.FLOW</vt:lpstr>
      <vt:lpstr>STAND.PARAMS</vt:lpstr>
      <vt:lpstr>STD.TBLE.THINNED</vt:lpstr>
      <vt:lpstr>STD.TBLE.UNTHINNED</vt:lpstr>
      <vt:lpstr>Sheet7</vt:lpstr>
      <vt:lpstr>Sheet8</vt:lpstr>
      <vt:lpstr>Sheet9</vt:lpstr>
      <vt:lpstr>CASH.FLOW!Print_Area</vt:lpstr>
      <vt:lpstr>IO.CONTROL!Print_Area</vt:lpstr>
      <vt:lpstr>STAND.PARAMS!Print_Area</vt:lpstr>
      <vt:lpstr>STD.TBLE.THINNED!Print_Area</vt:lpstr>
      <vt:lpstr>STD.TBLE.UNTHINNED!Print_Area</vt:lpstr>
    </vt:vector>
  </TitlesOfParts>
  <Company>UofW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greulich</dc:creator>
  <cp:lastModifiedBy>Aniket Gupta</cp:lastModifiedBy>
  <cp:lastPrinted>2000-09-21T17:20:55Z</cp:lastPrinted>
  <dcterms:created xsi:type="dcterms:W3CDTF">2000-09-04T18:27:15Z</dcterms:created>
  <dcterms:modified xsi:type="dcterms:W3CDTF">2024-02-03T22:30:04Z</dcterms:modified>
</cp:coreProperties>
</file>