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4F02894-5746-454F-929A-B200B20A1449}" xr6:coauthVersionLast="47" xr6:coauthVersionMax="47" xr10:uidLastSave="{00000000-0000-0000-0000-000000000000}"/>
  <bookViews>
    <workbookView xWindow="3348" yWindow="3348" windowWidth="17280" windowHeight="8880"/>
  </bookViews>
  <sheets>
    <sheet name="Calculator" sheetId="1" r:id="rId1"/>
    <sheet name="Details" sheetId="5" r:id="rId2"/>
    <sheet name="Notes" sheetId="4" r:id="rId3"/>
  </sheets>
  <definedNames>
    <definedName name="vCTPlusR">Details!$B$58</definedName>
    <definedName name="vCTPlusRImproved">Details!$C$58</definedName>
    <definedName name="vD_Avg">Details!$B$53</definedName>
    <definedName name="vD_avgImproved">Details!$C$53</definedName>
    <definedName name="vD_stdDev">Details!$B$54</definedName>
    <definedName name="vD_stdDevImproved">Details!$C$54</definedName>
    <definedName name="vD2_avg">Details!$B$59</definedName>
    <definedName name="vD2_avgImproved">Details!$C$59</definedName>
    <definedName name="vD2_stdDev">Details!$B$60</definedName>
    <definedName name="vD2_stdDevImproved">Details!$C$60</definedName>
    <definedName name="vDesignWinFactorLearningCycles">Calculator!$C$16</definedName>
    <definedName name="vDesignWinFactorRDCycleTime">Calculator!$C$17</definedName>
    <definedName name="vDesignWins">Calculator!$C$15</definedName>
    <definedName name="vDTYears">Calculator!$C$19</definedName>
    <definedName name="vE1ReducedExpense">Details!$C$36</definedName>
    <definedName name="vE2ReducedExpenses">Details!$C$47</definedName>
    <definedName name="vE3ReducedExpense">Details!$C$68</definedName>
    <definedName name="vE4ReducedExpense">Details!$C$77</definedName>
    <definedName name="vECNCost">Calculator!$C$25</definedName>
    <definedName name="vECNPct">Calculator!$C$12</definedName>
    <definedName name="vFabCTBaseline">Calculator!$C$6</definedName>
    <definedName name="vFabCTImproved">Calculator!#REF!</definedName>
    <definedName name="vFabCTY">Details!$B$56</definedName>
    <definedName name="vFabCTYImproved">Details!$C$56</definedName>
    <definedName name="vGDPW">Calculator!$C$13</definedName>
    <definedName name="vh">Details!$B$52</definedName>
    <definedName name="vhcp">Calculator!$C$27</definedName>
    <definedName name="vhImproved">Details!$C$52</definedName>
    <definedName name="vIRR">Calculator!#REF!</definedName>
    <definedName name="vLineYield">Calculator!$C$10</definedName>
    <definedName name="vLossPct">Calculator!$C$24</definedName>
    <definedName name="vLossQty">Details!$B$65</definedName>
    <definedName name="vLossQtyImproved">Details!$C$65</definedName>
    <definedName name="vLP">Calculator!$C$22</definedName>
    <definedName name="vMidLineWIPValue">Details!$B$4</definedName>
    <definedName name="vNewProductPct">Calculator!$C$9</definedName>
    <definedName name="vNewProductVolume">Details!$B$3</definedName>
    <definedName name="vNormInv">Details!$B$63</definedName>
    <definedName name="vNormInvImproved">Details!$C$63</definedName>
    <definedName name="vOneMinusRHS">Details!$B$62</definedName>
    <definedName name="vOneMinusRHSImproved">Details!$C$62</definedName>
    <definedName name="vOrderUpTo">Details!$B$64</definedName>
    <definedName name="vOrderUpToImproved">Details!$C$64</definedName>
    <definedName name="vPf">Calculator!$C$21</definedName>
    <definedName name="vPricingFactorRDCycleTime">Calculator!$C$18</definedName>
    <definedName name="vProdCTImprovement">Calculator!$C$4</definedName>
    <definedName name="vR">Calculator!$C$20</definedName>
    <definedName name="vR1AdditionalRevenue">Details!$C$13</definedName>
    <definedName name="vR2AdditionalRevenue">Details!$C$21</definedName>
    <definedName name="vR3AdditionalRevenue">Details!$C$28</definedName>
    <definedName name="vR4AdditionalRevenue">Details!#REF!</definedName>
    <definedName name="vRawWaferCost">Calculator!$C$26</definedName>
    <definedName name="vRDCTBaseline">Calculator!$C$7</definedName>
    <definedName name="vRDCTImprovement">Calculator!$C$5</definedName>
    <definedName name="vRHS">Details!$B$61</definedName>
    <definedName name="vRHSImproved">Details!$C$61</definedName>
    <definedName name="vRY">Details!$B$57</definedName>
    <definedName name="vRYImproved">Details!$C$57</definedName>
    <definedName name="vVolatility">Calculator!$C$23</definedName>
    <definedName name="vWorkWeeks">Calculator!$C$14</definedName>
    <definedName name="vWriteOff">Details!$B$66</definedName>
    <definedName name="vWriteOffAnnual">Details!$B$67</definedName>
    <definedName name="vWriteOffAnnualImproved">Details!$C$67</definedName>
    <definedName name="vWriteOffImproved">Details!$C$66</definedName>
    <definedName name="vWWOuts">Calculator!$C$8</definedName>
    <definedName name="vYieldFactorProdCycleTime">Calculator!$C$11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9" i="5"/>
  <c r="C9" i="5"/>
  <c r="C10" i="5" s="1"/>
  <c r="C11" i="5" s="1"/>
  <c r="C12" i="5" s="1"/>
  <c r="C13" i="5" s="1"/>
  <c r="C34" i="1" s="1"/>
  <c r="C18" i="5"/>
  <c r="C19" i="5" s="1"/>
  <c r="C20" i="5" s="1"/>
  <c r="C21" i="5" s="1"/>
  <c r="C35" i="1" s="1"/>
  <c r="C26" i="5"/>
  <c r="C27" i="5" s="1"/>
  <c r="C28" i="5" s="1"/>
  <c r="C36" i="1" s="1"/>
  <c r="B27" i="5"/>
  <c r="C33" i="5"/>
  <c r="B34" i="5"/>
  <c r="C35" i="5" s="1"/>
  <c r="C36" i="5" s="1"/>
  <c r="C30" i="1" s="1"/>
  <c r="C34" i="5"/>
  <c r="B41" i="5"/>
  <c r="C41" i="5"/>
  <c r="C43" i="5" s="1"/>
  <c r="C44" i="5" s="1"/>
  <c r="C45" i="5" s="1"/>
  <c r="C46" i="5" s="1"/>
  <c r="B42" i="5"/>
  <c r="B43" i="5" s="1"/>
  <c r="B44" i="5" s="1"/>
  <c r="B45" i="5" s="1"/>
  <c r="B46" i="5" s="1"/>
  <c r="C47" i="5" s="1"/>
  <c r="C31" i="1" s="1"/>
  <c r="C42" i="5"/>
  <c r="B52" i="5"/>
  <c r="C52" i="5"/>
  <c r="B53" i="5"/>
  <c r="B55" i="5" s="1"/>
  <c r="C53" i="5"/>
  <c r="B54" i="5"/>
  <c r="C54" i="5"/>
  <c r="C55" i="5"/>
  <c r="B56" i="5"/>
  <c r="C56" i="5"/>
  <c r="B57" i="5"/>
  <c r="B61" i="5" s="1"/>
  <c r="B62" i="5" s="1"/>
  <c r="B63" i="5" s="1"/>
  <c r="C57" i="5"/>
  <c r="B58" i="5"/>
  <c r="B60" i="5" s="1"/>
  <c r="C58" i="5"/>
  <c r="C59" i="5" s="1"/>
  <c r="C61" i="5"/>
  <c r="C62" i="5"/>
  <c r="C63" i="5" s="1"/>
  <c r="B72" i="5"/>
  <c r="C72" i="5"/>
  <c r="B73" i="5"/>
  <c r="C73" i="5"/>
  <c r="C74" i="5" s="1"/>
  <c r="C75" i="5" s="1"/>
  <c r="C76" i="5" s="1"/>
  <c r="B74" i="5"/>
  <c r="B75" i="5" s="1"/>
  <c r="B76" i="5" s="1"/>
  <c r="C77" i="5" s="1"/>
  <c r="C33" i="1" s="1"/>
  <c r="B64" i="5" l="1"/>
  <c r="B65" i="5" s="1"/>
  <c r="B66" i="5" s="1"/>
  <c r="B67" i="5" s="1"/>
  <c r="C60" i="5"/>
  <c r="C64" i="5" s="1"/>
  <c r="C65" i="5" s="1"/>
  <c r="C66" i="5" s="1"/>
  <c r="C67" i="5" s="1"/>
  <c r="B59" i="5"/>
  <c r="C68" i="5" l="1"/>
  <c r="C32" i="1" s="1"/>
  <c r="C38" i="1" s="1"/>
</calcChain>
</file>

<file path=xl/sharedStrings.xml><?xml version="1.0" encoding="utf-8"?>
<sst xmlns="http://schemas.openxmlformats.org/spreadsheetml/2006/main" count="249" uniqueCount="177">
  <si>
    <t>Description</t>
  </si>
  <si>
    <t>h</t>
  </si>
  <si>
    <t>D_avg</t>
  </si>
  <si>
    <t>D_stdDev</t>
  </si>
  <si>
    <t>CTPlusR</t>
  </si>
  <si>
    <t>FabCTY</t>
  </si>
  <si>
    <t>Fab's cycle time (years)</t>
  </si>
  <si>
    <t>RY</t>
  </si>
  <si>
    <t>D2_avg</t>
  </si>
  <si>
    <t>Estimate for average demand during cycle time plus review time</t>
  </si>
  <si>
    <t>D2_stdDev</t>
  </si>
  <si>
    <t>Estimate for standard deviation of demand during cycle time plus review time</t>
  </si>
  <si>
    <t>RHS</t>
  </si>
  <si>
    <t>Right-hand-side of periodic review policy solution equation</t>
  </si>
  <si>
    <t>OneMinusRHS</t>
  </si>
  <si>
    <t>One-minus right-hand side</t>
  </si>
  <si>
    <t>Cycle time plus review time (years)</t>
  </si>
  <si>
    <t>NormInv</t>
  </si>
  <si>
    <t>z-value for OneMinusRHS -- value such that P(Z &lt;= z) = OneMinusRHS, where Z is N(0,1) random variable</t>
  </si>
  <si>
    <t>OrderUpTo</t>
  </si>
  <si>
    <t>LossQty</t>
  </si>
  <si>
    <t>WriteOff</t>
  </si>
  <si>
    <t>FabRev</t>
  </si>
  <si>
    <t>Estimated average annual fab sales revenue</t>
  </si>
  <si>
    <t>WWOuts</t>
  </si>
  <si>
    <t>Estimated average yearly demand (shipments) for good devices</t>
  </si>
  <si>
    <t>Volatility</t>
  </si>
  <si>
    <t>Calculation</t>
  </si>
  <si>
    <t>Improved Results</t>
  </si>
  <si>
    <t>Notes</t>
  </si>
  <si>
    <t>Uses standard (R,S) periodic review policy for inventory order-up to points.</t>
  </si>
  <si>
    <t>Calculations as given in section 17-8 of "Operations Research: Application and Algorithms (2nd ed)" by Wayne Winston.</t>
  </si>
  <si>
    <t>Regards,</t>
  </si>
  <si>
    <t>Frank Chance</t>
  </si>
  <si>
    <t>Source</t>
  </si>
  <si>
    <t>Operations</t>
  </si>
  <si>
    <t>Marketing/Sales</t>
  </si>
  <si>
    <t>Finance</t>
  </si>
  <si>
    <t>Post-fab's estimate for standard deviation of yearly demand for device</t>
  </si>
  <si>
    <t>Quantity post-fab will write-off in case of industry downturn.</t>
  </si>
  <si>
    <t>Time between post-fab order reviews or cycles (years)</t>
  </si>
  <si>
    <t>Holding cost for post-fab to hold one device for one year</t>
  </si>
  <si>
    <t>Dollar amount post-fab will write-off.</t>
  </si>
  <si>
    <t>"Optimal" order-up-to quantity for post-fab, e.g. when ordering, should represent the on-hand quantity plus the quantity ordered.</t>
  </si>
  <si>
    <t>Policy assumes post-fab demand is normally distributed.</t>
  </si>
  <si>
    <t>Assumes there is some lost profit due to post-fab not having device on hand when demand occurs (e.g. there are competitive providers).</t>
  </si>
  <si>
    <t>Assumes constant lead-time from fab.</t>
  </si>
  <si>
    <t>Bottom-Line Benefits of Cycle Time Management</t>
  </si>
  <si>
    <t>Benefit</t>
  </si>
  <si>
    <t>Category</t>
  </si>
  <si>
    <t>Revenue</t>
  </si>
  <si>
    <t>R3: Pricing Premium</t>
  </si>
  <si>
    <t>E1: Raw Material Savings</t>
  </si>
  <si>
    <t>Expense</t>
  </si>
  <si>
    <t>Annualized</t>
  </si>
  <si>
    <t>Write-off annualized by average time between downturns.</t>
  </si>
  <si>
    <t>Total Annual Benefit of Cycle Time Management</t>
  </si>
  <si>
    <t>Yield</t>
  </si>
  <si>
    <t>Yield Factor</t>
  </si>
  <si>
    <t>R1: Design Wins (Increased cycles of learning)</t>
  </si>
  <si>
    <t>Estimated cycles of learning per year (365 / R&amp;D cycle time)</t>
  </si>
  <si>
    <t>Devices per Wafer</t>
  </si>
  <si>
    <t>Design Wins</t>
  </si>
  <si>
    <t>Write-Off%</t>
  </si>
  <si>
    <t>New Product Volume</t>
  </si>
  <si>
    <t>Additional Wafers</t>
  </si>
  <si>
    <t>Additional Wins</t>
  </si>
  <si>
    <t>Wafers due to additional design wins</t>
  </si>
  <si>
    <t>Additional Devices</t>
  </si>
  <si>
    <t>Devices due to additional design wins</t>
  </si>
  <si>
    <t>Additional Revenue</t>
  </si>
  <si>
    <t>Revenue due to additional design wins</t>
  </si>
  <si>
    <t>R2: Design Wins (First to Market)</t>
  </si>
  <si>
    <t>Learning Cycles</t>
  </si>
  <si>
    <t>Design Win Factor1</t>
  </si>
  <si>
    <t>Design Win Factor2</t>
  </si>
  <si>
    <t>New Product%</t>
  </si>
  <si>
    <t>Intermediate Results</t>
  </si>
  <si>
    <t>Results</t>
  </si>
  <si>
    <t>Work Weeks</t>
  </si>
  <si>
    <t>Estimated additional design wins per year (Additional cycles * Learning Cycle Factor * Current Design Wins)</t>
  </si>
  <si>
    <t>Estimated additional design wins per year (R&amp;D cycle time reduction * Cycle time Factor * Current Design Wins</t>
  </si>
  <si>
    <t>Pricing Factor</t>
  </si>
  <si>
    <t>R3: Pricing Premium (First to Market)</t>
  </si>
  <si>
    <t>New Product Revenue</t>
  </si>
  <si>
    <t>Annual revenue derived from new products</t>
  </si>
  <si>
    <t>Pricing Premium</t>
  </si>
  <si>
    <t>Estimated pricing premium (per device)</t>
  </si>
  <si>
    <t>Revenue due to pricing premium</t>
  </si>
  <si>
    <t>Yield Improvement</t>
  </si>
  <si>
    <t>Estimated yield improvement</t>
  </si>
  <si>
    <t>Wafers due to yield improvement</t>
  </si>
  <si>
    <t>Device Revenue</t>
  </si>
  <si>
    <t>Order Cycle</t>
  </si>
  <si>
    <t>Lost Profit</t>
  </si>
  <si>
    <t>Raw Wafer Cost</t>
  </si>
  <si>
    <t>Annual Starts</t>
  </si>
  <si>
    <t>Reduced Starts</t>
  </si>
  <si>
    <t>Wafers started</t>
  </si>
  <si>
    <t>Reduced Expense</t>
  </si>
  <si>
    <t>Reduced expenses due to yield improvement</t>
  </si>
  <si>
    <t>Average WIP</t>
  </si>
  <si>
    <t>Average Cycle Time</t>
  </si>
  <si>
    <t>Production cycle time (weeks)</t>
  </si>
  <si>
    <t>Starts</t>
  </si>
  <si>
    <t>Per week</t>
  </si>
  <si>
    <t>Using Little's Law: WIP = (Starts) * (Cycle Time)</t>
  </si>
  <si>
    <t>Mid-Line WIP Value</t>
  </si>
  <si>
    <t>Valued @ Mid-Line</t>
  </si>
  <si>
    <t>Valued at midpoint between raw wafer cost and end-of-line</t>
  </si>
  <si>
    <t>WIP Carrying Cost</t>
  </si>
  <si>
    <t>Cost of capital required to finance WIP, using corporation's internal rate of return</t>
  </si>
  <si>
    <t>Reduction in WIP carrying cost due to cycle time improvement</t>
  </si>
  <si>
    <t>ECN%</t>
  </si>
  <si>
    <t>ECN Cost</t>
  </si>
  <si>
    <t>ECN Wafers (Annual)</t>
  </si>
  <si>
    <t>Estimated wafers requiring ECN action per week</t>
  </si>
  <si>
    <t>ECN Wafers (Week)</t>
  </si>
  <si>
    <t>Per year</t>
  </si>
  <si>
    <t>ECN Cost per year</t>
  </si>
  <si>
    <t>Reduced Expenses</t>
  </si>
  <si>
    <t>Reduced expenses due to reduction in WIP / fewer ECNs required.</t>
  </si>
  <si>
    <t>Downturn Cycle</t>
  </si>
  <si>
    <t>Current Results</t>
  </si>
  <si>
    <t>E3: Finished Inventory Write-Offs:</t>
  </si>
  <si>
    <t>Annual $</t>
  </si>
  <si>
    <t>Valued on revenue basis.</t>
  </si>
  <si>
    <t>Inputs</t>
  </si>
  <si>
    <t>E1: Raw Material Savings (Yield Improvement)</t>
  </si>
  <si>
    <t>Decreasing WIP means fewer wafers hit by ECNs.</t>
  </si>
  <si>
    <t>Decreasing WIP means lower cost to carry WIP.</t>
  </si>
  <si>
    <t>Increasing cycles of learning means more competitive products.</t>
  </si>
  <si>
    <t>Shorter R&amp;D cycle times means faster time to market.</t>
  </si>
  <si>
    <t>More competitive products on the market sooner means more pricing power.</t>
  </si>
  <si>
    <t>Improving yield means fewer starts required for same outs volume.</t>
  </si>
  <si>
    <t>Production Cycle Time %</t>
  </si>
  <si>
    <t>R&amp;D Cycle Time %</t>
  </si>
  <si>
    <t>Production Cycle Time</t>
  </si>
  <si>
    <t>R&amp;D Cycle Time</t>
  </si>
  <si>
    <t>Target improvement in production cycle time.</t>
  </si>
  <si>
    <t>Target improvement in R&amp;D cycle time.</t>
  </si>
  <si>
    <t>Current production cycle time (in days).</t>
  </si>
  <si>
    <t>Current R&amp;D cycle time (in days).</t>
  </si>
  <si>
    <t>Weekly wafer outs.</t>
  </si>
  <si>
    <t>% of outs that are new products (design wins from prior 12 months).</t>
  </si>
  <si>
    <t>Fab's current line yield.</t>
  </si>
  <si>
    <t>% increase in line yield per 1-day reduction in production cycle time.</t>
  </si>
  <si>
    <t>% of WIP requiring ECN action (per week).</t>
  </si>
  <si>
    <t>Good devices per shipped wafer.</t>
  </si>
  <si>
    <t>Fab workweeks per year.</t>
  </si>
  <si>
    <t>Current design wins per year.</t>
  </si>
  <si>
    <t>% increase in design wins per additional R&amp;D learning cycle.</t>
  </si>
  <si>
    <t>% increase in design wins per 1-day reduction in R&amp;D cycle time.</t>
  </si>
  <si>
    <t>% increase in new-product pricing per 1-day reduction in R&amp;D cycle time.</t>
  </si>
  <si>
    <t>Years between industry downturns.</t>
  </si>
  <si>
    <t>Days between post-fab order reviews or cycles.</t>
  </si>
  <si>
    <t>Fab's revenue per good device.</t>
  </si>
  <si>
    <t>Post-fab's lost profit if it does not have device to sell.</t>
  </si>
  <si>
    <t>Estimated volatility in yearly demand for individual device-types.</t>
  </si>
  <si>
    <t>% of inventory post-fab writes off in case of industry downturn.</t>
  </si>
  <si>
    <t>Cost to address an ECN (per wafer).</t>
  </si>
  <si>
    <t>Cost of wafer when released into fab.</t>
  </si>
  <si>
    <t>Cost of holding WIP.</t>
  </si>
  <si>
    <t>R1: Design Wins / Learning</t>
  </si>
  <si>
    <t>R2: Design Wins / First to Mkt</t>
  </si>
  <si>
    <t>E2: ECN Savings</t>
  </si>
  <si>
    <t>E2: ECN Savings (Decreased WIP)</t>
  </si>
  <si>
    <t>E3: Finished Inventory Write-Off Savings (Decreased Safety Stock Required)</t>
  </si>
  <si>
    <t>E4: WIP Carrying Cost Savings (Decreased WIP)</t>
  </si>
  <si>
    <t>Decreasing cycle time means less finished goods safety stock required.</t>
  </si>
  <si>
    <t>E4: WIP Carrying Cost Savings</t>
  </si>
  <si>
    <t>E3: F.G. Write-Off Savings</t>
  </si>
  <si>
    <t>Input: Current Design Wins per Year:</t>
  </si>
  <si>
    <t>If you examine the details of the calculations, you will find that the number of design wins is used in several intermediate</t>
  </si>
  <si>
    <t>calculations, but cancels out in the final benefit amount. We continue to include this input variable, because</t>
  </si>
  <si>
    <t>it makes the intermediate variables more intuitive and thus easier to understand and double-check.</t>
  </si>
  <si>
    <t xml:space="preserve">Changing the number of design wins per year does not change the outputs.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</si>
</sst>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85" formatCode="0.0%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3" applyAlignment="1" applyProtection="1"/>
    <xf numFmtId="165" fontId="5" fillId="2" borderId="1" xfId="1" applyNumberFormat="1" applyFont="1" applyFill="1" applyBorder="1" applyAlignment="1" applyProtection="1">
      <alignment horizontal="right"/>
      <protection locked="0"/>
    </xf>
    <xf numFmtId="0" fontId="5" fillId="2" borderId="1" xfId="0" applyFont="1" applyFill="1" applyBorder="1" applyAlignment="1" applyProtection="1">
      <alignment horizontal="right"/>
      <protection locked="0"/>
    </xf>
    <xf numFmtId="9" fontId="5" fillId="2" borderId="1" xfId="4" applyFont="1" applyFill="1" applyBorder="1" applyAlignment="1" applyProtection="1">
      <alignment horizontal="right"/>
      <protection locked="0"/>
    </xf>
    <xf numFmtId="6" fontId="5" fillId="2" borderId="1" xfId="0" applyNumberFormat="1" applyFont="1" applyFill="1" applyBorder="1" applyAlignment="1" applyProtection="1">
      <alignment horizontal="right"/>
      <protection locked="0"/>
    </xf>
    <xf numFmtId="9" fontId="5" fillId="2" borderId="1" xfId="1" applyNumberFormat="1" applyFont="1" applyFill="1" applyBorder="1" applyAlignment="1" applyProtection="1">
      <alignment horizontal="right"/>
      <protection locked="0"/>
    </xf>
    <xf numFmtId="9" fontId="5" fillId="2" borderId="2" xfId="0" applyNumberFormat="1" applyFont="1" applyFill="1" applyBorder="1" applyAlignment="1" applyProtection="1">
      <alignment horizontal="right"/>
      <protection locked="0"/>
    </xf>
    <xf numFmtId="5" fontId="5" fillId="2" borderId="1" xfId="2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9" fontId="5" fillId="2" borderId="1" xfId="0" applyNumberFormat="1" applyFont="1" applyFill="1" applyBorder="1" applyAlignment="1" applyProtection="1">
      <alignment horizontal="right"/>
      <protection locked="0"/>
    </xf>
    <xf numFmtId="0" fontId="5" fillId="0" borderId="0" xfId="0" applyFont="1"/>
    <xf numFmtId="43" fontId="0" fillId="0" borderId="0" xfId="1" applyFont="1"/>
    <xf numFmtId="44" fontId="0" fillId="0" borderId="0" xfId="2" applyFont="1"/>
    <xf numFmtId="167" fontId="0" fillId="0" borderId="0" xfId="2" applyNumberFormat="1" applyFont="1"/>
    <xf numFmtId="10" fontId="0" fillId="0" borderId="0" xfId="4" applyNumberFormat="1" applyFont="1"/>
    <xf numFmtId="167" fontId="0" fillId="0" borderId="0" xfId="0" applyNumberFormat="1"/>
    <xf numFmtId="185" fontId="5" fillId="2" borderId="1" xfId="0" applyNumberFormat="1" applyFont="1" applyFill="1" applyBorder="1" applyAlignment="1" applyProtection="1">
      <alignment horizontal="right"/>
      <protection locked="0"/>
    </xf>
    <xf numFmtId="165" fontId="0" fillId="0" borderId="0" xfId="1" applyNumberFormat="1" applyFont="1"/>
    <xf numFmtId="6" fontId="5" fillId="2" borderId="1" xfId="4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167" fontId="0" fillId="0" borderId="0" xfId="2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167" fontId="0" fillId="0" borderId="0" xfId="2" applyNumberFormat="1" applyFont="1" applyFill="1" applyBorder="1" applyAlignment="1">
      <alignment horizontal="right"/>
    </xf>
    <xf numFmtId="0" fontId="0" fillId="0" borderId="0" xfId="0" applyFill="1" applyBorder="1"/>
    <xf numFmtId="167" fontId="0" fillId="0" borderId="0" xfId="2" applyNumberFormat="1" applyFont="1" applyBorder="1"/>
    <xf numFmtId="0" fontId="5" fillId="2" borderId="2" xfId="0" applyFont="1" applyFill="1" applyBorder="1" applyAlignment="1" applyProtection="1">
      <alignment horizontal="right"/>
      <protection locked="0"/>
    </xf>
    <xf numFmtId="9" fontId="5" fillId="2" borderId="2" xfId="4" applyFont="1" applyFill="1" applyBorder="1" applyAlignment="1" applyProtection="1">
      <alignment horizontal="right"/>
      <protection locked="0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0" fontId="7" fillId="2" borderId="0" xfId="0" applyFont="1" applyFill="1"/>
    <xf numFmtId="0" fontId="0" fillId="2" borderId="0" xfId="0" applyFill="1"/>
    <xf numFmtId="167" fontId="0" fillId="2" borderId="0" xfId="0" applyNumberFormat="1" applyFill="1"/>
    <xf numFmtId="185" fontId="5" fillId="2" borderId="1" xfId="4" applyNumberFormat="1" applyFont="1" applyFill="1" applyBorder="1" applyAlignment="1" applyProtection="1">
      <alignment horizontal="right"/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3" xfId="0" applyFont="1" applyBorder="1" applyProtection="1"/>
    <xf numFmtId="0" fontId="6" fillId="0" borderId="3" xfId="0" applyFont="1" applyBorder="1" applyAlignment="1" applyProtection="1">
      <alignment horizontal="right"/>
    </xf>
    <xf numFmtId="0" fontId="5" fillId="0" borderId="4" xfId="0" applyFont="1" applyBorder="1" applyProtection="1"/>
    <xf numFmtId="0" fontId="5" fillId="0" borderId="1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2" xfId="0" applyFont="1" applyBorder="1" applyProtection="1"/>
    <xf numFmtId="0" fontId="5" fillId="0" borderId="7" xfId="0" applyFont="1" applyBorder="1" applyProtection="1"/>
    <xf numFmtId="0" fontId="3" fillId="0" borderId="0" xfId="0" applyFont="1" applyProtection="1"/>
    <xf numFmtId="0" fontId="6" fillId="0" borderId="3" xfId="0" applyFont="1" applyBorder="1" applyAlignment="1" applyProtection="1">
      <alignment horizontal="left"/>
    </xf>
    <xf numFmtId="0" fontId="5" fillId="0" borderId="0" xfId="0" applyFont="1" applyProtection="1"/>
    <xf numFmtId="167" fontId="5" fillId="3" borderId="1" xfId="2" applyNumberFormat="1" applyFont="1" applyFill="1" applyBorder="1" applyProtection="1"/>
    <xf numFmtId="0" fontId="5" fillId="0" borderId="8" xfId="0" applyFont="1" applyBorder="1" applyProtection="1"/>
    <xf numFmtId="167" fontId="5" fillId="3" borderId="2" xfId="2" applyNumberFormat="1" applyFont="1" applyFill="1" applyBorder="1" applyProtection="1"/>
    <xf numFmtId="0" fontId="5" fillId="0" borderId="9" xfId="0" applyFont="1" applyBorder="1" applyProtection="1"/>
    <xf numFmtId="0" fontId="5" fillId="0" borderId="10" xfId="0" applyFont="1" applyBorder="1" applyProtection="1"/>
    <xf numFmtId="0" fontId="5" fillId="0" borderId="11" xfId="0" applyFont="1" applyBorder="1" applyProtection="1"/>
    <xf numFmtId="0" fontId="5" fillId="0" borderId="12" xfId="0" applyFont="1" applyBorder="1" applyProtection="1"/>
    <xf numFmtId="167" fontId="5" fillId="3" borderId="13" xfId="0" applyNumberFormat="1" applyFont="1" applyFill="1" applyBorder="1" applyProtection="1"/>
    <xf numFmtId="0" fontId="0" fillId="0" borderId="0" xfId="0" applyAlignment="1" applyProtection="1">
      <alignment horizontal="left"/>
    </xf>
    <xf numFmtId="0" fontId="5" fillId="0" borderId="13" xfId="0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7" xfId="0" applyFont="1" applyBorder="1" applyAlignment="1" applyProtection="1">
      <alignment horizontal="left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434340</xdr:colOff>
      <xdr:row>1</xdr:row>
      <xdr:rowOff>129540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708BA63-250F-D4FE-4BE7-01E3C19E9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162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tabSelected="1" zoomScale="85" workbookViewId="0">
      <selection activeCell="C4" sqref="C4"/>
    </sheetView>
  </sheetViews>
  <sheetFormatPr defaultColWidth="9.109375" defaultRowHeight="13.2" x14ac:dyDescent="0.25"/>
  <cols>
    <col min="1" max="1" width="16" style="38" customWidth="1"/>
    <col min="2" max="2" width="25.5546875" style="39" customWidth="1"/>
    <col min="3" max="3" width="15.88671875" style="38" customWidth="1"/>
    <col min="4" max="4" width="63.88671875" style="38" customWidth="1"/>
    <col min="5" max="5" width="11" style="38" customWidth="1"/>
    <col min="6" max="6" width="12.44140625" style="38" customWidth="1"/>
    <col min="7" max="16384" width="9.109375" style="38"/>
  </cols>
  <sheetData>
    <row r="1" spans="1:4" ht="17.399999999999999" x14ac:dyDescent="0.3">
      <c r="D1" s="40" t="s">
        <v>47</v>
      </c>
    </row>
    <row r="2" spans="1:4" x14ac:dyDescent="0.25">
      <c r="A2" s="41"/>
    </row>
    <row r="3" spans="1:4" ht="15" customHeight="1" thickBot="1" x14ac:dyDescent="0.3">
      <c r="A3" s="42" t="s">
        <v>34</v>
      </c>
      <c r="B3" s="42" t="s">
        <v>0</v>
      </c>
      <c r="C3" s="43" t="s">
        <v>127</v>
      </c>
      <c r="D3" s="42" t="s">
        <v>29</v>
      </c>
    </row>
    <row r="4" spans="1:4" x14ac:dyDescent="0.25">
      <c r="A4" s="46" t="s">
        <v>35</v>
      </c>
      <c r="B4" s="45" t="s">
        <v>135</v>
      </c>
      <c r="C4" s="4">
        <v>0.05</v>
      </c>
      <c r="D4" s="46" t="s">
        <v>139</v>
      </c>
    </row>
    <row r="5" spans="1:4" x14ac:dyDescent="0.25">
      <c r="A5" s="45" t="s">
        <v>35</v>
      </c>
      <c r="B5" s="45" t="s">
        <v>136</v>
      </c>
      <c r="C5" s="4">
        <v>0.05</v>
      </c>
      <c r="D5" s="45" t="s">
        <v>140</v>
      </c>
    </row>
    <row r="6" spans="1:4" x14ac:dyDescent="0.25">
      <c r="A6" s="45" t="s">
        <v>35</v>
      </c>
      <c r="B6" s="45" t="s">
        <v>137</v>
      </c>
      <c r="C6" s="2">
        <v>50</v>
      </c>
      <c r="D6" s="45" t="s">
        <v>141</v>
      </c>
    </row>
    <row r="7" spans="1:4" x14ac:dyDescent="0.25">
      <c r="A7" s="45" t="s">
        <v>35</v>
      </c>
      <c r="B7" s="45" t="s">
        <v>138</v>
      </c>
      <c r="C7" s="2">
        <v>25</v>
      </c>
      <c r="D7" s="45" t="s">
        <v>142</v>
      </c>
    </row>
    <row r="8" spans="1:4" x14ac:dyDescent="0.25">
      <c r="A8" s="45" t="s">
        <v>35</v>
      </c>
      <c r="B8" s="45" t="s">
        <v>24</v>
      </c>
      <c r="C8" s="3">
        <v>500</v>
      </c>
      <c r="D8" s="45" t="s">
        <v>143</v>
      </c>
    </row>
    <row r="9" spans="1:4" x14ac:dyDescent="0.25">
      <c r="A9" s="45" t="s">
        <v>35</v>
      </c>
      <c r="B9" s="45" t="s">
        <v>76</v>
      </c>
      <c r="C9" s="10">
        <v>0.2</v>
      </c>
      <c r="D9" s="45" t="s">
        <v>144</v>
      </c>
    </row>
    <row r="10" spans="1:4" x14ac:dyDescent="0.25">
      <c r="A10" s="45" t="s">
        <v>35</v>
      </c>
      <c r="B10" s="45" t="s">
        <v>57</v>
      </c>
      <c r="C10" s="10">
        <v>0.9</v>
      </c>
      <c r="D10" s="45" t="s">
        <v>145</v>
      </c>
    </row>
    <row r="11" spans="1:4" x14ac:dyDescent="0.25">
      <c r="A11" s="45" t="s">
        <v>35</v>
      </c>
      <c r="B11" s="45" t="s">
        <v>58</v>
      </c>
      <c r="C11" s="17">
        <v>4.0000000000000001E-3</v>
      </c>
      <c r="D11" s="45" t="s">
        <v>146</v>
      </c>
    </row>
    <row r="12" spans="1:4" x14ac:dyDescent="0.25">
      <c r="A12" s="45" t="s">
        <v>35</v>
      </c>
      <c r="B12" s="45" t="s">
        <v>113</v>
      </c>
      <c r="C12" s="17">
        <v>0.01</v>
      </c>
      <c r="D12" s="45" t="s">
        <v>147</v>
      </c>
    </row>
    <row r="13" spans="1:4" x14ac:dyDescent="0.25">
      <c r="A13" s="45" t="s">
        <v>35</v>
      </c>
      <c r="B13" s="45" t="s">
        <v>61</v>
      </c>
      <c r="C13" s="3">
        <v>75</v>
      </c>
      <c r="D13" s="45" t="s">
        <v>148</v>
      </c>
    </row>
    <row r="14" spans="1:4" x14ac:dyDescent="0.25">
      <c r="A14" s="48" t="s">
        <v>35</v>
      </c>
      <c r="B14" s="48" t="s">
        <v>79</v>
      </c>
      <c r="C14" s="29">
        <v>50</v>
      </c>
      <c r="D14" s="48" t="s">
        <v>149</v>
      </c>
    </row>
    <row r="15" spans="1:4" x14ac:dyDescent="0.25">
      <c r="A15" s="45" t="s">
        <v>36</v>
      </c>
      <c r="B15" s="45" t="s">
        <v>62</v>
      </c>
      <c r="C15" s="3">
        <v>10</v>
      </c>
      <c r="D15" s="49" t="s">
        <v>150</v>
      </c>
    </row>
    <row r="16" spans="1:4" x14ac:dyDescent="0.25">
      <c r="A16" s="45" t="s">
        <v>36</v>
      </c>
      <c r="B16" s="45" t="s">
        <v>74</v>
      </c>
      <c r="C16" s="37">
        <v>0.01</v>
      </c>
      <c r="D16" s="45" t="s">
        <v>151</v>
      </c>
    </row>
    <row r="17" spans="1:5" x14ac:dyDescent="0.25">
      <c r="A17" s="45" t="s">
        <v>36</v>
      </c>
      <c r="B17" s="45" t="s">
        <v>75</v>
      </c>
      <c r="C17" s="37">
        <v>0.01</v>
      </c>
      <c r="D17" s="45" t="s">
        <v>152</v>
      </c>
    </row>
    <row r="18" spans="1:5" x14ac:dyDescent="0.25">
      <c r="A18" s="45" t="s">
        <v>36</v>
      </c>
      <c r="B18" s="45" t="s">
        <v>82</v>
      </c>
      <c r="C18" s="37">
        <v>5.0000000000000001E-3</v>
      </c>
      <c r="D18" s="45" t="s">
        <v>153</v>
      </c>
    </row>
    <row r="19" spans="1:5" x14ac:dyDescent="0.25">
      <c r="A19" s="45" t="s">
        <v>36</v>
      </c>
      <c r="B19" s="45" t="s">
        <v>122</v>
      </c>
      <c r="C19" s="3">
        <v>3</v>
      </c>
      <c r="D19" s="45" t="s">
        <v>154</v>
      </c>
    </row>
    <row r="20" spans="1:5" x14ac:dyDescent="0.25">
      <c r="A20" s="45" t="s">
        <v>36</v>
      </c>
      <c r="B20" s="45" t="s">
        <v>93</v>
      </c>
      <c r="C20" s="3">
        <v>30</v>
      </c>
      <c r="D20" s="45" t="s">
        <v>155</v>
      </c>
    </row>
    <row r="21" spans="1:5" x14ac:dyDescent="0.25">
      <c r="A21" s="45" t="s">
        <v>36</v>
      </c>
      <c r="B21" s="45" t="s">
        <v>92</v>
      </c>
      <c r="C21" s="8">
        <v>35</v>
      </c>
      <c r="D21" s="45" t="s">
        <v>156</v>
      </c>
    </row>
    <row r="22" spans="1:5" x14ac:dyDescent="0.25">
      <c r="A22" s="45" t="s">
        <v>36</v>
      </c>
      <c r="B22" s="45" t="s">
        <v>94</v>
      </c>
      <c r="C22" s="5">
        <v>15</v>
      </c>
      <c r="D22" s="45" t="s">
        <v>157</v>
      </c>
    </row>
    <row r="23" spans="1:5" x14ac:dyDescent="0.25">
      <c r="A23" s="45" t="s">
        <v>36</v>
      </c>
      <c r="B23" s="45" t="s">
        <v>26</v>
      </c>
      <c r="C23" s="6">
        <v>0.75</v>
      </c>
      <c r="D23" s="45" t="s">
        <v>158</v>
      </c>
    </row>
    <row r="24" spans="1:5" x14ac:dyDescent="0.25">
      <c r="A24" s="48" t="s">
        <v>36</v>
      </c>
      <c r="B24" s="47" t="s">
        <v>63</v>
      </c>
      <c r="C24" s="30">
        <v>0.15</v>
      </c>
      <c r="D24" s="48" t="s">
        <v>159</v>
      </c>
    </row>
    <row r="25" spans="1:5" x14ac:dyDescent="0.25">
      <c r="A25" s="45" t="s">
        <v>37</v>
      </c>
      <c r="B25" s="44" t="s">
        <v>114</v>
      </c>
      <c r="C25" s="19">
        <v>250</v>
      </c>
      <c r="D25" s="45" t="s">
        <v>160</v>
      </c>
    </row>
    <row r="26" spans="1:5" x14ac:dyDescent="0.25">
      <c r="A26" s="45" t="s">
        <v>37</v>
      </c>
      <c r="B26" s="44" t="s">
        <v>95</v>
      </c>
      <c r="C26" s="19">
        <v>250</v>
      </c>
      <c r="D26" s="45" t="s">
        <v>161</v>
      </c>
    </row>
    <row r="27" spans="1:5" x14ac:dyDescent="0.25">
      <c r="A27" s="48" t="s">
        <v>37</v>
      </c>
      <c r="B27" s="48" t="s">
        <v>110</v>
      </c>
      <c r="C27" s="7">
        <v>0.24</v>
      </c>
      <c r="D27" s="48" t="s">
        <v>162</v>
      </c>
    </row>
    <row r="28" spans="1:5" x14ac:dyDescent="0.25">
      <c r="A28" s="50"/>
      <c r="D28" s="50"/>
      <c r="E28" s="50"/>
    </row>
    <row r="29" spans="1:5" ht="13.8" thickBot="1" x14ac:dyDescent="0.3">
      <c r="A29" s="51" t="s">
        <v>49</v>
      </c>
      <c r="B29" s="42" t="s">
        <v>48</v>
      </c>
      <c r="C29" s="43" t="s">
        <v>125</v>
      </c>
      <c r="D29" s="42" t="s">
        <v>29</v>
      </c>
      <c r="E29" s="50"/>
    </row>
    <row r="30" spans="1:5" x14ac:dyDescent="0.25">
      <c r="A30" s="63" t="s">
        <v>53</v>
      </c>
      <c r="B30" s="52" t="s">
        <v>52</v>
      </c>
      <c r="C30" s="53">
        <f>vE1ReducedExpense</f>
        <v>76312.576312576304</v>
      </c>
      <c r="D30" s="46" t="s">
        <v>134</v>
      </c>
    </row>
    <row r="31" spans="1:5" x14ac:dyDescent="0.25">
      <c r="A31" s="64" t="s">
        <v>53</v>
      </c>
      <c r="B31" s="52" t="s">
        <v>165</v>
      </c>
      <c r="C31" s="53">
        <f>vE2ReducedExpenses</f>
        <v>24801.58730158722</v>
      </c>
      <c r="D31" s="45" t="s">
        <v>129</v>
      </c>
    </row>
    <row r="32" spans="1:5" x14ac:dyDescent="0.25">
      <c r="A32" s="64" t="s">
        <v>53</v>
      </c>
      <c r="B32" s="52" t="s">
        <v>171</v>
      </c>
      <c r="C32" s="53">
        <f>vE3ReducedExpense</f>
        <v>34104.505027518142</v>
      </c>
      <c r="D32" s="45" t="s">
        <v>169</v>
      </c>
      <c r="E32" s="50"/>
    </row>
    <row r="33" spans="1:5" x14ac:dyDescent="0.25">
      <c r="A33" s="65" t="s">
        <v>53</v>
      </c>
      <c r="B33" s="54" t="s">
        <v>170</v>
      </c>
      <c r="C33" s="55">
        <f>vE4ReducedExpense</f>
        <v>62499.999999999767</v>
      </c>
      <c r="D33" s="48" t="s">
        <v>130</v>
      </c>
      <c r="E33" s="50"/>
    </row>
    <row r="34" spans="1:5" x14ac:dyDescent="0.25">
      <c r="A34" s="66" t="s">
        <v>50</v>
      </c>
      <c r="B34" s="56" t="s">
        <v>163</v>
      </c>
      <c r="C34" s="53">
        <f>vR1AdditionalRevenue</f>
        <v>100855.26315789476</v>
      </c>
      <c r="D34" s="49" t="s">
        <v>131</v>
      </c>
    </row>
    <row r="35" spans="1:5" x14ac:dyDescent="0.25">
      <c r="A35" s="64" t="s">
        <v>50</v>
      </c>
      <c r="B35" s="57" t="s">
        <v>164</v>
      </c>
      <c r="C35" s="53">
        <f>vR2AdditionalRevenue</f>
        <v>164062.5</v>
      </c>
      <c r="D35" s="45" t="s">
        <v>132</v>
      </c>
    </row>
    <row r="36" spans="1:5" x14ac:dyDescent="0.25">
      <c r="A36" s="65" t="s">
        <v>50</v>
      </c>
      <c r="B36" s="58" t="s">
        <v>51</v>
      </c>
      <c r="C36" s="55">
        <f>vR3AdditionalRevenue</f>
        <v>82031.25</v>
      </c>
      <c r="D36" s="48" t="s">
        <v>133</v>
      </c>
    </row>
    <row r="38" spans="1:5" x14ac:dyDescent="0.25">
      <c r="A38" s="59" t="s">
        <v>56</v>
      </c>
      <c r="B38" s="62"/>
      <c r="C38" s="60">
        <f>SUM(C30:C37)</f>
        <v>544667.68179957615</v>
      </c>
    </row>
    <row r="39" spans="1:5" x14ac:dyDescent="0.25">
      <c r="B39" s="61"/>
    </row>
  </sheetData>
  <sheetProtection password="D10F" sheet="1" objects="1" scenarios="1"/>
  <phoneticPr fontId="0" type="noConversion"/>
  <pageMargins left="0.75" right="0.75" top="0.56000000000000005" bottom="0.72" header="0.5" footer="0.5"/>
  <pageSetup orientation="landscape" r:id="rId1"/>
  <headerFooter alignWithMargins="0">
    <oddFooter>&amp;LCopyright © FabTime Inc. 2002. All Rights Reserved. Web: www.fabtime.com. Tel: (408) 549-9932. Email: Frank.Chance@FabTime.com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/>
  </sheetViews>
  <sheetFormatPr defaultRowHeight="13.2" x14ac:dyDescent="0.25"/>
  <cols>
    <col min="1" max="1" width="20.44140625" customWidth="1"/>
    <col min="2" max="2" width="15" bestFit="1" customWidth="1"/>
    <col min="3" max="3" width="15.88671875" customWidth="1"/>
  </cols>
  <sheetData>
    <row r="1" spans="1:4" s="35" customFormat="1" ht="21" x14ac:dyDescent="0.4">
      <c r="A1" s="34" t="s">
        <v>77</v>
      </c>
    </row>
    <row r="2" spans="1:4" s="11" customFormat="1" ht="13.8" thickBot="1" x14ac:dyDescent="0.3">
      <c r="A2" s="31" t="s">
        <v>27</v>
      </c>
      <c r="B2" s="32" t="s">
        <v>78</v>
      </c>
      <c r="C2" s="33" t="s">
        <v>29</v>
      </c>
    </row>
    <row r="3" spans="1:4" x14ac:dyDescent="0.25">
      <c r="A3" t="s">
        <v>64</v>
      </c>
      <c r="B3" s="12">
        <f>vWWOuts*vNewProductPct/vDesignWins*vWorkWeeks</f>
        <v>500</v>
      </c>
    </row>
    <row r="4" spans="1:4" x14ac:dyDescent="0.25">
      <c r="A4" t="s">
        <v>107</v>
      </c>
      <c r="B4" s="13">
        <f>(vGDPW * vPf) / 2</f>
        <v>1312.5</v>
      </c>
      <c r="C4" t="s">
        <v>126</v>
      </c>
    </row>
    <row r="7" spans="1:4" s="35" customFormat="1" ht="21" x14ac:dyDescent="0.4">
      <c r="A7" s="34" t="s">
        <v>59</v>
      </c>
    </row>
    <row r="8" spans="1:4" s="11" customFormat="1" ht="13.8" thickBot="1" x14ac:dyDescent="0.3">
      <c r="A8" s="31" t="s">
        <v>27</v>
      </c>
      <c r="B8" s="32" t="s">
        <v>123</v>
      </c>
      <c r="C8" s="32" t="s">
        <v>28</v>
      </c>
      <c r="D8" s="33" t="s">
        <v>29</v>
      </c>
    </row>
    <row r="9" spans="1:4" x14ac:dyDescent="0.25">
      <c r="A9" t="s">
        <v>73</v>
      </c>
      <c r="B9" s="12">
        <f>365/vRDCTBaseline</f>
        <v>14.6</v>
      </c>
      <c r="C9" s="12">
        <f>365/(vRDCTBaseline * (1-vRDCTImprovement))</f>
        <v>15.368421052631579</v>
      </c>
      <c r="D9" t="s">
        <v>60</v>
      </c>
    </row>
    <row r="10" spans="1:4" x14ac:dyDescent="0.25">
      <c r="A10" t="s">
        <v>66</v>
      </c>
      <c r="B10">
        <v>0</v>
      </c>
      <c r="C10" s="12">
        <f>(C9-B9)*vDesignWinFactorLearningCycles * vDesignWins</f>
        <v>7.684210526315792E-2</v>
      </c>
      <c r="D10" t="s">
        <v>80</v>
      </c>
    </row>
    <row r="11" spans="1:4" x14ac:dyDescent="0.25">
      <c r="A11" t="s">
        <v>65</v>
      </c>
      <c r="B11">
        <v>0</v>
      </c>
      <c r="C11" s="12">
        <f>C10 * vNewProductVolume</f>
        <v>38.421052631578959</v>
      </c>
      <c r="D11" t="s">
        <v>67</v>
      </c>
    </row>
    <row r="12" spans="1:4" x14ac:dyDescent="0.25">
      <c r="A12" t="s">
        <v>68</v>
      </c>
      <c r="B12">
        <v>0</v>
      </c>
      <c r="C12" s="12">
        <f>C11 * vGDPW</f>
        <v>2881.5789473684217</v>
      </c>
      <c r="D12" t="s">
        <v>69</v>
      </c>
    </row>
    <row r="13" spans="1:4" x14ac:dyDescent="0.25">
      <c r="A13" t="s">
        <v>70</v>
      </c>
      <c r="B13">
        <v>0</v>
      </c>
      <c r="C13" s="14">
        <f>C12*vPf</f>
        <v>100855.26315789476</v>
      </c>
      <c r="D13" t="s">
        <v>71</v>
      </c>
    </row>
    <row r="14" spans="1:4" x14ac:dyDescent="0.25">
      <c r="C14" s="14"/>
    </row>
    <row r="16" spans="1:4" s="35" customFormat="1" ht="21" x14ac:dyDescent="0.4">
      <c r="A16" s="34" t="s">
        <v>72</v>
      </c>
    </row>
    <row r="17" spans="1:4" s="11" customFormat="1" ht="13.8" thickBot="1" x14ac:dyDescent="0.3">
      <c r="A17" s="31" t="s">
        <v>27</v>
      </c>
      <c r="B17" s="32" t="s">
        <v>123</v>
      </c>
      <c r="C17" s="32" t="s">
        <v>28</v>
      </c>
      <c r="D17" s="33" t="s">
        <v>29</v>
      </c>
    </row>
    <row r="18" spans="1:4" x14ac:dyDescent="0.25">
      <c r="A18" t="s">
        <v>66</v>
      </c>
      <c r="B18">
        <v>0</v>
      </c>
      <c r="C18">
        <f>vRDCTImprovement*vRDCTBaseline*vDesignWinFactorRDCycleTime*vDesignWins</f>
        <v>0.125</v>
      </c>
      <c r="D18" t="s">
        <v>81</v>
      </c>
    </row>
    <row r="19" spans="1:4" x14ac:dyDescent="0.25">
      <c r="A19" t="s">
        <v>65</v>
      </c>
      <c r="B19">
        <v>0</v>
      </c>
      <c r="C19" s="12">
        <f>C18 * vNewProductVolume</f>
        <v>62.5</v>
      </c>
      <c r="D19" t="s">
        <v>67</v>
      </c>
    </row>
    <row r="20" spans="1:4" x14ac:dyDescent="0.25">
      <c r="A20" t="s">
        <v>68</v>
      </c>
      <c r="B20">
        <v>0</v>
      </c>
      <c r="C20" s="12">
        <f>C19 * vGDPW</f>
        <v>4687.5</v>
      </c>
      <c r="D20" t="s">
        <v>69</v>
      </c>
    </row>
    <row r="21" spans="1:4" x14ac:dyDescent="0.25">
      <c r="A21" t="s">
        <v>70</v>
      </c>
      <c r="B21">
        <v>0</v>
      </c>
      <c r="C21" s="14">
        <f>C20*vPf</f>
        <v>164062.5</v>
      </c>
      <c r="D21" t="s">
        <v>71</v>
      </c>
    </row>
    <row r="22" spans="1:4" x14ac:dyDescent="0.25">
      <c r="C22" s="14"/>
    </row>
    <row r="24" spans="1:4" s="35" customFormat="1" ht="21" x14ac:dyDescent="0.4">
      <c r="A24" s="34" t="s">
        <v>83</v>
      </c>
    </row>
    <row r="25" spans="1:4" s="11" customFormat="1" ht="13.8" thickBot="1" x14ac:dyDescent="0.3">
      <c r="A25" s="31" t="s">
        <v>27</v>
      </c>
      <c r="B25" s="32" t="s">
        <v>123</v>
      </c>
      <c r="C25" s="32" t="s">
        <v>28</v>
      </c>
      <c r="D25" s="33" t="s">
        <v>29</v>
      </c>
    </row>
    <row r="26" spans="1:4" x14ac:dyDescent="0.25">
      <c r="A26" t="s">
        <v>86</v>
      </c>
      <c r="B26">
        <v>0</v>
      </c>
      <c r="C26" s="15">
        <f>vRDCTImprovement * vRDCTBaseline * vPricingFactorRDCycleTime</f>
        <v>6.2500000000000003E-3</v>
      </c>
      <c r="D26" t="s">
        <v>87</v>
      </c>
    </row>
    <row r="27" spans="1:4" x14ac:dyDescent="0.25">
      <c r="A27" t="s">
        <v>84</v>
      </c>
      <c r="B27" s="14">
        <f>vWWOuts*vNewProductPct*vGDPW*vPf*vWorkWeeks</f>
        <v>13125000</v>
      </c>
      <c r="C27" s="14">
        <f>vWWOuts*vNewProductPct*vGDPW * vPf * (1 + C26)*vWorkWeeks</f>
        <v>13207031.25</v>
      </c>
      <c r="D27" t="s">
        <v>85</v>
      </c>
    </row>
    <row r="28" spans="1:4" x14ac:dyDescent="0.25">
      <c r="A28" t="s">
        <v>70</v>
      </c>
      <c r="B28">
        <v>0</v>
      </c>
      <c r="C28" s="16">
        <f>C27-B27</f>
        <v>82031.25</v>
      </c>
      <c r="D28" t="s">
        <v>88</v>
      </c>
    </row>
    <row r="29" spans="1:4" x14ac:dyDescent="0.25">
      <c r="C29" s="16"/>
    </row>
    <row r="30" spans="1:4" x14ac:dyDescent="0.25">
      <c r="C30" s="16"/>
    </row>
    <row r="31" spans="1:4" s="35" customFormat="1" ht="21" x14ac:dyDescent="0.4">
      <c r="A31" s="34" t="s">
        <v>128</v>
      </c>
      <c r="C31" s="36"/>
    </row>
    <row r="32" spans="1:4" s="11" customFormat="1" ht="13.8" thickBot="1" x14ac:dyDescent="0.3">
      <c r="A32" s="31" t="s">
        <v>27</v>
      </c>
      <c r="B32" s="32" t="s">
        <v>123</v>
      </c>
      <c r="C32" s="32" t="s">
        <v>28</v>
      </c>
      <c r="D32" s="33" t="s">
        <v>29</v>
      </c>
    </row>
    <row r="33" spans="1:4" x14ac:dyDescent="0.25">
      <c r="A33" t="s">
        <v>89</v>
      </c>
      <c r="C33" s="15">
        <f>vProdCTImprovement * vFabCTBaseline * vYieldFactorProdCycleTime</f>
        <v>0.01</v>
      </c>
      <c r="D33" t="s">
        <v>90</v>
      </c>
    </row>
    <row r="34" spans="1:4" x14ac:dyDescent="0.25">
      <c r="A34" t="s">
        <v>96</v>
      </c>
      <c r="B34" s="18">
        <f>vWWOuts * vWorkWeeks / vLineYield</f>
        <v>27777.777777777777</v>
      </c>
      <c r="C34" s="18">
        <f>vWWOuts * vWorkWeeks / (vLineYield + C33)</f>
        <v>27472.527472527472</v>
      </c>
      <c r="D34" t="s">
        <v>98</v>
      </c>
    </row>
    <row r="35" spans="1:4" x14ac:dyDescent="0.25">
      <c r="A35" t="s">
        <v>97</v>
      </c>
      <c r="C35" s="18">
        <f>B34-C34</f>
        <v>305.25030525030525</v>
      </c>
      <c r="D35" t="s">
        <v>91</v>
      </c>
    </row>
    <row r="36" spans="1:4" x14ac:dyDescent="0.25">
      <c r="A36" t="s">
        <v>99</v>
      </c>
      <c r="C36" s="13">
        <f>C35*vRawWaferCost</f>
        <v>76312.576312576304</v>
      </c>
      <c r="D36" t="s">
        <v>100</v>
      </c>
    </row>
    <row r="39" spans="1:4" s="35" customFormat="1" ht="21" x14ac:dyDescent="0.4">
      <c r="A39" s="34" t="s">
        <v>166</v>
      </c>
    </row>
    <row r="40" spans="1:4" s="11" customFormat="1" ht="13.8" thickBot="1" x14ac:dyDescent="0.3">
      <c r="A40" s="31" t="s">
        <v>27</v>
      </c>
      <c r="B40" s="32" t="s">
        <v>123</v>
      </c>
      <c r="C40" s="32" t="s">
        <v>28</v>
      </c>
      <c r="D40" s="33" t="s">
        <v>29</v>
      </c>
    </row>
    <row r="41" spans="1:4" x14ac:dyDescent="0.25">
      <c r="A41" t="s">
        <v>102</v>
      </c>
      <c r="B41" s="20">
        <f>vFabCTBaseline / 7</f>
        <v>7.1428571428571432</v>
      </c>
      <c r="C41" s="20">
        <f>vFabCTBaseline * (1 - vProdCTImprovement) / 7</f>
        <v>6.7857142857142856</v>
      </c>
      <c r="D41" t="s">
        <v>103</v>
      </c>
    </row>
    <row r="42" spans="1:4" x14ac:dyDescent="0.25">
      <c r="A42" t="s">
        <v>104</v>
      </c>
      <c r="B42" s="20">
        <f>vWWOuts / vLineYield</f>
        <v>555.55555555555554</v>
      </c>
      <c r="C42" s="20">
        <f>vWWOuts / vLineYield</f>
        <v>555.55555555555554</v>
      </c>
      <c r="D42" t="s">
        <v>105</v>
      </c>
    </row>
    <row r="43" spans="1:4" x14ac:dyDescent="0.25">
      <c r="A43" t="s">
        <v>101</v>
      </c>
      <c r="B43" s="12">
        <f>B42 * B41</f>
        <v>3968.2539682539682</v>
      </c>
      <c r="C43" s="12">
        <f>C42 * C41</f>
        <v>3769.8412698412699</v>
      </c>
      <c r="D43" t="s">
        <v>106</v>
      </c>
    </row>
    <row r="44" spans="1:4" x14ac:dyDescent="0.25">
      <c r="A44" t="s">
        <v>117</v>
      </c>
      <c r="B44" s="12">
        <f>vECNPct * B43</f>
        <v>39.682539682539684</v>
      </c>
      <c r="C44" s="12">
        <f>vECNPct * C43</f>
        <v>37.698412698412703</v>
      </c>
      <c r="D44" t="s">
        <v>116</v>
      </c>
    </row>
    <row r="45" spans="1:4" x14ac:dyDescent="0.25">
      <c r="A45" t="s">
        <v>115</v>
      </c>
      <c r="B45" s="12">
        <f>B44 * vWorkWeeks</f>
        <v>1984.1269841269841</v>
      </c>
      <c r="C45" s="12">
        <f>C44 * vWorkWeeks</f>
        <v>1884.9206349206352</v>
      </c>
      <c r="D45" t="s">
        <v>118</v>
      </c>
    </row>
    <row r="46" spans="1:4" x14ac:dyDescent="0.25">
      <c r="A46" t="s">
        <v>114</v>
      </c>
      <c r="B46" s="14">
        <f>B45* vECNCost</f>
        <v>496031.74603174604</v>
      </c>
      <c r="C46" s="14">
        <f>C45* vECNCost</f>
        <v>471230.15873015882</v>
      </c>
      <c r="D46" t="s">
        <v>119</v>
      </c>
    </row>
    <row r="47" spans="1:4" x14ac:dyDescent="0.25">
      <c r="A47" t="s">
        <v>120</v>
      </c>
      <c r="B47" s="14"/>
      <c r="C47" s="14">
        <f>B46-C46</f>
        <v>24801.58730158722</v>
      </c>
      <c r="D47" t="s">
        <v>121</v>
      </c>
    </row>
    <row r="48" spans="1:4" x14ac:dyDescent="0.25">
      <c r="B48" s="12"/>
      <c r="C48" s="12"/>
    </row>
    <row r="50" spans="1:4" s="35" customFormat="1" ht="21" x14ac:dyDescent="0.4">
      <c r="A50" s="34" t="s">
        <v>167</v>
      </c>
    </row>
    <row r="51" spans="1:4" s="11" customFormat="1" ht="19.5" customHeight="1" thickBot="1" x14ac:dyDescent="0.3">
      <c r="A51" s="31" t="s">
        <v>27</v>
      </c>
      <c r="B51" s="32" t="s">
        <v>123</v>
      </c>
      <c r="C51" s="32" t="s">
        <v>28</v>
      </c>
      <c r="D51" s="33" t="s">
        <v>29</v>
      </c>
    </row>
    <row r="52" spans="1:4" x14ac:dyDescent="0.25">
      <c r="A52" s="9" t="s">
        <v>1</v>
      </c>
      <c r="B52" s="21">
        <f>vhcp*vPf</f>
        <v>8.4</v>
      </c>
      <c r="C52" s="21">
        <f>vhcp*vPf</f>
        <v>8.4</v>
      </c>
      <c r="D52" t="s">
        <v>41</v>
      </c>
    </row>
    <row r="53" spans="1:4" x14ac:dyDescent="0.25">
      <c r="A53" s="9" t="s">
        <v>2</v>
      </c>
      <c r="B53" s="22">
        <f>vWWOuts*vGDPW*52</f>
        <v>1950000</v>
      </c>
      <c r="C53" s="22">
        <f>vWWOuts*vGDPW*52</f>
        <v>1950000</v>
      </c>
      <c r="D53" t="s">
        <v>25</v>
      </c>
    </row>
    <row r="54" spans="1:4" x14ac:dyDescent="0.25">
      <c r="A54" s="9" t="s">
        <v>3</v>
      </c>
      <c r="B54" s="22">
        <f>vVolatility*vD_Avg/3</f>
        <v>487500</v>
      </c>
      <c r="C54" s="22">
        <f>vVolatility*vD_avgImproved/3</f>
        <v>487500</v>
      </c>
      <c r="D54" t="s">
        <v>38</v>
      </c>
    </row>
    <row r="55" spans="1:4" x14ac:dyDescent="0.25">
      <c r="A55" s="9" t="s">
        <v>22</v>
      </c>
      <c r="B55" s="21">
        <f>vD_Avg*vPf</f>
        <v>68250000</v>
      </c>
      <c r="C55" s="21">
        <f>vD_avgImproved*vPf</f>
        <v>68250000</v>
      </c>
      <c r="D55" t="s">
        <v>23</v>
      </c>
    </row>
    <row r="56" spans="1:4" x14ac:dyDescent="0.25">
      <c r="A56" s="9" t="s">
        <v>5</v>
      </c>
      <c r="B56" s="23">
        <f>vFabCTBaseline/365</f>
        <v>0.13698630136986301</v>
      </c>
      <c r="C56" s="23">
        <f>vFabCTBaseline*(1-vProdCTImprovement)/365</f>
        <v>0.13013698630136986</v>
      </c>
      <c r="D56" t="s">
        <v>6</v>
      </c>
    </row>
    <row r="57" spans="1:4" x14ac:dyDescent="0.25">
      <c r="A57" s="9" t="s">
        <v>7</v>
      </c>
      <c r="B57" s="23">
        <f>vR/365</f>
        <v>8.2191780821917804E-2</v>
      </c>
      <c r="C57" s="23">
        <f>vR/365</f>
        <v>8.2191780821917804E-2</v>
      </c>
      <c r="D57" t="s">
        <v>40</v>
      </c>
    </row>
    <row r="58" spans="1:4" x14ac:dyDescent="0.25">
      <c r="A58" s="9" t="s">
        <v>4</v>
      </c>
      <c r="B58" s="23">
        <f>vFabCTY+vRY</f>
        <v>0.21917808219178081</v>
      </c>
      <c r="C58" s="23">
        <f>vFabCTYImproved+vRYImproved</f>
        <v>0.21232876712328766</v>
      </c>
      <c r="D58" t="s">
        <v>16</v>
      </c>
    </row>
    <row r="59" spans="1:4" x14ac:dyDescent="0.25">
      <c r="A59" s="9" t="s">
        <v>8</v>
      </c>
      <c r="B59" s="22">
        <f>vD_Avg*vCTPlusR</f>
        <v>427397.26027397258</v>
      </c>
      <c r="C59" s="22">
        <f>vD_avgImproved*vCTPlusRImproved</f>
        <v>414041.09589041094</v>
      </c>
      <c r="D59" t="s">
        <v>9</v>
      </c>
    </row>
    <row r="60" spans="1:4" x14ac:dyDescent="0.25">
      <c r="A60" s="9" t="s">
        <v>10</v>
      </c>
      <c r="B60" s="22">
        <f>SQRT(vCTPlusR)*vD_stdDev</f>
        <v>228230.23703245458</v>
      </c>
      <c r="C60" s="22">
        <f>SQRT(vCTPlusRImproved)*vD_stdDevImproved</f>
        <v>224635.83543514117</v>
      </c>
      <c r="D60" t="s">
        <v>11</v>
      </c>
    </row>
    <row r="61" spans="1:4" x14ac:dyDescent="0.25">
      <c r="A61" s="9" t="s">
        <v>12</v>
      </c>
      <c r="B61" s="24">
        <f>(vRY * vh) / (vRY * vh + vLP)</f>
        <v>4.4002095337873227E-2</v>
      </c>
      <c r="C61" s="24">
        <f>(vRYImproved * vhImproved) / (vRYImproved * vhImproved + vLP)</f>
        <v>4.4002095337873227E-2</v>
      </c>
      <c r="D61" t="s">
        <v>13</v>
      </c>
    </row>
    <row r="62" spans="1:4" x14ac:dyDescent="0.25">
      <c r="A62" s="9" t="s">
        <v>14</v>
      </c>
      <c r="B62" s="24">
        <f>1-vRHS</f>
        <v>0.95599790466212675</v>
      </c>
      <c r="C62" s="24">
        <f>1-vRHSImproved</f>
        <v>0.95599790466212675</v>
      </c>
      <c r="D62" t="s">
        <v>15</v>
      </c>
    </row>
    <row r="63" spans="1:4" x14ac:dyDescent="0.25">
      <c r="A63" s="9" t="s">
        <v>17</v>
      </c>
      <c r="B63" s="25">
        <f>NORMINV(vOneMinusRHS,0,1)</f>
        <v>1.7060208876423624</v>
      </c>
      <c r="C63" s="25">
        <f>NORMINV(vOneMinusRHSImproved,0,1)</f>
        <v>1.7060208876423624</v>
      </c>
      <c r="D63" t="s">
        <v>18</v>
      </c>
    </row>
    <row r="64" spans="1:4" x14ac:dyDescent="0.25">
      <c r="A64" s="9" t="s">
        <v>19</v>
      </c>
      <c r="B64" s="22">
        <f>vNormInv*vD2_stdDev+vD2_avg</f>
        <v>816762.81184290745</v>
      </c>
      <c r="C64" s="22">
        <f>vNormInvImproved*vD2_stdDevImproved+vD2_avgImproved</f>
        <v>797274.52325575415</v>
      </c>
      <c r="D64" t="s">
        <v>43</v>
      </c>
    </row>
    <row r="65" spans="1:4" x14ac:dyDescent="0.25">
      <c r="A65" s="9" t="s">
        <v>20</v>
      </c>
      <c r="B65" s="22">
        <f>vOrderUpTo*vLossPct</f>
        <v>122514.42177643611</v>
      </c>
      <c r="C65" s="22">
        <f>vOrderUpToImproved*vLossPct</f>
        <v>119591.17848836312</v>
      </c>
      <c r="D65" t="s">
        <v>39</v>
      </c>
    </row>
    <row r="66" spans="1:4" x14ac:dyDescent="0.25">
      <c r="A66" s="9" t="s">
        <v>21</v>
      </c>
      <c r="B66" s="26">
        <f>vLossQty*vPf</f>
        <v>4288004.7621752638</v>
      </c>
      <c r="C66" s="26">
        <f>vLossQtyImproved*vPf</f>
        <v>4185691.2470927089</v>
      </c>
      <c r="D66" t="s">
        <v>42</v>
      </c>
    </row>
    <row r="67" spans="1:4" x14ac:dyDescent="0.25">
      <c r="A67" s="27" t="s">
        <v>54</v>
      </c>
      <c r="B67" s="28">
        <f>vWriteOff/vDTYears</f>
        <v>1429334.9207250879</v>
      </c>
      <c r="C67" s="28">
        <f>vWriteOffImproved/vDTYears</f>
        <v>1395230.4156975697</v>
      </c>
      <c r="D67" t="s">
        <v>55</v>
      </c>
    </row>
    <row r="68" spans="1:4" x14ac:dyDescent="0.25">
      <c r="A68" s="27" t="s">
        <v>99</v>
      </c>
      <c r="C68" s="14">
        <f>vWriteOffAnnual-vWriteOffAnnualImproved</f>
        <v>34104.505027518142</v>
      </c>
    </row>
    <row r="70" spans="1:4" s="35" customFormat="1" ht="21" x14ac:dyDescent="0.4">
      <c r="A70" s="34" t="s">
        <v>168</v>
      </c>
    </row>
    <row r="71" spans="1:4" s="11" customFormat="1" ht="13.8" thickBot="1" x14ac:dyDescent="0.3">
      <c r="A71" s="31" t="s">
        <v>27</v>
      </c>
      <c r="B71" s="32" t="s">
        <v>123</v>
      </c>
      <c r="C71" s="32" t="s">
        <v>28</v>
      </c>
      <c r="D71" s="33" t="s">
        <v>29</v>
      </c>
    </row>
    <row r="72" spans="1:4" x14ac:dyDescent="0.25">
      <c r="A72" t="s">
        <v>102</v>
      </c>
      <c r="B72" s="20">
        <f>vFabCTBaseline / 7</f>
        <v>7.1428571428571432</v>
      </c>
      <c r="C72" s="20">
        <f>vFabCTBaseline * (1 - vProdCTImprovement) / 7</f>
        <v>6.7857142857142856</v>
      </c>
      <c r="D72" t="s">
        <v>103</v>
      </c>
    </row>
    <row r="73" spans="1:4" x14ac:dyDescent="0.25">
      <c r="A73" t="s">
        <v>104</v>
      </c>
      <c r="B73" s="20">
        <f>vWWOuts / vLineYield</f>
        <v>555.55555555555554</v>
      </c>
      <c r="C73" s="20">
        <f>vWWOuts / vLineYield</f>
        <v>555.55555555555554</v>
      </c>
      <c r="D73" t="s">
        <v>105</v>
      </c>
    </row>
    <row r="74" spans="1:4" x14ac:dyDescent="0.25">
      <c r="A74" t="s">
        <v>101</v>
      </c>
      <c r="B74" s="12">
        <f>B73 * B72</f>
        <v>3968.2539682539682</v>
      </c>
      <c r="C74" s="12">
        <f>C73 * C72</f>
        <v>3769.8412698412699</v>
      </c>
      <c r="D74" t="s">
        <v>106</v>
      </c>
    </row>
    <row r="75" spans="1:4" x14ac:dyDescent="0.25">
      <c r="A75" t="s">
        <v>108</v>
      </c>
      <c r="B75" s="14">
        <f>B74 * vMidLineWIPValue</f>
        <v>5208333.333333333</v>
      </c>
      <c r="C75" s="14">
        <f>C74 * vMidLineWIPValue</f>
        <v>4947916.666666667</v>
      </c>
      <c r="D75" t="s">
        <v>109</v>
      </c>
    </row>
    <row r="76" spans="1:4" x14ac:dyDescent="0.25">
      <c r="A76" t="s">
        <v>110</v>
      </c>
      <c r="B76" s="14">
        <f>B75 * vhcp</f>
        <v>1249999.9999999998</v>
      </c>
      <c r="C76" s="14">
        <f>C75 * vhcp</f>
        <v>1187500</v>
      </c>
      <c r="D76" t="s">
        <v>111</v>
      </c>
    </row>
    <row r="77" spans="1:4" x14ac:dyDescent="0.25">
      <c r="A77" t="s">
        <v>99</v>
      </c>
      <c r="C77" s="16">
        <f>B76-C76</f>
        <v>62499.999999999767</v>
      </c>
      <c r="D77" t="s">
        <v>112</v>
      </c>
    </row>
  </sheetData>
  <sheetProtection password="D10F"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workbookViewId="0">
      <selection activeCell="A16" sqref="A16"/>
    </sheetView>
  </sheetViews>
  <sheetFormatPr defaultRowHeight="13.2" x14ac:dyDescent="0.25"/>
  <sheetData>
    <row r="1" spans="1:2" x14ac:dyDescent="0.25">
      <c r="A1" s="11" t="s">
        <v>124</v>
      </c>
    </row>
    <row r="2" spans="1:2" x14ac:dyDescent="0.25">
      <c r="B2" t="s">
        <v>30</v>
      </c>
    </row>
    <row r="3" spans="1:2" x14ac:dyDescent="0.25">
      <c r="B3" t="s">
        <v>31</v>
      </c>
    </row>
    <row r="4" spans="1:2" x14ac:dyDescent="0.25">
      <c r="B4" t="s">
        <v>44</v>
      </c>
    </row>
    <row r="5" spans="1:2" x14ac:dyDescent="0.25">
      <c r="B5" t="s">
        <v>45</v>
      </c>
    </row>
    <row r="6" spans="1:2" x14ac:dyDescent="0.25">
      <c r="B6" t="s">
        <v>46</v>
      </c>
    </row>
    <row r="8" spans="1:2" x14ac:dyDescent="0.25">
      <c r="A8" t="s">
        <v>172</v>
      </c>
    </row>
    <row r="9" spans="1:2" x14ac:dyDescent="0.25">
      <c r="B9" t="s">
        <v>176</v>
      </c>
    </row>
    <row r="10" spans="1:2" x14ac:dyDescent="0.25">
      <c r="B10" t="s">
        <v>173</v>
      </c>
    </row>
    <row r="11" spans="1:2" x14ac:dyDescent="0.25">
      <c r="B11" t="s">
        <v>174</v>
      </c>
    </row>
    <row r="12" spans="1:2" x14ac:dyDescent="0.25">
      <c r="B12" t="s">
        <v>175</v>
      </c>
    </row>
    <row r="14" spans="1:2" x14ac:dyDescent="0.25">
      <c r="A14" t="s">
        <v>32</v>
      </c>
    </row>
    <row r="15" spans="1:2" x14ac:dyDescent="0.25">
      <c r="A15" t="s">
        <v>33</v>
      </c>
    </row>
    <row r="16" spans="1:2" x14ac:dyDescent="0.25">
      <c r="A16" s="1"/>
    </row>
  </sheetData>
  <sheetProtection password="D10F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63</vt:i4>
      </vt:variant>
    </vt:vector>
  </HeadingPairs>
  <TitlesOfParts>
    <vt:vector size="66" baseType="lpstr">
      <vt:lpstr>Calculator</vt:lpstr>
      <vt:lpstr>Details</vt:lpstr>
      <vt:lpstr>Notes</vt:lpstr>
      <vt:lpstr>vCTPlusR</vt:lpstr>
      <vt:lpstr>vCTPlusRImproved</vt:lpstr>
      <vt:lpstr>vD_Avg</vt:lpstr>
      <vt:lpstr>vD_avgImproved</vt:lpstr>
      <vt:lpstr>vD_stdDev</vt:lpstr>
      <vt:lpstr>vD_stdDevImproved</vt:lpstr>
      <vt:lpstr>vD2_avg</vt:lpstr>
      <vt:lpstr>vD2_avgImproved</vt:lpstr>
      <vt:lpstr>vD2_stdDev</vt:lpstr>
      <vt:lpstr>vD2_stdDevImproved</vt:lpstr>
      <vt:lpstr>vDesignWinFactorLearningCycles</vt:lpstr>
      <vt:lpstr>vDesignWinFactorRDCycleTime</vt:lpstr>
      <vt:lpstr>vDesignWins</vt:lpstr>
      <vt:lpstr>vDTYears</vt:lpstr>
      <vt:lpstr>vE1ReducedExpense</vt:lpstr>
      <vt:lpstr>vE2ReducedExpenses</vt:lpstr>
      <vt:lpstr>vE3ReducedExpense</vt:lpstr>
      <vt:lpstr>vE4ReducedExpense</vt:lpstr>
      <vt:lpstr>vECNCost</vt:lpstr>
      <vt:lpstr>vECNPct</vt:lpstr>
      <vt:lpstr>vFabCTBaseline</vt:lpstr>
      <vt:lpstr>vFabCTY</vt:lpstr>
      <vt:lpstr>vFabCTYImproved</vt:lpstr>
      <vt:lpstr>vGDPW</vt:lpstr>
      <vt:lpstr>vh</vt:lpstr>
      <vt:lpstr>vhcp</vt:lpstr>
      <vt:lpstr>vhImproved</vt:lpstr>
      <vt:lpstr>vLineYield</vt:lpstr>
      <vt:lpstr>vLossPct</vt:lpstr>
      <vt:lpstr>vLossQty</vt:lpstr>
      <vt:lpstr>vLossQtyImproved</vt:lpstr>
      <vt:lpstr>vLP</vt:lpstr>
      <vt:lpstr>vMidLineWIPValue</vt:lpstr>
      <vt:lpstr>vNewProductPct</vt:lpstr>
      <vt:lpstr>vNewProductVolume</vt:lpstr>
      <vt:lpstr>vNormInv</vt:lpstr>
      <vt:lpstr>vNormInvImproved</vt:lpstr>
      <vt:lpstr>vOneMinusRHS</vt:lpstr>
      <vt:lpstr>vOneMinusRHSImproved</vt:lpstr>
      <vt:lpstr>vOrderUpTo</vt:lpstr>
      <vt:lpstr>vOrderUpToImproved</vt:lpstr>
      <vt:lpstr>vPf</vt:lpstr>
      <vt:lpstr>vPricingFactorRDCycleTime</vt:lpstr>
      <vt:lpstr>vProdCTImprovement</vt:lpstr>
      <vt:lpstr>vR</vt:lpstr>
      <vt:lpstr>vR1AdditionalRevenue</vt:lpstr>
      <vt:lpstr>vR2AdditionalRevenue</vt:lpstr>
      <vt:lpstr>vR3AdditionalRevenue</vt:lpstr>
      <vt:lpstr>vRawWaferCost</vt:lpstr>
      <vt:lpstr>vRDCTBaseline</vt:lpstr>
      <vt:lpstr>vRDCTImprovement</vt:lpstr>
      <vt:lpstr>vRHS</vt:lpstr>
      <vt:lpstr>vRHSImproved</vt:lpstr>
      <vt:lpstr>vRY</vt:lpstr>
      <vt:lpstr>vRYImproved</vt:lpstr>
      <vt:lpstr>vVolatility</vt:lpstr>
      <vt:lpstr>vWorkWeeks</vt:lpstr>
      <vt:lpstr>vWriteOff</vt:lpstr>
      <vt:lpstr>vWriteOffAnnual</vt:lpstr>
      <vt:lpstr>vWriteOffAnnualImproved</vt:lpstr>
      <vt:lpstr>vWriteOffImproved</vt:lpstr>
      <vt:lpstr>vWWOuts</vt:lpstr>
      <vt:lpstr>vYieldFactorProdCycleTime</vt:lpstr>
    </vt:vector>
  </TitlesOfParts>
  <Company>FabTime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Chance</dc:creator>
  <cp:lastModifiedBy>Aniket Gupta</cp:lastModifiedBy>
  <cp:lastPrinted>2002-05-15T03:27:35Z</cp:lastPrinted>
  <dcterms:created xsi:type="dcterms:W3CDTF">2001-07-09T04:01:17Z</dcterms:created>
  <dcterms:modified xsi:type="dcterms:W3CDTF">2024-02-03T22:29:44Z</dcterms:modified>
</cp:coreProperties>
</file>