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embeddings/oleObject2.bin" ContentType="application/vnd.openxmlformats-officedocument.oleObject"/>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C399B637-AB7A-4523-9FFA-D35742D4F330}" xr6:coauthVersionLast="47" xr6:coauthVersionMax="47" xr10:uidLastSave="{00000000-0000-0000-0000-000000000000}"/>
  <bookViews>
    <workbookView xWindow="3348" yWindow="3348" windowWidth="17280" windowHeight="8880" activeTab="1"/>
  </bookViews>
  <sheets>
    <sheet name="Contents" sheetId="53" r:id="rId1"/>
    <sheet name="Introduction" sheetId="54" r:id="rId2"/>
    <sheet name="Table of Links" sheetId="62" r:id="rId3"/>
    <sheet name="The Business" sheetId="1" r:id="rId4"/>
    <sheet name="Item Master" sheetId="47" r:id="rId5"/>
    <sheet name="Supplier Master" sheetId="2" r:id="rId6"/>
    <sheet name="Bill of Materials" sheetId="3" r:id="rId7"/>
    <sheet name="Purchase Orders" sheetId="51" r:id="rId8"/>
    <sheet name="Finite Schedule" sheetId="5" r:id="rId9"/>
    <sheet name="Make-to-Inventory Logic" sheetId="63" r:id="rId10"/>
    <sheet name="Production Runs" sheetId="55" r:id="rId11"/>
    <sheet name="BOM x 3" sheetId="48" r:id="rId12"/>
    <sheet name="Allocate Inventory" sheetId="58" r:id="rId13"/>
    <sheet name="Purchase Action Report" sheetId="59" r:id="rId14"/>
    <sheet name="Inventory Rationing Logic" sheetId="60" r:id="rId15"/>
    <sheet name="Inventory Rationing Calculation" sheetId="61" r:id="rId16"/>
    <sheet name="Components Pivot" sheetId="49" r:id="rId17"/>
    <sheet name="Products Pivot" sheetId="57" r:id="rId18"/>
  </sheets>
  <definedNames>
    <definedName name="Matrix_1">#REF!</definedName>
    <definedName name="Matrix_2">#REF!</definedName>
    <definedName name="_xlnm.Print_Area" localSheetId="13">'Purchase Action Report'!$A$12:$G$109</definedName>
    <definedName name="_xlnm.Print_Titles" localSheetId="13">'Purchase Action Report'!$10:$11</definedName>
    <definedName name="Top_row_1">#REF!</definedName>
    <definedName name="Top_row_2">#REF!</definedName>
  </definedNames>
  <calcPr calcId="191029" fullCalcOnLoad="1" iterate="1" iterateCount="1"/>
  <pivotCaches>
    <pivotCache cacheId="1" r:id="rId19"/>
    <pivotCache cacheId="2" r:id="rId20"/>
    <pivotCache cacheId="3" r:id="rId21"/>
    <pivotCache cacheId="4"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58" l="1"/>
  <c r="I4" i="58"/>
  <c r="J4" i="58"/>
  <c r="K4" i="58"/>
  <c r="E7" i="58"/>
  <c r="G7" i="58" s="1"/>
  <c r="H7" i="58" s="1"/>
  <c r="F7" i="58"/>
  <c r="F8" i="58" s="1"/>
  <c r="E8" i="58"/>
  <c r="G8" i="58" s="1"/>
  <c r="F9" i="58"/>
  <c r="F10" i="58"/>
  <c r="F11" i="58"/>
  <c r="F12" i="58"/>
  <c r="F13" i="58"/>
  <c r="F14" i="58"/>
  <c r="F15" i="58"/>
  <c r="F16" i="58"/>
  <c r="F17" i="58"/>
  <c r="F18" i="58"/>
  <c r="F19" i="58"/>
  <c r="E20" i="58"/>
  <c r="F20" i="58"/>
  <c r="F21" i="58"/>
  <c r="F22" i="58"/>
  <c r="E23" i="58"/>
  <c r="G23" i="58" s="1"/>
  <c r="H23" i="58" s="1"/>
  <c r="F23" i="58"/>
  <c r="E24" i="58"/>
  <c r="G24" i="58" s="1"/>
  <c r="F24" i="58"/>
  <c r="F25" i="58"/>
  <c r="F26" i="58"/>
  <c r="E27" i="58"/>
  <c r="G27" i="58" s="1"/>
  <c r="F27" i="58"/>
  <c r="F28" i="58" s="1"/>
  <c r="E28" i="58"/>
  <c r="F29" i="58"/>
  <c r="F30" i="58"/>
  <c r="F31" i="58"/>
  <c r="F32" i="58"/>
  <c r="E33" i="58"/>
  <c r="F33" i="58"/>
  <c r="G33" i="58"/>
  <c r="I33" i="58" s="1"/>
  <c r="H33" i="58"/>
  <c r="E34" i="58"/>
  <c r="G34" i="58" s="1"/>
  <c r="F34" i="58"/>
  <c r="F35" i="58"/>
  <c r="F36" i="58"/>
  <c r="F37" i="58"/>
  <c r="F38" i="58"/>
  <c r="F39" i="58"/>
  <c r="E40" i="58"/>
  <c r="G40" i="58" s="1"/>
  <c r="F40" i="58"/>
  <c r="F41" i="58"/>
  <c r="F42" i="58"/>
  <c r="F43" i="58"/>
  <c r="F44" i="58"/>
  <c r="F45" i="58"/>
  <c r="E46" i="58"/>
  <c r="F46" i="58"/>
  <c r="G46" i="58"/>
  <c r="H46" i="58" s="1"/>
  <c r="F47" i="58"/>
  <c r="F48" i="58"/>
  <c r="F49" i="58"/>
  <c r="F50" i="58"/>
  <c r="F51" i="58"/>
  <c r="F52" i="58"/>
  <c r="F53" i="58"/>
  <c r="F54" i="58"/>
  <c r="F55" i="58"/>
  <c r="E56" i="58"/>
  <c r="E57" i="58" s="1"/>
  <c r="E58" i="58" s="1"/>
  <c r="F56" i="58"/>
  <c r="F57" i="58"/>
  <c r="F58" i="58"/>
  <c r="E59" i="58"/>
  <c r="F59" i="58"/>
  <c r="G59" i="58"/>
  <c r="K59" i="58" s="1"/>
  <c r="I59" i="58"/>
  <c r="E60" i="58"/>
  <c r="F60" i="58"/>
  <c r="G60" i="58"/>
  <c r="H60" i="58" s="1"/>
  <c r="I60" i="58"/>
  <c r="K60" i="58"/>
  <c r="E61" i="58"/>
  <c r="F61" i="58"/>
  <c r="G61" i="58"/>
  <c r="I61" i="58" s="1"/>
  <c r="K61" i="58"/>
  <c r="E62" i="58"/>
  <c r="F62" i="58"/>
  <c r="G62" i="58"/>
  <c r="H62" i="58" s="1"/>
  <c r="K62" i="58"/>
  <c r="E63" i="58"/>
  <c r="G63" i="58" s="1"/>
  <c r="I63" i="58" s="1"/>
  <c r="F63" i="58"/>
  <c r="H63" i="58"/>
  <c r="K63" i="58"/>
  <c r="E64" i="58"/>
  <c r="E65" i="58" s="1"/>
  <c r="F64" i="58"/>
  <c r="G64" i="58"/>
  <c r="I64" i="58"/>
  <c r="F65" i="58"/>
  <c r="G65" i="58"/>
  <c r="E66" i="58"/>
  <c r="F66" i="58"/>
  <c r="G66" i="58"/>
  <c r="E67" i="58"/>
  <c r="F67" i="58"/>
  <c r="G67" i="58"/>
  <c r="E68" i="58"/>
  <c r="F68" i="58"/>
  <c r="G68" i="58"/>
  <c r="I68" i="58"/>
  <c r="K68" i="58"/>
  <c r="E69" i="58"/>
  <c r="F69" i="58"/>
  <c r="G69" i="58"/>
  <c r="E70" i="58"/>
  <c r="F70" i="58"/>
  <c r="G70" i="58"/>
  <c r="K70" i="58" s="1"/>
  <c r="E71" i="58"/>
  <c r="G71" i="58" s="1"/>
  <c r="I71" i="58" s="1"/>
  <c r="F71" i="58"/>
  <c r="H71" i="58"/>
  <c r="K71" i="58"/>
  <c r="E72" i="58"/>
  <c r="E73" i="58" s="1"/>
  <c r="F72" i="58"/>
  <c r="G72" i="58"/>
  <c r="I72" i="58"/>
  <c r="F73" i="58"/>
  <c r="G73" i="58"/>
  <c r="I73" i="58"/>
  <c r="E74" i="58"/>
  <c r="F74" i="58"/>
  <c r="G74" i="58"/>
  <c r="E75" i="58"/>
  <c r="F75" i="58"/>
  <c r="G75" i="58"/>
  <c r="I75" i="58"/>
  <c r="E76" i="58"/>
  <c r="F76" i="58"/>
  <c r="G76" i="58"/>
  <c r="I76" i="58"/>
  <c r="K76" i="58"/>
  <c r="E77" i="58"/>
  <c r="F77" i="58"/>
  <c r="G77" i="58"/>
  <c r="K77" i="58" s="1"/>
  <c r="E78" i="58"/>
  <c r="F78" i="58"/>
  <c r="G78" i="58"/>
  <c r="E79" i="58"/>
  <c r="G79" i="58" s="1"/>
  <c r="I79" i="58" s="1"/>
  <c r="F79" i="58"/>
  <c r="H79" i="58"/>
  <c r="K79" i="58"/>
  <c r="E80" i="58"/>
  <c r="E81" i="58" s="1"/>
  <c r="F80" i="58"/>
  <c r="G80" i="58"/>
  <c r="I80" i="58"/>
  <c r="F81" i="58"/>
  <c r="G81" i="58"/>
  <c r="E82" i="58"/>
  <c r="F82" i="58"/>
  <c r="G82" i="58"/>
  <c r="E83" i="58"/>
  <c r="F83" i="58"/>
  <c r="G83" i="58"/>
  <c r="I83" i="58"/>
  <c r="E84" i="58"/>
  <c r="F84" i="58"/>
  <c r="G84" i="58"/>
  <c r="E85" i="58"/>
  <c r="F85" i="58"/>
  <c r="G85" i="58"/>
  <c r="K85" i="58" s="1"/>
  <c r="E86" i="58"/>
  <c r="F86" i="58"/>
  <c r="G86" i="58"/>
  <c r="J86" i="58"/>
  <c r="K86" i="58"/>
  <c r="E87" i="58"/>
  <c r="G87" i="58" s="1"/>
  <c r="I87" i="58" s="1"/>
  <c r="F87" i="58"/>
  <c r="H87" i="58"/>
  <c r="J87" i="58"/>
  <c r="K87" i="58"/>
  <c r="E88" i="58"/>
  <c r="F88" i="58"/>
  <c r="G88" i="58"/>
  <c r="E89" i="58"/>
  <c r="F89" i="58"/>
  <c r="G89" i="58"/>
  <c r="J89" i="58" s="1"/>
  <c r="H89" i="58"/>
  <c r="I89" i="58"/>
  <c r="K89" i="58"/>
  <c r="E90" i="58"/>
  <c r="G90" i="58" s="1"/>
  <c r="J90" i="58" s="1"/>
  <c r="F90" i="58"/>
  <c r="H90" i="58"/>
  <c r="I90" i="58"/>
  <c r="K90" i="58"/>
  <c r="E91" i="58"/>
  <c r="G91" i="58" s="1"/>
  <c r="F91" i="58"/>
  <c r="E92" i="58"/>
  <c r="G92" i="58" s="1"/>
  <c r="F92" i="58"/>
  <c r="H92" i="58"/>
  <c r="E93" i="58"/>
  <c r="G93" i="58" s="1"/>
  <c r="F93" i="58"/>
  <c r="E94" i="58"/>
  <c r="F94" i="58"/>
  <c r="G94" i="58"/>
  <c r="H94" i="58" s="1"/>
  <c r="J94" i="58"/>
  <c r="E95" i="58"/>
  <c r="F95" i="58"/>
  <c r="G95" i="58"/>
  <c r="I95" i="58"/>
  <c r="J95" i="58"/>
  <c r="E96" i="58"/>
  <c r="F96" i="58"/>
  <c r="E97" i="58"/>
  <c r="F97" i="58"/>
  <c r="E98" i="58"/>
  <c r="F98" i="58"/>
  <c r="G98" i="58"/>
  <c r="E99" i="58"/>
  <c r="F99" i="58"/>
  <c r="E100" i="58"/>
  <c r="F100" i="58"/>
  <c r="E101" i="58"/>
  <c r="G101" i="58" s="1"/>
  <c r="J101" i="58" s="1"/>
  <c r="F101" i="58"/>
  <c r="I101" i="58"/>
  <c r="K101" i="58"/>
  <c r="E102" i="58"/>
  <c r="F102" i="58"/>
  <c r="E103" i="58"/>
  <c r="F103" i="58"/>
  <c r="G103" i="58"/>
  <c r="E104" i="58"/>
  <c r="F104" i="58"/>
  <c r="E105" i="58"/>
  <c r="F105" i="58"/>
  <c r="E106" i="58"/>
  <c r="F106" i="58"/>
  <c r="G106" i="58"/>
  <c r="I106" i="58"/>
  <c r="K106" i="58"/>
  <c r="E107" i="58"/>
  <c r="F107" i="58"/>
  <c r="E108" i="58"/>
  <c r="F108" i="58"/>
  <c r="G108" i="58"/>
  <c r="E109" i="58"/>
  <c r="G109" i="58" s="1"/>
  <c r="J109" i="58" s="1"/>
  <c r="F109" i="58"/>
  <c r="H109" i="58"/>
  <c r="I109" i="58"/>
  <c r="K109" i="58"/>
  <c r="E110" i="58"/>
  <c r="F110" i="58"/>
  <c r="G110" i="58"/>
  <c r="I110" i="58" s="1"/>
  <c r="J110" i="58"/>
  <c r="K110" i="58"/>
  <c r="E111" i="58"/>
  <c r="F111" i="58"/>
  <c r="G111" i="58"/>
  <c r="E112" i="58"/>
  <c r="G112" i="58" s="1"/>
  <c r="F112" i="58"/>
  <c r="H112" i="58"/>
  <c r="I112" i="58"/>
  <c r="J112" i="58"/>
  <c r="K112" i="58"/>
  <c r="E113" i="58"/>
  <c r="F113" i="58"/>
  <c r="G113" i="58"/>
  <c r="I113" i="58" s="1"/>
  <c r="E114" i="58"/>
  <c r="F114" i="58"/>
  <c r="G114" i="58"/>
  <c r="H114" i="58" s="1"/>
  <c r="K114" i="58"/>
  <c r="E115" i="58"/>
  <c r="F115" i="58"/>
  <c r="G115" i="58"/>
  <c r="J115" i="58" s="1"/>
  <c r="I115" i="58"/>
  <c r="K115" i="58"/>
  <c r="E116" i="58"/>
  <c r="F116" i="58"/>
  <c r="G116" i="58"/>
  <c r="H116" i="58" s="1"/>
  <c r="I116" i="58"/>
  <c r="E117" i="58"/>
  <c r="F117" i="58"/>
  <c r="G117" i="58"/>
  <c r="H117" i="58"/>
  <c r="I117" i="58"/>
  <c r="E118" i="58"/>
  <c r="F118" i="58"/>
  <c r="G118" i="58"/>
  <c r="E119" i="58"/>
  <c r="F119" i="58"/>
  <c r="G119" i="58"/>
  <c r="I119" i="58" s="1"/>
  <c r="J119" i="58"/>
  <c r="E120" i="58"/>
  <c r="G120" i="58" s="1"/>
  <c r="K120" i="58" s="1"/>
  <c r="F120" i="58"/>
  <c r="H120" i="58"/>
  <c r="I120" i="58"/>
  <c r="J120" i="58"/>
  <c r="E121" i="58"/>
  <c r="F121" i="58"/>
  <c r="E122" i="58"/>
  <c r="F122" i="58"/>
  <c r="G122" i="58"/>
  <c r="J122" i="58" s="1"/>
  <c r="E123" i="58"/>
  <c r="G123" i="58" s="1"/>
  <c r="H123" i="58" s="1"/>
  <c r="F123" i="58"/>
  <c r="J123" i="58"/>
  <c r="E124" i="58"/>
  <c r="F124" i="58"/>
  <c r="E125" i="58"/>
  <c r="F125" i="58"/>
  <c r="G125" i="58"/>
  <c r="E126" i="58"/>
  <c r="F126" i="58"/>
  <c r="G126" i="58"/>
  <c r="E127" i="58"/>
  <c r="F127" i="58"/>
  <c r="G127" i="58"/>
  <c r="I127" i="58"/>
  <c r="E128" i="58"/>
  <c r="G128" i="58" s="1"/>
  <c r="I128" i="58" s="1"/>
  <c r="F128" i="58"/>
  <c r="J128" i="58"/>
  <c r="K128" i="58"/>
  <c r="E129" i="58"/>
  <c r="F129" i="58"/>
  <c r="G129" i="58"/>
  <c r="H129" i="58" s="1"/>
  <c r="J129" i="58"/>
  <c r="K129" i="58"/>
  <c r="E130" i="58"/>
  <c r="G130" i="58" s="1"/>
  <c r="I130" i="58" s="1"/>
  <c r="F130" i="58"/>
  <c r="H130" i="58"/>
  <c r="J130" i="58"/>
  <c r="K130" i="58"/>
  <c r="E131" i="58"/>
  <c r="F131" i="58"/>
  <c r="E132" i="58"/>
  <c r="F132" i="58"/>
  <c r="G132" i="58"/>
  <c r="K132" i="58" s="1"/>
  <c r="H132" i="58"/>
  <c r="J132" i="58"/>
  <c r="E133" i="58"/>
  <c r="F133" i="58"/>
  <c r="G133" i="58"/>
  <c r="J133" i="58" s="1"/>
  <c r="H133" i="58"/>
  <c r="I133" i="58"/>
  <c r="E134" i="58"/>
  <c r="F134" i="58"/>
  <c r="E135" i="58"/>
  <c r="F135" i="58"/>
  <c r="E136" i="58"/>
  <c r="G136" i="58" s="1"/>
  <c r="I136" i="58" s="1"/>
  <c r="F136" i="58"/>
  <c r="H136" i="58"/>
  <c r="K136" i="58"/>
  <c r="E137" i="58"/>
  <c r="F137" i="58"/>
  <c r="G137" i="58"/>
  <c r="I137" i="58"/>
  <c r="K137" i="58"/>
  <c r="E138" i="58"/>
  <c r="G138" i="58" s="1"/>
  <c r="J138" i="58" s="1"/>
  <c r="F138" i="58"/>
  <c r="H138" i="58"/>
  <c r="I138" i="58"/>
  <c r="K138" i="58"/>
  <c r="E139" i="58"/>
  <c r="G139" i="58" s="1"/>
  <c r="J139" i="58" s="1"/>
  <c r="F139" i="58"/>
  <c r="H139" i="58"/>
  <c r="I139" i="58"/>
  <c r="K139" i="58"/>
  <c r="E140" i="58"/>
  <c r="F140" i="58"/>
  <c r="G140" i="58"/>
  <c r="K140" i="58" s="1"/>
  <c r="H140" i="58"/>
  <c r="I140" i="58"/>
  <c r="E141" i="58"/>
  <c r="F141" i="58"/>
  <c r="G141" i="58"/>
  <c r="J141" i="58" s="1"/>
  <c r="I141" i="58"/>
  <c r="K141" i="58"/>
  <c r="E142" i="58"/>
  <c r="F142" i="58"/>
  <c r="E143" i="58"/>
  <c r="F143" i="58"/>
  <c r="G143" i="58"/>
  <c r="I143" i="58"/>
  <c r="K143" i="58"/>
  <c r="E144" i="58"/>
  <c r="F144" i="58"/>
  <c r="E145" i="58"/>
  <c r="F145" i="58"/>
  <c r="E146" i="58"/>
  <c r="G146" i="58" s="1"/>
  <c r="F146" i="58"/>
  <c r="I146" i="58"/>
  <c r="E147" i="58"/>
  <c r="F147" i="58"/>
  <c r="G147" i="58"/>
  <c r="E148" i="58"/>
  <c r="F148" i="58"/>
  <c r="G148" i="58"/>
  <c r="I148" i="58"/>
  <c r="E149" i="58"/>
  <c r="F149" i="58"/>
  <c r="G149" i="58"/>
  <c r="E150" i="58" a="1"/>
  <c r="E155" i="58" s="1"/>
  <c r="F150" i="58" a="1"/>
  <c r="F166" i="58" s="1"/>
  <c r="N150" i="58"/>
  <c r="N150" i="58" a="1"/>
  <c r="N153" i="58" s="1"/>
  <c r="N151" i="58"/>
  <c r="E152" i="58"/>
  <c r="F154" i="58"/>
  <c r="N154" i="58"/>
  <c r="E156" i="58"/>
  <c r="N157" i="58"/>
  <c r="N158" i="58"/>
  <c r="E159" i="58"/>
  <c r="N159" i="58"/>
  <c r="N160" i="58"/>
  <c r="N161" i="58"/>
  <c r="E163" i="58"/>
  <c r="N163" i="58"/>
  <c r="N164" i="58"/>
  <c r="N165" i="58"/>
  <c r="N166" i="58"/>
  <c r="N167" i="58"/>
  <c r="E168" i="58"/>
  <c r="N170" i="58"/>
  <c r="F171" i="58"/>
  <c r="E172" i="58"/>
  <c r="N173" i="58"/>
  <c r="N174" i="58"/>
  <c r="E175" i="58"/>
  <c r="N175" i="58"/>
  <c r="N176" i="58"/>
  <c r="N177" i="58"/>
  <c r="N178" i="58"/>
  <c r="N179" i="58"/>
  <c r="E180" i="58"/>
  <c r="E181" i="58"/>
  <c r="N181" i="58"/>
  <c r="N182" i="58"/>
  <c r="E183" i="58"/>
  <c r="N183" i="58"/>
  <c r="F184" i="58"/>
  <c r="N184" i="58"/>
  <c r="E186" i="58"/>
  <c r="N186" i="58"/>
  <c r="E187" i="58"/>
  <c r="N187" i="58"/>
  <c r="F188" i="58"/>
  <c r="N188" i="58"/>
  <c r="E190" i="58"/>
  <c r="N190" i="58"/>
  <c r="E191" i="58"/>
  <c r="N191" i="58"/>
  <c r="N192" i="58"/>
  <c r="E194" i="58"/>
  <c r="N194" i="58"/>
  <c r="E195" i="58"/>
  <c r="N195" i="58"/>
  <c r="N196" i="58"/>
  <c r="E198" i="58"/>
  <c r="N198" i="58"/>
  <c r="E199" i="58"/>
  <c r="N199" i="58"/>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A5" i="48"/>
  <c r="B5" i="48"/>
  <c r="C5" i="48"/>
  <c r="A6" i="48"/>
  <c r="B6" i="48"/>
  <c r="C6" i="48"/>
  <c r="A7" i="48"/>
  <c r="B7" i="48"/>
  <c r="C7" i="48"/>
  <c r="A8" i="48"/>
  <c r="B8" i="48"/>
  <c r="C8" i="48"/>
  <c r="A9" i="48"/>
  <c r="B9" i="48"/>
  <c r="C9" i="48"/>
  <c r="A10" i="48"/>
  <c r="B10" i="48"/>
  <c r="C10" i="48"/>
  <c r="A11" i="48"/>
  <c r="B11" i="48"/>
  <c r="C11" i="48"/>
  <c r="A12" i="48"/>
  <c r="B12" i="48"/>
  <c r="C12" i="48"/>
  <c r="A13" i="48"/>
  <c r="B13" i="48"/>
  <c r="C13" i="48"/>
  <c r="A14" i="48"/>
  <c r="B14" i="48"/>
  <c r="C14" i="48"/>
  <c r="A15" i="48"/>
  <c r="B15" i="48"/>
  <c r="C15" i="48"/>
  <c r="A16" i="48"/>
  <c r="B16" i="48"/>
  <c r="C16" i="48"/>
  <c r="A17" i="48"/>
  <c r="B17" i="48"/>
  <c r="C17" i="48"/>
  <c r="A18" i="48"/>
  <c r="B18" i="48"/>
  <c r="C18" i="48"/>
  <c r="A19" i="48"/>
  <c r="B19" i="48"/>
  <c r="C19" i="48"/>
  <c r="A20" i="48"/>
  <c r="B20" i="48"/>
  <c r="C20" i="48"/>
  <c r="A21" i="48"/>
  <c r="B21" i="48"/>
  <c r="C21" i="48"/>
  <c r="A22" i="48"/>
  <c r="B22" i="48"/>
  <c r="C22" i="48"/>
  <c r="A23" i="48"/>
  <c r="B23" i="48"/>
  <c r="C23" i="48"/>
  <c r="A24" i="48"/>
  <c r="B24" i="48"/>
  <c r="C24" i="48"/>
  <c r="A25" i="48"/>
  <c r="B25" i="48"/>
  <c r="C25" i="48"/>
  <c r="A26" i="48"/>
  <c r="B26" i="48"/>
  <c r="C26" i="48"/>
  <c r="A27" i="48"/>
  <c r="B27" i="48"/>
  <c r="C27" i="48"/>
  <c r="A28" i="48"/>
  <c r="B28" i="48"/>
  <c r="C28" i="48"/>
  <c r="A29" i="48"/>
  <c r="B29" i="48"/>
  <c r="C29" i="48"/>
  <c r="A30" i="48"/>
  <c r="B30" i="48"/>
  <c r="C30" i="48"/>
  <c r="A31" i="48"/>
  <c r="B31" i="48"/>
  <c r="C31" i="48"/>
  <c r="A32" i="48"/>
  <c r="B32" i="48"/>
  <c r="C32" i="48"/>
  <c r="A33" i="48"/>
  <c r="B33" i="48"/>
  <c r="C33" i="48"/>
  <c r="A34" i="48"/>
  <c r="B34" i="48"/>
  <c r="C34" i="48"/>
  <c r="A35" i="48"/>
  <c r="B35" i="48"/>
  <c r="C35" i="48"/>
  <c r="A36" i="48"/>
  <c r="B36" i="48"/>
  <c r="C36" i="48"/>
  <c r="A37" i="48"/>
  <c r="B37" i="48"/>
  <c r="C37" i="48"/>
  <c r="A38" i="48"/>
  <c r="B38" i="48"/>
  <c r="C38" i="48"/>
  <c r="A39" i="48"/>
  <c r="B39" i="48"/>
  <c r="C39" i="48"/>
  <c r="A40" i="48"/>
  <c r="B40" i="48"/>
  <c r="C40" i="48"/>
  <c r="A41" i="48"/>
  <c r="B41" i="48"/>
  <c r="C41" i="48"/>
  <c r="A42" i="48"/>
  <c r="B42" i="48"/>
  <c r="C42" i="48"/>
  <c r="A43" i="48"/>
  <c r="B43" i="48"/>
  <c r="C43" i="48"/>
  <c r="A44" i="48"/>
  <c r="B44" i="48"/>
  <c r="C44" i="48"/>
  <c r="A45" i="48"/>
  <c r="B45" i="48"/>
  <c r="C45" i="48"/>
  <c r="A46" i="48"/>
  <c r="B46" i="48"/>
  <c r="C46" i="48"/>
  <c r="A47" i="48"/>
  <c r="B47" i="48"/>
  <c r="C47" i="48"/>
  <c r="A48" i="48"/>
  <c r="B48" i="48"/>
  <c r="C48" i="48"/>
  <c r="A49" i="48"/>
  <c r="B49" i="48"/>
  <c r="C49" i="48"/>
  <c r="A50" i="48"/>
  <c r="B50" i="48"/>
  <c r="C50" i="48"/>
  <c r="A51" i="48"/>
  <c r="B51" i="48"/>
  <c r="C51" i="48"/>
  <c r="A52" i="48"/>
  <c r="B52" i="48"/>
  <c r="C52" i="48"/>
  <c r="A53" i="48"/>
  <c r="B53" i="48"/>
  <c r="C53" i="48"/>
  <c r="A54" i="48"/>
  <c r="B54" i="48"/>
  <c r="C54" i="48"/>
  <c r="A55" i="48"/>
  <c r="B55" i="48"/>
  <c r="C55" i="48"/>
  <c r="A56" i="48"/>
  <c r="B56" i="48"/>
  <c r="C56" i="48"/>
  <c r="A57" i="48"/>
  <c r="B57" i="48"/>
  <c r="C57" i="48"/>
  <c r="A58" i="48"/>
  <c r="B58" i="48"/>
  <c r="C58" i="48"/>
  <c r="A59" i="48"/>
  <c r="B59" i="48"/>
  <c r="C59" i="48"/>
  <c r="A60" i="48"/>
  <c r="B60" i="48"/>
  <c r="C60" i="48"/>
  <c r="A61" i="48"/>
  <c r="B61" i="48"/>
  <c r="C61" i="48"/>
  <c r="A62" i="48"/>
  <c r="B62" i="48"/>
  <c r="C62" i="48"/>
  <c r="A63" i="48"/>
  <c r="B63" i="48"/>
  <c r="C63" i="48"/>
  <c r="A64" i="48"/>
  <c r="B64" i="48"/>
  <c r="C64" i="48"/>
  <c r="A65" i="48"/>
  <c r="B65" i="48"/>
  <c r="C65" i="48"/>
  <c r="A66" i="48"/>
  <c r="B66" i="48"/>
  <c r="C66" i="48"/>
  <c r="A67" i="48"/>
  <c r="B67" i="48"/>
  <c r="C67" i="48"/>
  <c r="A68" i="48"/>
  <c r="B68" i="48"/>
  <c r="C68" i="48"/>
  <c r="A69" i="48"/>
  <c r="B69" i="48"/>
  <c r="C69" i="48"/>
  <c r="A70" i="48"/>
  <c r="B70" i="48"/>
  <c r="C70" i="48"/>
  <c r="A71" i="48"/>
  <c r="B71" i="48"/>
  <c r="C71" i="48"/>
  <c r="A72" i="48"/>
  <c r="B72" i="48"/>
  <c r="C72" i="48"/>
  <c r="A73" i="48"/>
  <c r="B73" i="48"/>
  <c r="C73" i="48"/>
  <c r="A74" i="48"/>
  <c r="B74" i="48"/>
  <c r="C74" i="48"/>
  <c r="A75" i="48"/>
  <c r="B75" i="48"/>
  <c r="C75" i="48"/>
  <c r="A76" i="48"/>
  <c r="B76" i="48"/>
  <c r="C76" i="48"/>
  <c r="A77" i="48"/>
  <c r="B77" i="48"/>
  <c r="C77" i="48"/>
  <c r="A78" i="48"/>
  <c r="B78" i="48"/>
  <c r="C78" i="48"/>
  <c r="A79" i="48"/>
  <c r="B79" i="48"/>
  <c r="C79" i="48"/>
  <c r="A80" i="48"/>
  <c r="B80" i="48"/>
  <c r="C80" i="48"/>
  <c r="A81" i="48"/>
  <c r="B81" i="48"/>
  <c r="C81" i="48"/>
  <c r="A82" i="48"/>
  <c r="B82" i="48"/>
  <c r="C82" i="48"/>
  <c r="A83" i="48"/>
  <c r="B83" i="48"/>
  <c r="C83" i="48"/>
  <c r="A84" i="48"/>
  <c r="B84" i="48"/>
  <c r="C84" i="48"/>
  <c r="A85" i="48"/>
  <c r="B85" i="48"/>
  <c r="C85" i="48"/>
  <c r="A86" i="48"/>
  <c r="B86" i="48"/>
  <c r="C86" i="48"/>
  <c r="A87" i="48"/>
  <c r="B87" i="48"/>
  <c r="C87" i="48"/>
  <c r="A88" i="48"/>
  <c r="B88" i="48"/>
  <c r="C88" i="48"/>
  <c r="A89" i="48"/>
  <c r="B89" i="48"/>
  <c r="C89" i="48"/>
  <c r="A90" i="48"/>
  <c r="B90" i="48"/>
  <c r="C90" i="48"/>
  <c r="A91" i="48"/>
  <c r="B91" i="48"/>
  <c r="C91" i="48"/>
  <c r="A92" i="48"/>
  <c r="B92" i="48"/>
  <c r="C92" i="48"/>
  <c r="A93" i="48"/>
  <c r="B93" i="48"/>
  <c r="C93" i="48"/>
  <c r="A94" i="48"/>
  <c r="B94" i="48"/>
  <c r="C94" i="48"/>
  <c r="A95" i="48"/>
  <c r="B95" i="48"/>
  <c r="C95" i="48"/>
  <c r="A96" i="48"/>
  <c r="B96" i="48"/>
  <c r="C96" i="48"/>
  <c r="A97" i="48"/>
  <c r="B97" i="48"/>
  <c r="C97" i="48"/>
  <c r="A98" i="48"/>
  <c r="B98" i="48"/>
  <c r="C98" i="48"/>
  <c r="A99" i="48"/>
  <c r="B99" i="48"/>
  <c r="C99" i="48"/>
  <c r="A100" i="48"/>
  <c r="B100" i="48"/>
  <c r="C100" i="48"/>
  <c r="A101" i="48"/>
  <c r="B101" i="48"/>
  <c r="C101" i="48"/>
  <c r="A102" i="48"/>
  <c r="B102" i="48"/>
  <c r="C102" i="48"/>
  <c r="A103" i="48"/>
  <c r="B103" i="48"/>
  <c r="C103" i="48"/>
  <c r="A104" i="48"/>
  <c r="B104" i="48"/>
  <c r="C104" i="48"/>
  <c r="A105" i="48"/>
  <c r="B105" i="48"/>
  <c r="C105" i="48"/>
  <c r="A106" i="48"/>
  <c r="B106" i="48"/>
  <c r="C106" i="48"/>
  <c r="A107" i="48"/>
  <c r="B107" i="48"/>
  <c r="C107" i="48"/>
  <c r="A108" i="48"/>
  <c r="B108" i="48"/>
  <c r="C108" i="48"/>
  <c r="A109" i="48"/>
  <c r="B109" i="48"/>
  <c r="C109" i="48"/>
  <c r="A110" i="48"/>
  <c r="B110" i="48"/>
  <c r="C110" i="48"/>
  <c r="A111" i="48"/>
  <c r="B111" i="48"/>
  <c r="C111" i="48"/>
  <c r="A112" i="48"/>
  <c r="B112" i="48"/>
  <c r="C112" i="48"/>
  <c r="A113" i="48"/>
  <c r="B113" i="48"/>
  <c r="C113" i="48"/>
  <c r="A114" i="48"/>
  <c r="B114" i="48"/>
  <c r="C114" i="48"/>
  <c r="A115" i="48"/>
  <c r="B115" i="48"/>
  <c r="C115" i="48"/>
  <c r="A116" i="48"/>
  <c r="B116" i="48"/>
  <c r="C116" i="48"/>
  <c r="A117" i="48"/>
  <c r="B117" i="48"/>
  <c r="C117" i="48"/>
  <c r="A118" i="48"/>
  <c r="B118" i="48"/>
  <c r="C118" i="48"/>
  <c r="A119" i="48"/>
  <c r="B119" i="48"/>
  <c r="C119" i="48"/>
  <c r="A120" i="48"/>
  <c r="B120" i="48"/>
  <c r="C120" i="48"/>
  <c r="A121" i="48"/>
  <c r="B121" i="48"/>
  <c r="C121" i="48"/>
  <c r="A122" i="48"/>
  <c r="B122" i="48"/>
  <c r="C122" i="48"/>
  <c r="A123" i="48"/>
  <c r="B123" i="48"/>
  <c r="C123" i="48"/>
  <c r="A124" i="48"/>
  <c r="B124" i="48"/>
  <c r="C124" i="48"/>
  <c r="A125" i="48"/>
  <c r="B125" i="48"/>
  <c r="C125" i="48"/>
  <c r="A126" i="48"/>
  <c r="B126" i="48"/>
  <c r="C126" i="48"/>
  <c r="A127" i="48"/>
  <c r="B127" i="48"/>
  <c r="C127" i="48"/>
  <c r="A128" i="48"/>
  <c r="B128" i="48"/>
  <c r="C128" i="48"/>
  <c r="A129" i="48"/>
  <c r="B129" i="48"/>
  <c r="C129" i="48"/>
  <c r="A130" i="48"/>
  <c r="B130" i="48"/>
  <c r="C130" i="48"/>
  <c r="A131" i="48"/>
  <c r="B131" i="48"/>
  <c r="C131" i="48"/>
  <c r="A132" i="48"/>
  <c r="B132" i="48"/>
  <c r="C132" i="48"/>
  <c r="A133" i="48"/>
  <c r="B133" i="48"/>
  <c r="C133" i="48"/>
  <c r="A134" i="48"/>
  <c r="B134" i="48"/>
  <c r="C134" i="48"/>
  <c r="A135" i="48"/>
  <c r="B135" i="48"/>
  <c r="C135" i="48"/>
  <c r="A136" i="48"/>
  <c r="B136" i="48"/>
  <c r="C136" i="48"/>
  <c r="A137" i="48"/>
  <c r="B137" i="48"/>
  <c r="C137" i="48"/>
  <c r="A138" i="48"/>
  <c r="B138" i="48"/>
  <c r="C138" i="48"/>
  <c r="A139" i="48"/>
  <c r="B139" i="48"/>
  <c r="C139" i="48"/>
  <c r="A140" i="48"/>
  <c r="B140" i="48"/>
  <c r="C140" i="48"/>
  <c r="A141" i="48"/>
  <c r="B141" i="48"/>
  <c r="C141" i="48"/>
  <c r="A142" i="48"/>
  <c r="B142" i="48"/>
  <c r="C142" i="48"/>
  <c r="J8" i="5"/>
  <c r="K8" i="5"/>
  <c r="L8" i="5"/>
  <c r="M8" i="5"/>
  <c r="N8" i="5"/>
  <c r="O8" i="5"/>
  <c r="J9" i="5"/>
  <c r="K9" i="5"/>
  <c r="K12" i="5" s="1"/>
  <c r="L9" i="5"/>
  <c r="L12" i="5" s="1"/>
  <c r="M9" i="5"/>
  <c r="N9" i="5"/>
  <c r="N13" i="5" s="1"/>
  <c r="O9" i="5"/>
  <c r="O13" i="5" s="1"/>
  <c r="J12" i="5"/>
  <c r="O12" i="5"/>
  <c r="J13" i="5"/>
  <c r="K13" i="5"/>
  <c r="I16" i="5"/>
  <c r="J16" i="5"/>
  <c r="P16" i="5" s="1"/>
  <c r="K16" i="5"/>
  <c r="Q16" i="5" s="1"/>
  <c r="L16" i="5"/>
  <c r="M16" i="5"/>
  <c r="N16" i="5"/>
  <c r="O16" i="5"/>
  <c r="T16" i="5"/>
  <c r="U16" i="5"/>
  <c r="E17" i="5"/>
  <c r="A17" i="5" s="1"/>
  <c r="C17" i="5" s="1"/>
  <c r="G17" i="5" s="1"/>
  <c r="H17" i="5"/>
  <c r="F1" i="61"/>
  <c r="J1" i="61"/>
  <c r="J5" i="61" s="1"/>
  <c r="X5" i="61" s="1"/>
  <c r="AH5" i="61" s="1"/>
  <c r="A5" i="61"/>
  <c r="B5" i="61"/>
  <c r="C5" i="61"/>
  <c r="D5" i="61"/>
  <c r="E5" i="61"/>
  <c r="I5" i="61" s="1"/>
  <c r="M5" i="61" s="1"/>
  <c r="L5" i="61"/>
  <c r="O5" i="61"/>
  <c r="S5" i="61"/>
  <c r="W5" i="61"/>
  <c r="Z5" i="61"/>
  <c r="AC5" i="61"/>
  <c r="AG5" i="61"/>
  <c r="A6" i="61"/>
  <c r="O6" i="61" s="1"/>
  <c r="B6" i="61"/>
  <c r="W6" i="61" s="1"/>
  <c r="C6" i="61"/>
  <c r="D6" i="61"/>
  <c r="E6" i="61"/>
  <c r="Z6" i="61"/>
  <c r="AC6" i="61"/>
  <c r="A7" i="61"/>
  <c r="AC7" i="61" s="1"/>
  <c r="B7" i="61"/>
  <c r="L7" i="61" s="1"/>
  <c r="C7" i="61"/>
  <c r="D7" i="61"/>
  <c r="S7" i="61"/>
  <c r="Z7" i="61"/>
  <c r="AG7" i="61"/>
  <c r="A8" i="61"/>
  <c r="B8" i="61"/>
  <c r="C8" i="61"/>
  <c r="D8" i="61"/>
  <c r="E8" i="61"/>
  <c r="J8" i="61"/>
  <c r="X8" i="61" s="1"/>
  <c r="L8" i="61"/>
  <c r="O8" i="61"/>
  <c r="S8" i="61"/>
  <c r="Z8" i="61"/>
  <c r="AC8" i="61"/>
  <c r="AG8" i="61"/>
  <c r="AH8" i="61"/>
  <c r="A9" i="61"/>
  <c r="B9" i="61"/>
  <c r="I9" i="61" s="1"/>
  <c r="C9" i="61"/>
  <c r="D9" i="61"/>
  <c r="E9" i="61"/>
  <c r="J9" i="61"/>
  <c r="O9" i="61"/>
  <c r="W9" i="61"/>
  <c r="Z9" i="61"/>
  <c r="AC9" i="61"/>
  <c r="A10" i="61"/>
  <c r="F10" i="61" s="1"/>
  <c r="B10" i="61"/>
  <c r="I10" i="61" s="1"/>
  <c r="C10" i="61"/>
  <c r="D10" i="61"/>
  <c r="E10" i="61"/>
  <c r="L10" i="61"/>
  <c r="O10" i="61"/>
  <c r="W10" i="61"/>
  <c r="Z10" i="61"/>
  <c r="AC10" i="61"/>
  <c r="A11" i="61"/>
  <c r="B11" i="61"/>
  <c r="S11" i="61" s="1"/>
  <c r="C11" i="61"/>
  <c r="D11" i="61"/>
  <c r="J11" i="61"/>
  <c r="X11" i="61" s="1"/>
  <c r="AH11" i="61" s="1"/>
  <c r="L11" i="61"/>
  <c r="Z11" i="61"/>
  <c r="AG11" i="61"/>
  <c r="A12" i="61"/>
  <c r="B12" i="61"/>
  <c r="S12" i="61" s="1"/>
  <c r="C12" i="61"/>
  <c r="D12" i="61"/>
  <c r="L12" i="61"/>
  <c r="Z12" i="61"/>
  <c r="AG12" i="61"/>
  <c r="A13" i="61"/>
  <c r="E13" i="61" s="1"/>
  <c r="B13" i="61"/>
  <c r="C13" i="61"/>
  <c r="D13" i="61"/>
  <c r="L13" i="61"/>
  <c r="S13" i="61"/>
  <c r="Z13" i="61"/>
  <c r="AG13" i="61"/>
  <c r="A14" i="61"/>
  <c r="E14" i="61" s="1"/>
  <c r="B14" i="61"/>
  <c r="C14" i="61"/>
  <c r="D14" i="61"/>
  <c r="L14" i="61"/>
  <c r="S14" i="61"/>
  <c r="Z14" i="61"/>
  <c r="AG14" i="61"/>
  <c r="A15" i="61"/>
  <c r="O15" i="61" s="1"/>
  <c r="B15" i="61"/>
  <c r="C15" i="61"/>
  <c r="D15" i="61"/>
  <c r="E15" i="61"/>
  <c r="L15" i="61"/>
  <c r="S15" i="61"/>
  <c r="Z15" i="61"/>
  <c r="AC15" i="61"/>
  <c r="AG15" i="61"/>
  <c r="A16" i="61"/>
  <c r="O16" i="61" s="1"/>
  <c r="B16" i="61"/>
  <c r="C16" i="61"/>
  <c r="D16" i="61"/>
  <c r="E16" i="61"/>
  <c r="S16" i="61"/>
  <c r="AC16" i="61"/>
  <c r="A17" i="61"/>
  <c r="B17" i="61"/>
  <c r="C17" i="61"/>
  <c r="D17" i="61"/>
  <c r="E17" i="61"/>
  <c r="O17" i="61"/>
  <c r="AC17" i="61"/>
  <c r="A18" i="61"/>
  <c r="B18" i="61"/>
  <c r="C18" i="61"/>
  <c r="D18" i="61"/>
  <c r="E18" i="61"/>
  <c r="J18" i="61"/>
  <c r="L18" i="61"/>
  <c r="O18" i="61"/>
  <c r="W18" i="61"/>
  <c r="Z18" i="61"/>
  <c r="AC18" i="61"/>
  <c r="A19" i="61"/>
  <c r="B19" i="61"/>
  <c r="Z19" i="61" s="1"/>
  <c r="C19" i="61"/>
  <c r="D19" i="61"/>
  <c r="J19" i="61"/>
  <c r="L19" i="61"/>
  <c r="AG19" i="61"/>
  <c r="A20" i="61"/>
  <c r="B20" i="61"/>
  <c r="S20" i="61" s="1"/>
  <c r="C20" i="61"/>
  <c r="D20" i="61"/>
  <c r="L20" i="61"/>
  <c r="O20" i="61"/>
  <c r="Z20" i="61"/>
  <c r="AG20" i="61"/>
  <c r="A21" i="61"/>
  <c r="E21" i="61" s="1"/>
  <c r="B21" i="61"/>
  <c r="C21" i="61"/>
  <c r="D21" i="61"/>
  <c r="F21" i="61"/>
  <c r="L21" i="61"/>
  <c r="S21" i="61"/>
  <c r="Z21" i="61"/>
  <c r="AG21" i="61"/>
  <c r="A22" i="61"/>
  <c r="B22" i="61"/>
  <c r="C22" i="61"/>
  <c r="D22" i="61"/>
  <c r="L22" i="61"/>
  <c r="S22" i="61"/>
  <c r="Z22" i="61"/>
  <c r="AG22" i="61"/>
  <c r="A23" i="61"/>
  <c r="O23" i="61" s="1"/>
  <c r="B23" i="61"/>
  <c r="W23" i="61" s="1"/>
  <c r="C23" i="61"/>
  <c r="D23" i="61"/>
  <c r="E23" i="61"/>
  <c r="S23" i="61"/>
  <c r="Z23" i="61"/>
  <c r="AC23" i="61"/>
  <c r="AG23" i="61"/>
  <c r="A24" i="61"/>
  <c r="B24" i="61"/>
  <c r="C24" i="61"/>
  <c r="D24" i="61"/>
  <c r="E24" i="61"/>
  <c r="J24" i="61"/>
  <c r="X24" i="61" s="1"/>
  <c r="O24" i="61"/>
  <c r="S24" i="61"/>
  <c r="Z24" i="61"/>
  <c r="AC24" i="61"/>
  <c r="A25" i="61"/>
  <c r="B25" i="61"/>
  <c r="W25" i="61" s="1"/>
  <c r="C25" i="61"/>
  <c r="D25" i="61"/>
  <c r="E25" i="61"/>
  <c r="O25" i="61"/>
  <c r="Z25" i="61"/>
  <c r="AC25" i="61"/>
  <c r="A26" i="61"/>
  <c r="B26" i="61"/>
  <c r="C26" i="61"/>
  <c r="D26" i="61"/>
  <c r="E26" i="61"/>
  <c r="J26" i="61"/>
  <c r="L26" i="61"/>
  <c r="O26" i="61"/>
  <c r="Z26" i="61"/>
  <c r="AC26" i="61"/>
  <c r="A27" i="61"/>
  <c r="B27" i="61"/>
  <c r="C27" i="61"/>
  <c r="D27" i="61"/>
  <c r="O27" i="61"/>
  <c r="A28" i="61"/>
  <c r="B28" i="61"/>
  <c r="S28" i="61" s="1"/>
  <c r="C28" i="61"/>
  <c r="D28" i="61"/>
  <c r="J28" i="61"/>
  <c r="X28" i="61" s="1"/>
  <c r="AH28" i="61" s="1"/>
  <c r="L28" i="61"/>
  <c r="O28" i="61"/>
  <c r="Z28" i="61"/>
  <c r="AG28" i="61"/>
  <c r="A29" i="61"/>
  <c r="B29" i="61"/>
  <c r="C29" i="61"/>
  <c r="D29" i="61"/>
  <c r="J29" i="61"/>
  <c r="L29" i="61"/>
  <c r="S29" i="61"/>
  <c r="X29" i="61" s="1"/>
  <c r="Z29" i="61"/>
  <c r="AG29" i="61"/>
  <c r="A30" i="61"/>
  <c r="B30" i="61"/>
  <c r="C30" i="61"/>
  <c r="D30" i="61"/>
  <c r="F30" i="61"/>
  <c r="L30" i="61"/>
  <c r="S30" i="61"/>
  <c r="Z30" i="61"/>
  <c r="AG30" i="61"/>
  <c r="A31" i="61"/>
  <c r="O31" i="61" s="1"/>
  <c r="B31" i="61"/>
  <c r="C31" i="61"/>
  <c r="D31" i="61"/>
  <c r="E31" i="61"/>
  <c r="J31" i="61"/>
  <c r="S31" i="61"/>
  <c r="X31" i="61"/>
  <c r="AH31" i="61" s="1"/>
  <c r="Z31" i="61"/>
  <c r="AC31" i="61"/>
  <c r="AG31" i="61"/>
  <c r="A32" i="61"/>
  <c r="B32" i="61"/>
  <c r="C32" i="61"/>
  <c r="D32" i="61"/>
  <c r="E32" i="61"/>
  <c r="J32" i="61"/>
  <c r="X32" i="61" s="1"/>
  <c r="O32" i="61"/>
  <c r="S32" i="61"/>
  <c r="Z32" i="61"/>
  <c r="AC32" i="61"/>
  <c r="A33" i="61"/>
  <c r="B33" i="61"/>
  <c r="C33" i="61"/>
  <c r="D33" i="61"/>
  <c r="E33" i="61"/>
  <c r="O33" i="61"/>
  <c r="AC33" i="61"/>
  <c r="A34" i="61"/>
  <c r="B34" i="61"/>
  <c r="C34" i="61"/>
  <c r="D34" i="61"/>
  <c r="E34" i="61"/>
  <c r="J34" i="61"/>
  <c r="L34" i="61"/>
  <c r="O34" i="61"/>
  <c r="W34" i="61"/>
  <c r="Z34" i="61"/>
  <c r="AC34" i="61"/>
  <c r="A35" i="61"/>
  <c r="B35" i="61"/>
  <c r="S35" i="61" s="1"/>
  <c r="C35" i="61"/>
  <c r="D35" i="61"/>
  <c r="L35" i="61"/>
  <c r="O35" i="61"/>
  <c r="AG35" i="61"/>
  <c r="A36" i="61"/>
  <c r="B36" i="61"/>
  <c r="S36" i="61" s="1"/>
  <c r="C36" i="61"/>
  <c r="D36" i="61"/>
  <c r="J36" i="61"/>
  <c r="L36" i="61"/>
  <c r="Z36" i="61"/>
  <c r="AG36" i="61"/>
  <c r="A37" i="61"/>
  <c r="B37" i="61"/>
  <c r="C37" i="61"/>
  <c r="D37" i="61"/>
  <c r="J37" i="61"/>
  <c r="L37" i="61"/>
  <c r="S37" i="61"/>
  <c r="X37" i="61" s="1"/>
  <c r="AH37" i="61" s="1"/>
  <c r="Z37" i="61"/>
  <c r="AG37" i="61"/>
  <c r="A38" i="61"/>
  <c r="B38" i="61"/>
  <c r="C38" i="61"/>
  <c r="D38" i="61"/>
  <c r="J38" i="61"/>
  <c r="L38" i="61"/>
  <c r="S38" i="61"/>
  <c r="X38" i="61"/>
  <c r="AH38" i="61" s="1"/>
  <c r="Z38" i="61"/>
  <c r="AG38" i="61"/>
  <c r="A39" i="61"/>
  <c r="B39" i="61"/>
  <c r="C39" i="61"/>
  <c r="D39" i="61"/>
  <c r="J39" i="61"/>
  <c r="S39" i="61"/>
  <c r="X39" i="61" s="1"/>
  <c r="AH39" i="61" s="1"/>
  <c r="Z39" i="61"/>
  <c r="AG39" i="61"/>
  <c r="A40" i="61"/>
  <c r="B40" i="61"/>
  <c r="C40" i="61"/>
  <c r="D40" i="61"/>
  <c r="E40" i="61"/>
  <c r="F40" i="61"/>
  <c r="J40" i="61"/>
  <c r="O40" i="61"/>
  <c r="Z40" i="61"/>
  <c r="AC40" i="61"/>
  <c r="F7" i="47"/>
  <c r="F8" i="47"/>
  <c r="F9" i="47"/>
  <c r="F10" i="47"/>
  <c r="F11" i="47"/>
  <c r="F12" i="47"/>
  <c r="F13" i="47"/>
  <c r="J7" i="58" s="1"/>
  <c r="F14" i="47"/>
  <c r="F15" i="47"/>
  <c r="J71" i="58" s="1"/>
  <c r="F16" i="47"/>
  <c r="F17" i="47"/>
  <c r="J23" i="58" s="1"/>
  <c r="F18" i="47"/>
  <c r="J27" i="58" s="1"/>
  <c r="F19" i="47"/>
  <c r="F20" i="47"/>
  <c r="F21" i="47"/>
  <c r="J72" i="58" s="1"/>
  <c r="F22" i="47"/>
  <c r="J75" i="58" s="1"/>
  <c r="F23" i="47"/>
  <c r="F24" i="47"/>
  <c r="J79" i="58" s="1"/>
  <c r="F25" i="47"/>
  <c r="J80" i="58" s="1"/>
  <c r="F26" i="47"/>
  <c r="J83" i="58" s="1"/>
  <c r="F27" i="47"/>
  <c r="F28" i="47"/>
  <c r="B6" i="55"/>
  <c r="F6" i="55" s="1"/>
  <c r="B7" i="55"/>
  <c r="F7" i="55" s="1"/>
  <c r="B8" i="55"/>
  <c r="B9" i="55" s="1"/>
  <c r="B10" i="55"/>
  <c r="B13" i="55"/>
  <c r="B14" i="55"/>
  <c r="B15" i="55" s="1"/>
  <c r="B16" i="55"/>
  <c r="A19" i="55"/>
  <c r="B19" i="55"/>
  <c r="F19" i="55"/>
  <c r="A20" i="55"/>
  <c r="B20" i="55"/>
  <c r="F20" i="55"/>
  <c r="A21" i="55"/>
  <c r="B21" i="55"/>
  <c r="F21" i="55"/>
  <c r="A22" i="55"/>
  <c r="B22" i="55"/>
  <c r="F22" i="55"/>
  <c r="A23" i="55"/>
  <c r="B23" i="55"/>
  <c r="F23" i="55"/>
  <c r="A24" i="55"/>
  <c r="B24" i="55"/>
  <c r="F24" i="55"/>
  <c r="A25" i="55"/>
  <c r="B25" i="55"/>
  <c r="F25" i="55"/>
  <c r="A26" i="55"/>
  <c r="B26" i="55"/>
  <c r="F26" i="55"/>
  <c r="G12" i="59"/>
  <c r="G13" i="59"/>
  <c r="G14" i="59" s="1"/>
  <c r="G15" i="59" s="1"/>
  <c r="G16" i="59" s="1"/>
  <c r="G17" i="59" s="1"/>
  <c r="G18" i="59" s="1"/>
  <c r="G19" i="59" s="1"/>
  <c r="G20" i="59" s="1"/>
  <c r="G21" i="59" s="1"/>
  <c r="G22" i="59" s="1"/>
  <c r="G23" i="59" s="1"/>
  <c r="G24" i="59" s="1"/>
  <c r="G25" i="59"/>
  <c r="G26" i="59"/>
  <c r="G27" i="59"/>
  <c r="G28" i="59"/>
  <c r="G29" i="59"/>
  <c r="G30" i="59" s="1"/>
  <c r="G31" i="59" s="1"/>
  <c r="G32" i="59" s="1"/>
  <c r="G33" i="59" s="1"/>
  <c r="G34" i="59" s="1"/>
  <c r="G35" i="59"/>
  <c r="G36" i="59"/>
  <c r="G37" i="59"/>
  <c r="G38" i="59" s="1"/>
  <c r="G39" i="59" s="1"/>
  <c r="G40" i="59" s="1"/>
  <c r="G41" i="59" s="1"/>
  <c r="G42" i="59" s="1"/>
  <c r="G43" i="59" s="1"/>
  <c r="G44" i="59"/>
  <c r="G45" i="59"/>
  <c r="G46" i="59" s="1"/>
  <c r="G47" i="59" s="1"/>
  <c r="G48" i="59" s="1"/>
  <c r="G49" i="59" s="1"/>
  <c r="G50" i="59" s="1"/>
  <c r="G51" i="59" s="1"/>
  <c r="G52" i="59" s="1"/>
  <c r="G53" i="59" s="1"/>
  <c r="G54" i="59"/>
  <c r="G55" i="59" s="1"/>
  <c r="G56" i="59" s="1"/>
  <c r="G57" i="59" s="1"/>
  <c r="G58" i="59" s="1"/>
  <c r="G59" i="59" s="1"/>
  <c r="G60" i="59"/>
  <c r="G61" i="59" s="1"/>
  <c r="G62" i="59"/>
  <c r="G63" i="59" s="1"/>
  <c r="G64" i="59" s="1"/>
  <c r="G65" i="59"/>
  <c r="G66" i="59"/>
  <c r="G67" i="59"/>
  <c r="G68" i="59"/>
  <c r="G69" i="59"/>
  <c r="G70" i="59" s="1"/>
  <c r="G71" i="59"/>
  <c r="G72" i="59"/>
  <c r="G73" i="59" s="1"/>
  <c r="G74" i="59"/>
  <c r="G75" i="59"/>
  <c r="G76" i="59"/>
  <c r="G77" i="59" s="1"/>
  <c r="G78" i="59" s="1"/>
  <c r="G79" i="59" s="1"/>
  <c r="G80" i="59"/>
  <c r="G81" i="59" s="1"/>
  <c r="G82" i="59" s="1"/>
  <c r="G83" i="59"/>
  <c r="G84" i="59"/>
  <c r="G85" i="59" s="1"/>
  <c r="G86" i="59" s="1"/>
  <c r="G87" i="59" s="1"/>
  <c r="G88" i="59"/>
  <c r="G89" i="59" s="1"/>
  <c r="G90" i="59" s="1"/>
  <c r="G91" i="59" s="1"/>
  <c r="G92" i="59"/>
  <c r="G93" i="59"/>
  <c r="G94" i="59" s="1"/>
  <c r="G95" i="59" s="1"/>
  <c r="G96" i="59" s="1"/>
  <c r="G97" i="59" s="1"/>
  <c r="G98" i="59" s="1"/>
  <c r="G99" i="59" s="1"/>
  <c r="G100" i="59" s="1"/>
  <c r="G101" i="59" s="1"/>
  <c r="G102" i="59" s="1"/>
  <c r="G103" i="59"/>
  <c r="G104" i="59"/>
  <c r="G105" i="59" s="1"/>
  <c r="G106" i="59" s="1"/>
  <c r="G107" i="59" s="1"/>
  <c r="G108" i="59" s="1"/>
  <c r="G109" i="59"/>
  <c r="G110" i="59" s="1"/>
  <c r="G111" i="59" s="1"/>
  <c r="G112" i="59" s="1"/>
  <c r="G113" i="59" s="1"/>
  <c r="G114" i="59" s="1"/>
  <c r="G115" i="59" s="1"/>
  <c r="G116" i="59"/>
  <c r="G117" i="59"/>
  <c r="G118" i="59" s="1"/>
  <c r="G119" i="59" s="1"/>
  <c r="G120" i="59" s="1"/>
  <c r="G121" i="59" s="1"/>
  <c r="G122" i="59" s="1"/>
  <c r="G123" i="59" s="1"/>
  <c r="G124" i="59" s="1"/>
  <c r="G125" i="59" s="1"/>
  <c r="G126" i="59" s="1"/>
  <c r="G127" i="59" s="1"/>
  <c r="G128" i="59" s="1"/>
  <c r="G129" i="59" s="1"/>
  <c r="G130" i="59" s="1"/>
  <c r="G131" i="59" s="1"/>
  <c r="G132" i="59" s="1"/>
  <c r="G133" i="59" s="1"/>
  <c r="G134" i="59" s="1"/>
  <c r="G135" i="59" s="1"/>
  <c r="G136" i="59" s="1"/>
  <c r="G137" i="59" s="1"/>
  <c r="B7" i="51"/>
  <c r="D7" i="51"/>
  <c r="B8" i="51"/>
  <c r="D8" i="51"/>
  <c r="B9" i="51"/>
  <c r="D9" i="51"/>
  <c r="B10" i="51"/>
  <c r="D10" i="51"/>
  <c r="B11" i="51"/>
  <c r="D11" i="51"/>
  <c r="B12" i="51"/>
  <c r="D12" i="51"/>
  <c r="B13" i="51"/>
  <c r="D13" i="51"/>
  <c r="B14" i="51"/>
  <c r="D14" i="51"/>
  <c r="B15" i="51"/>
  <c r="D15" i="51"/>
  <c r="B16" i="51"/>
  <c r="D16" i="51"/>
  <c r="B17" i="51"/>
  <c r="D17" i="51"/>
  <c r="B18" i="51"/>
  <c r="D18" i="51"/>
  <c r="B19" i="51"/>
  <c r="D19" i="51"/>
  <c r="B20" i="51"/>
  <c r="D20" i="51"/>
  <c r="B21" i="51"/>
  <c r="D21" i="51"/>
  <c r="B22" i="51"/>
  <c r="D22" i="51"/>
  <c r="B23" i="51"/>
  <c r="D23" i="51"/>
  <c r="B24" i="51"/>
  <c r="D24" i="51"/>
  <c r="B25" i="51"/>
  <c r="D25" i="51"/>
  <c r="B26" i="51"/>
  <c r="D26" i="51"/>
  <c r="B27" i="51"/>
  <c r="D27" i="51"/>
  <c r="B28" i="51"/>
  <c r="D28" i="51"/>
  <c r="B29" i="51"/>
  <c r="D29" i="51"/>
  <c r="B30" i="51"/>
  <c r="D30" i="51"/>
  <c r="B31" i="51"/>
  <c r="D31" i="51"/>
  <c r="B32" i="51"/>
  <c r="D32" i="51"/>
  <c r="B33" i="51"/>
  <c r="D33" i="51"/>
  <c r="B34" i="51"/>
  <c r="D34" i="51"/>
  <c r="B35" i="51"/>
  <c r="D35" i="51"/>
  <c r="B36" i="51"/>
  <c r="D36" i="51"/>
  <c r="B37" i="51"/>
  <c r="D37" i="51"/>
  <c r="B38" i="51"/>
  <c r="D38" i="51"/>
  <c r="G26" i="61" l="1"/>
  <c r="N26" i="61" s="1"/>
  <c r="H26" i="61" s="1"/>
  <c r="E36" i="61"/>
  <c r="AC36" i="61"/>
  <c r="O36" i="61"/>
  <c r="F36" i="61"/>
  <c r="S27" i="61"/>
  <c r="J27" i="61"/>
  <c r="X27" i="61" s="1"/>
  <c r="AH27" i="61" s="1"/>
  <c r="Z27" i="61"/>
  <c r="L27" i="61"/>
  <c r="G10" i="61"/>
  <c r="P10" i="61" s="1"/>
  <c r="Q10" i="61" s="1"/>
  <c r="F10" i="55"/>
  <c r="A10" i="55" s="1"/>
  <c r="B11" i="55"/>
  <c r="E38" i="61"/>
  <c r="AC38" i="61"/>
  <c r="O38" i="61"/>
  <c r="F38" i="61"/>
  <c r="AG27" i="61"/>
  <c r="W26" i="61"/>
  <c r="X19" i="61"/>
  <c r="AH19" i="61" s="1"/>
  <c r="X18" i="61"/>
  <c r="B17" i="55"/>
  <c r="F16" i="55"/>
  <c r="G40" i="61"/>
  <c r="W40" i="61"/>
  <c r="AA40" i="61" s="1"/>
  <c r="O39" i="61"/>
  <c r="E39" i="61"/>
  <c r="F39" i="61"/>
  <c r="AC39" i="61"/>
  <c r="I17" i="61"/>
  <c r="AG17" i="61"/>
  <c r="S17" i="61"/>
  <c r="L17" i="61"/>
  <c r="W17" i="61"/>
  <c r="Z17" i="61"/>
  <c r="J17" i="61"/>
  <c r="L16" i="61"/>
  <c r="W16" i="61"/>
  <c r="I16" i="61"/>
  <c r="M16" i="61" s="1"/>
  <c r="AG16" i="61"/>
  <c r="Z16" i="61"/>
  <c r="J16" i="61"/>
  <c r="X16" i="61" s="1"/>
  <c r="O12" i="61"/>
  <c r="E12" i="61"/>
  <c r="AC12" i="61"/>
  <c r="F12" i="61"/>
  <c r="F15" i="55"/>
  <c r="A15" i="55" s="1"/>
  <c r="A16" i="55"/>
  <c r="A7" i="55"/>
  <c r="G15" i="61"/>
  <c r="I15" i="61"/>
  <c r="F15" i="61"/>
  <c r="F16" i="61"/>
  <c r="F24" i="61"/>
  <c r="F32" i="61"/>
  <c r="F8" i="61"/>
  <c r="F5" i="61"/>
  <c r="F6" i="61"/>
  <c r="F9" i="61"/>
  <c r="F17" i="61"/>
  <c r="F25" i="61"/>
  <c r="F33" i="61"/>
  <c r="E37" i="61"/>
  <c r="AC37" i="61"/>
  <c r="F31" i="61"/>
  <c r="E29" i="61"/>
  <c r="AC29" i="61"/>
  <c r="O29" i="61"/>
  <c r="E27" i="61"/>
  <c r="AC27" i="61"/>
  <c r="F27" i="61"/>
  <c r="W13" i="61"/>
  <c r="I13" i="61"/>
  <c r="J59" i="58"/>
  <c r="J62" i="58"/>
  <c r="J61" i="58"/>
  <c r="J64" i="58"/>
  <c r="J63" i="58"/>
  <c r="X36" i="61"/>
  <c r="AH36" i="61" s="1"/>
  <c r="I33" i="61"/>
  <c r="M33" i="61" s="1"/>
  <c r="AG33" i="61"/>
  <c r="S33" i="61"/>
  <c r="L33" i="61"/>
  <c r="H150" i="58" a="1"/>
  <c r="A6" i="55"/>
  <c r="G31" i="61"/>
  <c r="I31" i="61"/>
  <c r="F28" i="61"/>
  <c r="I26" i="61"/>
  <c r="M26" i="61" s="1"/>
  <c r="G24" i="61"/>
  <c r="F20" i="61"/>
  <c r="W15" i="61"/>
  <c r="AA15" i="61" s="1"/>
  <c r="I14" i="61"/>
  <c r="M14" i="61" s="1"/>
  <c r="G14" i="61"/>
  <c r="W14" i="61"/>
  <c r="F8" i="55"/>
  <c r="F9" i="55" s="1"/>
  <c r="A9" i="55" s="1"/>
  <c r="L40" i="61"/>
  <c r="I40" i="61"/>
  <c r="M40" i="61" s="1"/>
  <c r="AG40" i="61"/>
  <c r="E35" i="61"/>
  <c r="AC35" i="61"/>
  <c r="F35" i="61"/>
  <c r="Z33" i="61"/>
  <c r="J33" i="61"/>
  <c r="X33" i="61" s="1"/>
  <c r="F26" i="61"/>
  <c r="E22" i="61"/>
  <c r="AC22" i="61"/>
  <c r="F22" i="61"/>
  <c r="O22" i="61"/>
  <c r="M9" i="61"/>
  <c r="E30" i="61"/>
  <c r="AC30" i="61"/>
  <c r="O30" i="61"/>
  <c r="I25" i="61"/>
  <c r="M25" i="61" s="1"/>
  <c r="AG25" i="61"/>
  <c r="S25" i="61"/>
  <c r="L25" i="61"/>
  <c r="F23" i="61"/>
  <c r="G21" i="61"/>
  <c r="W21" i="61"/>
  <c r="I21" i="61"/>
  <c r="S19" i="61"/>
  <c r="W19" i="61"/>
  <c r="E11" i="61"/>
  <c r="AC11" i="61"/>
  <c r="F11" i="61"/>
  <c r="O11" i="61"/>
  <c r="AA5" i="61"/>
  <c r="J17" i="5"/>
  <c r="K17" i="5"/>
  <c r="N17" i="5"/>
  <c r="O17" i="5"/>
  <c r="M13" i="5"/>
  <c r="M12" i="5"/>
  <c r="F14" i="55"/>
  <c r="A14" i="55"/>
  <c r="S40" i="61"/>
  <c r="X40" i="61" s="1"/>
  <c r="F37" i="61"/>
  <c r="Z35" i="61"/>
  <c r="J35" i="61"/>
  <c r="X35" i="61" s="1"/>
  <c r="AH35" i="61" s="1"/>
  <c r="I34" i="61"/>
  <c r="M34" i="61" s="1"/>
  <c r="AG34" i="61"/>
  <c r="S34" i="61"/>
  <c r="X34" i="61" s="1"/>
  <c r="W33" i="61"/>
  <c r="W31" i="61"/>
  <c r="AA31" i="61" s="1"/>
  <c r="F29" i="61"/>
  <c r="L24" i="61"/>
  <c r="W24" i="61"/>
  <c r="AA24" i="61" s="1"/>
  <c r="I24" i="61"/>
  <c r="M24" i="61" s="1"/>
  <c r="AG24" i="61"/>
  <c r="AH24" i="61" s="1"/>
  <c r="I23" i="61"/>
  <c r="E19" i="61"/>
  <c r="AC19" i="61"/>
  <c r="F19" i="61"/>
  <c r="O19" i="61"/>
  <c r="I18" i="61"/>
  <c r="M18" i="61" s="1"/>
  <c r="F13" i="61"/>
  <c r="W39" i="61"/>
  <c r="AA39" i="61" s="1"/>
  <c r="O37" i="61"/>
  <c r="I35" i="61"/>
  <c r="M35" i="61" s="1"/>
  <c r="F34" i="61"/>
  <c r="L32" i="61"/>
  <c r="W32" i="61"/>
  <c r="AA32" i="61" s="1"/>
  <c r="I32" i="61"/>
  <c r="M32" i="61" s="1"/>
  <c r="AG32" i="61"/>
  <c r="AH32" i="61" s="1"/>
  <c r="AH29" i="61"/>
  <c r="E28" i="61"/>
  <c r="AC28" i="61"/>
  <c r="J25" i="61"/>
  <c r="X25" i="61" s="1"/>
  <c r="AH25" i="61" s="1"/>
  <c r="E20" i="61"/>
  <c r="AC20" i="61"/>
  <c r="F18" i="61"/>
  <c r="AA6" i="61"/>
  <c r="L39" i="61"/>
  <c r="L31" i="61"/>
  <c r="S26" i="61"/>
  <c r="X26" i="61" s="1"/>
  <c r="AH26" i="61" s="1"/>
  <c r="L23" i="61"/>
  <c r="J21" i="61"/>
  <c r="X21" i="61" s="1"/>
  <c r="AH21" i="61" s="1"/>
  <c r="S18" i="61"/>
  <c r="O14" i="61"/>
  <c r="J13" i="61"/>
  <c r="X13" i="61" s="1"/>
  <c r="AH13" i="61" s="1"/>
  <c r="S10" i="61"/>
  <c r="F14" i="61"/>
  <c r="W11" i="61"/>
  <c r="AA11" i="61" s="1"/>
  <c r="J10" i="61"/>
  <c r="O7" i="61"/>
  <c r="F7" i="61"/>
  <c r="AG6" i="61"/>
  <c r="G6" i="61"/>
  <c r="K67" i="58"/>
  <c r="H67" i="58"/>
  <c r="I67" i="58"/>
  <c r="J67" i="58"/>
  <c r="AG26" i="61"/>
  <c r="J23" i="61"/>
  <c r="X23" i="61" s="1"/>
  <c r="AH23" i="61" s="1"/>
  <c r="AG18" i="61"/>
  <c r="J15" i="61"/>
  <c r="X15" i="61" s="1"/>
  <c r="AH15" i="61" s="1"/>
  <c r="AC14" i="61"/>
  <c r="AG10" i="61"/>
  <c r="L9" i="61"/>
  <c r="W8" i="61"/>
  <c r="AA8" i="61" s="1"/>
  <c r="E7" i="61"/>
  <c r="O21" i="61"/>
  <c r="P21" i="61" s="1"/>
  <c r="Q21" i="61" s="1"/>
  <c r="T21" i="61" s="1"/>
  <c r="J20" i="61"/>
  <c r="X20" i="61" s="1"/>
  <c r="AH20" i="61" s="1"/>
  <c r="O13" i="61"/>
  <c r="J12" i="61"/>
  <c r="X12" i="61" s="1"/>
  <c r="AH12" i="61" s="1"/>
  <c r="S9" i="61"/>
  <c r="X9" i="61" s="1"/>
  <c r="L6" i="61"/>
  <c r="M17" i="5"/>
  <c r="S16" i="5"/>
  <c r="J77" i="58"/>
  <c r="J78" i="58"/>
  <c r="J30" i="61"/>
  <c r="X30" i="61" s="1"/>
  <c r="AH30" i="61" s="1"/>
  <c r="J22" i="61"/>
  <c r="X22" i="61" s="1"/>
  <c r="AH22" i="61" s="1"/>
  <c r="AC21" i="61"/>
  <c r="J14" i="61"/>
  <c r="X14" i="61" s="1"/>
  <c r="AH14" i="61" s="1"/>
  <c r="AC13" i="61"/>
  <c r="AG9" i="61"/>
  <c r="I8" i="61"/>
  <c r="M8" i="61" s="1"/>
  <c r="J7" i="61"/>
  <c r="X7" i="61" s="1"/>
  <c r="AH7" i="61" s="1"/>
  <c r="S6" i="61"/>
  <c r="J6" i="61"/>
  <c r="X6" i="61" s="1"/>
  <c r="I6" i="61"/>
  <c r="M6" i="61" s="1"/>
  <c r="I17" i="5"/>
  <c r="H18" i="5" s="1"/>
  <c r="L13" i="5"/>
  <c r="D52" i="48"/>
  <c r="K108" i="58"/>
  <c r="H108" i="58"/>
  <c r="J108" i="58"/>
  <c r="I108" i="58"/>
  <c r="L17" i="5"/>
  <c r="G145" i="58"/>
  <c r="N12" i="5"/>
  <c r="D51" i="48"/>
  <c r="D8" i="48"/>
  <c r="H147" i="58"/>
  <c r="J147" i="58"/>
  <c r="K147" i="58"/>
  <c r="I147" i="58"/>
  <c r="G124" i="58"/>
  <c r="H111" i="58"/>
  <c r="I111" i="58"/>
  <c r="J111" i="58"/>
  <c r="K111" i="58"/>
  <c r="R16" i="5"/>
  <c r="D55" i="48"/>
  <c r="J149" i="58"/>
  <c r="I149" i="58"/>
  <c r="H149" i="58"/>
  <c r="K149" i="58"/>
  <c r="I126" i="58"/>
  <c r="K126" i="58"/>
  <c r="H126" i="58"/>
  <c r="J126" i="58"/>
  <c r="J93" i="58"/>
  <c r="I93" i="58"/>
  <c r="H93" i="58"/>
  <c r="K93" i="58"/>
  <c r="I118" i="58"/>
  <c r="K118" i="58"/>
  <c r="J118" i="58"/>
  <c r="H118" i="58"/>
  <c r="D7" i="48"/>
  <c r="H103" i="58"/>
  <c r="K103" i="58"/>
  <c r="I103" i="58"/>
  <c r="J103" i="58"/>
  <c r="F155" i="58"/>
  <c r="G131" i="58"/>
  <c r="K82" i="58"/>
  <c r="H82" i="58"/>
  <c r="I82" i="58"/>
  <c r="J82" i="58"/>
  <c r="H8" i="58"/>
  <c r="J8" i="58"/>
  <c r="K8" i="58"/>
  <c r="I8" i="58"/>
  <c r="F196" i="58"/>
  <c r="F170" i="58"/>
  <c r="G144" i="58"/>
  <c r="J125" i="58"/>
  <c r="I125" i="58"/>
  <c r="H125" i="58"/>
  <c r="K125" i="58"/>
  <c r="G121" i="58"/>
  <c r="J114" i="58"/>
  <c r="I114" i="58"/>
  <c r="G100" i="58"/>
  <c r="J66" i="58"/>
  <c r="F152" i="58"/>
  <c r="F159" i="58"/>
  <c r="F161" i="58"/>
  <c r="F168" i="58"/>
  <c r="F175" i="58"/>
  <c r="F177" i="58"/>
  <c r="F180" i="58"/>
  <c r="F183" i="58"/>
  <c r="F187" i="58"/>
  <c r="F191" i="58"/>
  <c r="F195" i="58"/>
  <c r="F199" i="58"/>
  <c r="F156" i="58"/>
  <c r="F163" i="58"/>
  <c r="F165" i="58"/>
  <c r="F172" i="58"/>
  <c r="F182" i="58"/>
  <c r="F186" i="58"/>
  <c r="F190" i="58"/>
  <c r="F194" i="58"/>
  <c r="F198" i="58"/>
  <c r="F158" i="58"/>
  <c r="F174" i="58"/>
  <c r="F179" i="58"/>
  <c r="F151" i="58"/>
  <c r="F153" i="58"/>
  <c r="F160" i="58"/>
  <c r="F167" i="58"/>
  <c r="F169" i="58"/>
  <c r="F176" i="58"/>
  <c r="F185" i="58"/>
  <c r="F189" i="58"/>
  <c r="F193" i="58"/>
  <c r="F197" i="58"/>
  <c r="F150" i="58"/>
  <c r="F162" i="58"/>
  <c r="F178" i="58"/>
  <c r="F181" i="58"/>
  <c r="K148" i="58"/>
  <c r="H148" i="58"/>
  <c r="J148" i="58"/>
  <c r="H127" i="58"/>
  <c r="J127" i="58"/>
  <c r="K127" i="58"/>
  <c r="I123" i="58"/>
  <c r="K123" i="58"/>
  <c r="G102" i="58"/>
  <c r="J81" i="58"/>
  <c r="D6" i="48"/>
  <c r="F192" i="58"/>
  <c r="F173" i="58"/>
  <c r="H146" i="58"/>
  <c r="J146" i="58"/>
  <c r="K146" i="58"/>
  <c r="G142" i="58"/>
  <c r="H137" i="58"/>
  <c r="J137" i="58"/>
  <c r="G105" i="58"/>
  <c r="F164" i="58"/>
  <c r="F157" i="58"/>
  <c r="G135" i="58"/>
  <c r="I122" i="58"/>
  <c r="K122" i="58"/>
  <c r="H122" i="58"/>
  <c r="H98" i="58"/>
  <c r="J98" i="58"/>
  <c r="I98" i="58"/>
  <c r="K98" i="58"/>
  <c r="K74" i="58"/>
  <c r="H74" i="58"/>
  <c r="J74" i="58"/>
  <c r="I74" i="58"/>
  <c r="G134" i="58"/>
  <c r="K113" i="58"/>
  <c r="H113" i="58"/>
  <c r="J113" i="58"/>
  <c r="E196" i="58"/>
  <c r="E192" i="58"/>
  <c r="E188" i="58"/>
  <c r="E184" i="58"/>
  <c r="N172" i="58"/>
  <c r="E171" i="58"/>
  <c r="E164" i="58"/>
  <c r="N156" i="58"/>
  <c r="H141" i="58"/>
  <c r="K133" i="58"/>
  <c r="I132" i="58"/>
  <c r="I129" i="58"/>
  <c r="H128" i="58"/>
  <c r="H115" i="58"/>
  <c r="L77" i="58"/>
  <c r="M77" i="58" s="1"/>
  <c r="E154" i="58"/>
  <c r="E158" i="58"/>
  <c r="E162" i="58"/>
  <c r="E166" i="58"/>
  <c r="E170" i="58"/>
  <c r="E174" i="58"/>
  <c r="E178" i="58"/>
  <c r="E182" i="58"/>
  <c r="E153" i="58"/>
  <c r="E157" i="58"/>
  <c r="E161" i="58"/>
  <c r="E165" i="58"/>
  <c r="E169" i="58"/>
  <c r="E173" i="58"/>
  <c r="E177" i="58"/>
  <c r="H119" i="58"/>
  <c r="K119" i="58"/>
  <c r="I94" i="58"/>
  <c r="K94" i="58"/>
  <c r="I85" i="58"/>
  <c r="H85" i="58"/>
  <c r="J85" i="58"/>
  <c r="H70" i="58"/>
  <c r="I70" i="58"/>
  <c r="J70" i="58"/>
  <c r="E197" i="58"/>
  <c r="E193" i="58"/>
  <c r="E189" i="58"/>
  <c r="E185" i="58"/>
  <c r="N180" i="58"/>
  <c r="E176" i="58"/>
  <c r="N168" i="58"/>
  <c r="E167" i="58"/>
  <c r="E160" i="58"/>
  <c r="N152" i="58"/>
  <c r="E151" i="58"/>
  <c r="E150" i="58"/>
  <c r="H110" i="58"/>
  <c r="J92" i="58"/>
  <c r="K92" i="58"/>
  <c r="I92" i="58"/>
  <c r="K88" i="58"/>
  <c r="H88" i="58"/>
  <c r="I88" i="58"/>
  <c r="J88" i="58"/>
  <c r="H78" i="58"/>
  <c r="I78" i="58"/>
  <c r="K78" i="58"/>
  <c r="E179" i="58"/>
  <c r="H143" i="58"/>
  <c r="J143" i="58"/>
  <c r="K116" i="58"/>
  <c r="J116" i="58"/>
  <c r="G107" i="58"/>
  <c r="L85" i="58"/>
  <c r="M85" i="58" s="1"/>
  <c r="K81" i="58"/>
  <c r="H81" i="58"/>
  <c r="I81" i="58"/>
  <c r="J73" i="58"/>
  <c r="K66" i="58"/>
  <c r="H66" i="58"/>
  <c r="I66" i="58"/>
  <c r="G97" i="58"/>
  <c r="J84" i="58"/>
  <c r="H84" i="58"/>
  <c r="I84" i="58"/>
  <c r="K84" i="58"/>
  <c r="L83" i="58"/>
  <c r="M83" i="58" s="1"/>
  <c r="I69" i="58"/>
  <c r="H69" i="58"/>
  <c r="J69" i="58"/>
  <c r="K69" i="58"/>
  <c r="N197" i="58"/>
  <c r="N193" i="58"/>
  <c r="N189" i="58"/>
  <c r="N185" i="58"/>
  <c r="N171" i="58"/>
  <c r="N169" i="58"/>
  <c r="N162" i="58"/>
  <c r="N155" i="58"/>
  <c r="J140" i="58"/>
  <c r="J136" i="58"/>
  <c r="J117" i="58"/>
  <c r="K117" i="58"/>
  <c r="H86" i="58"/>
  <c r="I86" i="58"/>
  <c r="L59" i="58"/>
  <c r="M59" i="58" s="1"/>
  <c r="G58" i="58"/>
  <c r="K91" i="58"/>
  <c r="J91" i="58"/>
  <c r="H91" i="58"/>
  <c r="I91" i="58"/>
  <c r="K65" i="58"/>
  <c r="H65" i="58"/>
  <c r="I65" i="58"/>
  <c r="J65" i="58"/>
  <c r="H95" i="58"/>
  <c r="K95" i="58"/>
  <c r="L78" i="58"/>
  <c r="M78" i="58" s="1"/>
  <c r="K75" i="58"/>
  <c r="H75" i="58"/>
  <c r="K64" i="58"/>
  <c r="H64" i="58"/>
  <c r="H40" i="58"/>
  <c r="J40" i="58"/>
  <c r="K40" i="58"/>
  <c r="I40" i="58"/>
  <c r="G104" i="58"/>
  <c r="G99" i="58"/>
  <c r="L86" i="58"/>
  <c r="M86" i="58" s="1"/>
  <c r="K83" i="58"/>
  <c r="H83" i="58"/>
  <c r="K72" i="58"/>
  <c r="L72" i="58" s="1"/>
  <c r="H72" i="58"/>
  <c r="J68" i="58"/>
  <c r="H68" i="58"/>
  <c r="H106" i="58"/>
  <c r="J106" i="58"/>
  <c r="H101" i="58"/>
  <c r="K80" i="58"/>
  <c r="L80" i="58" s="1"/>
  <c r="H80" i="58"/>
  <c r="J76" i="58"/>
  <c r="H76" i="58"/>
  <c r="L60" i="58"/>
  <c r="M60" i="58" s="1"/>
  <c r="H34" i="58"/>
  <c r="I34" i="58"/>
  <c r="J34" i="58"/>
  <c r="K34" i="58"/>
  <c r="G96" i="58"/>
  <c r="I77" i="58"/>
  <c r="H77" i="58"/>
  <c r="L76" i="58"/>
  <c r="M76" i="58" s="1"/>
  <c r="K73" i="58"/>
  <c r="H73" i="58"/>
  <c r="H24" i="58"/>
  <c r="J24" i="58"/>
  <c r="K24" i="58"/>
  <c r="I24" i="58"/>
  <c r="E21" i="58"/>
  <c r="G20" i="58"/>
  <c r="I62" i="58"/>
  <c r="H61" i="58"/>
  <c r="H59" i="58"/>
  <c r="G56" i="58"/>
  <c r="J60" i="58"/>
  <c r="G57" i="58"/>
  <c r="K46" i="58"/>
  <c r="H27" i="58"/>
  <c r="I27" i="58"/>
  <c r="K27" i="58"/>
  <c r="J46" i="58"/>
  <c r="I23" i="58"/>
  <c r="K23" i="58"/>
  <c r="I7" i="58"/>
  <c r="K7" i="58"/>
  <c r="L7" i="58" s="1"/>
  <c r="M7" i="58" s="1"/>
  <c r="L82" i="58"/>
  <c r="M82" i="58" s="1"/>
  <c r="L74" i="58"/>
  <c r="M74" i="58" s="1"/>
  <c r="L66" i="58"/>
  <c r="I46" i="58"/>
  <c r="E41" i="58"/>
  <c r="E35" i="58"/>
  <c r="L79" i="58"/>
  <c r="M79" i="58" s="1"/>
  <c r="E29" i="58"/>
  <c r="G28" i="58"/>
  <c r="E25" i="58"/>
  <c r="E9" i="58"/>
  <c r="E47" i="58"/>
  <c r="K33" i="58"/>
  <c r="J33" i="58"/>
  <c r="AH9" i="61" l="1"/>
  <c r="AA9" i="61"/>
  <c r="AH34" i="61"/>
  <c r="AA34" i="61"/>
  <c r="R10" i="61"/>
  <c r="T10" i="61"/>
  <c r="U21" i="61"/>
  <c r="G47" i="58"/>
  <c r="E48" i="58"/>
  <c r="L67" i="58"/>
  <c r="M66" i="58"/>
  <c r="I102" i="58"/>
  <c r="J102" i="58"/>
  <c r="K102" i="58"/>
  <c r="H102" i="58"/>
  <c r="I144" i="58"/>
  <c r="J144" i="58"/>
  <c r="K144" i="58"/>
  <c r="H144" i="58"/>
  <c r="E52" i="48"/>
  <c r="F52" i="48"/>
  <c r="G52" i="48" s="1"/>
  <c r="N6" i="61"/>
  <c r="H6" i="61" s="1"/>
  <c r="P6" i="61"/>
  <c r="Q6" i="61" s="1"/>
  <c r="G8" i="61"/>
  <c r="AH18" i="61"/>
  <c r="G38" i="61"/>
  <c r="W38" i="61"/>
  <c r="AA38" i="61" s="1"/>
  <c r="I38" i="61"/>
  <c r="M38" i="61" s="1"/>
  <c r="P36" i="61"/>
  <c r="Q36" i="61" s="1"/>
  <c r="M23" i="61"/>
  <c r="U17" i="5"/>
  <c r="N24" i="61"/>
  <c r="H24" i="61" s="1"/>
  <c r="P24" i="61"/>
  <c r="Q24" i="61" s="1"/>
  <c r="G37" i="61"/>
  <c r="N37" i="61" s="1"/>
  <c r="H37" i="61" s="1"/>
  <c r="I37" i="61"/>
  <c r="M37" i="61" s="1"/>
  <c r="W37" i="61"/>
  <c r="AA37" i="61" s="1"/>
  <c r="P15" i="61"/>
  <c r="Q15" i="61" s="1"/>
  <c r="F11" i="55"/>
  <c r="A11" i="55" s="1"/>
  <c r="B12" i="55"/>
  <c r="W20" i="61"/>
  <c r="AA20" i="61" s="1"/>
  <c r="G20" i="61"/>
  <c r="I20" i="61"/>
  <c r="M20" i="61" s="1"/>
  <c r="L8" i="58"/>
  <c r="M8" i="58" s="1"/>
  <c r="L87" i="58"/>
  <c r="L61" i="58"/>
  <c r="L75" i="58"/>
  <c r="M75" i="58" s="1"/>
  <c r="I99" i="58"/>
  <c r="H99" i="58"/>
  <c r="J99" i="58"/>
  <c r="K99" i="58"/>
  <c r="I97" i="58"/>
  <c r="K97" i="58"/>
  <c r="J97" i="58"/>
  <c r="H97" i="58"/>
  <c r="I134" i="58"/>
  <c r="K134" i="58"/>
  <c r="H134" i="58"/>
  <c r="J134" i="58"/>
  <c r="F6" i="48"/>
  <c r="G6" i="48" s="1"/>
  <c r="E6" i="48"/>
  <c r="E8" i="48"/>
  <c r="F8" i="48"/>
  <c r="G8" i="48" s="1"/>
  <c r="I7" i="61"/>
  <c r="M7" i="61" s="1"/>
  <c r="W7" i="61"/>
  <c r="AA7" i="61" s="1"/>
  <c r="G7" i="61"/>
  <c r="P14" i="61"/>
  <c r="Q14" i="61" s="1"/>
  <c r="G23" i="61"/>
  <c r="K37" i="61"/>
  <c r="T17" i="5"/>
  <c r="AA19" i="61"/>
  <c r="G30" i="61"/>
  <c r="N30" i="61" s="1"/>
  <c r="K30" i="61" s="1"/>
  <c r="W30" i="61"/>
  <c r="AA30" i="61" s="1"/>
  <c r="I30" i="61"/>
  <c r="M30" i="61" s="1"/>
  <c r="M13" i="61"/>
  <c r="G27" i="61"/>
  <c r="T24" i="61"/>
  <c r="K24" i="61"/>
  <c r="AA26" i="61"/>
  <c r="I27" i="61"/>
  <c r="M27" i="61" s="1"/>
  <c r="G36" i="61"/>
  <c r="I36" i="61"/>
  <c r="M36" i="61" s="1"/>
  <c r="W36" i="61"/>
  <c r="AA36" i="61" s="1"/>
  <c r="H135" i="58"/>
  <c r="J135" i="58"/>
  <c r="K135" i="58"/>
  <c r="I135" i="58"/>
  <c r="J121" i="58"/>
  <c r="I121" i="58"/>
  <c r="K121" i="58"/>
  <c r="H121" i="58"/>
  <c r="G25" i="58"/>
  <c r="E26" i="58"/>
  <c r="H20" i="58"/>
  <c r="J20" i="58"/>
  <c r="I20" i="58"/>
  <c r="K20" i="58"/>
  <c r="K58" i="58"/>
  <c r="H58" i="58"/>
  <c r="I58" i="58"/>
  <c r="J58" i="58"/>
  <c r="I107" i="58"/>
  <c r="H107" i="58"/>
  <c r="K107" i="58"/>
  <c r="J107" i="58"/>
  <c r="AA33" i="61"/>
  <c r="AH40" i="61"/>
  <c r="Q17" i="5"/>
  <c r="G22" i="61"/>
  <c r="N22" i="61" s="1"/>
  <c r="H22" i="61" s="1"/>
  <c r="W22" i="61"/>
  <c r="AA22" i="61" s="1"/>
  <c r="I22" i="61"/>
  <c r="M22" i="61" s="1"/>
  <c r="G35" i="61"/>
  <c r="W35" i="61"/>
  <c r="AA35" i="61" s="1"/>
  <c r="G25" i="61"/>
  <c r="AA23" i="61"/>
  <c r="AA16" i="61"/>
  <c r="M17" i="61"/>
  <c r="G33" i="61"/>
  <c r="W27" i="61"/>
  <c r="AA27" i="61" s="1"/>
  <c r="P7" i="61"/>
  <c r="Q7" i="61" s="1"/>
  <c r="G35" i="58"/>
  <c r="E36" i="58"/>
  <c r="E22" i="58"/>
  <c r="G21" i="58"/>
  <c r="I142" i="58"/>
  <c r="K142" i="58"/>
  <c r="H142" i="58"/>
  <c r="J142" i="58"/>
  <c r="K124" i="58"/>
  <c r="I124" i="58"/>
  <c r="H124" i="58"/>
  <c r="J124" i="58"/>
  <c r="H145" i="58"/>
  <c r="J145" i="58"/>
  <c r="K145" i="58"/>
  <c r="I145" i="58"/>
  <c r="R17" i="5"/>
  <c r="S17" i="5"/>
  <c r="X10" i="61"/>
  <c r="A8" i="55"/>
  <c r="P17" i="5"/>
  <c r="G11" i="61"/>
  <c r="N11" i="61" s="1"/>
  <c r="H11" i="61" s="1"/>
  <c r="I11" i="61"/>
  <c r="M11" i="61" s="1"/>
  <c r="M21" i="61"/>
  <c r="K26" i="61"/>
  <c r="AA14" i="61"/>
  <c r="P26" i="61"/>
  <c r="Q26" i="61" s="1"/>
  <c r="D9" i="48"/>
  <c r="D57" i="48"/>
  <c r="D56" i="48"/>
  <c r="D54" i="48"/>
  <c r="D62" i="48"/>
  <c r="D11" i="48"/>
  <c r="D53" i="48"/>
  <c r="D61" i="48"/>
  <c r="D18" i="48"/>
  <c r="D5" i="48"/>
  <c r="D13" i="48"/>
  <c r="D10" i="48"/>
  <c r="AA13" i="61"/>
  <c r="P29" i="61"/>
  <c r="Q29" i="61" s="1"/>
  <c r="G17" i="61"/>
  <c r="T15" i="61"/>
  <c r="AA25" i="61"/>
  <c r="G32" i="61"/>
  <c r="N14" i="61"/>
  <c r="H14" i="61" s="1"/>
  <c r="AA18" i="61"/>
  <c r="N10" i="61"/>
  <c r="G9" i="58"/>
  <c r="L9" i="58"/>
  <c r="M9" i="58" s="1"/>
  <c r="E10" i="58"/>
  <c r="J96" i="58"/>
  <c r="H96" i="58"/>
  <c r="I96" i="58"/>
  <c r="K96" i="58"/>
  <c r="H28" i="58"/>
  <c r="J28" i="58"/>
  <c r="I28" i="58"/>
  <c r="K28" i="58"/>
  <c r="E42" i="58"/>
  <c r="G41" i="58"/>
  <c r="K57" i="58"/>
  <c r="H57" i="58"/>
  <c r="I57" i="58"/>
  <c r="J57" i="58"/>
  <c r="M72" i="58"/>
  <c r="L73" i="58"/>
  <c r="M73" i="58" s="1"/>
  <c r="J104" i="58"/>
  <c r="H104" i="58"/>
  <c r="I104" i="58"/>
  <c r="K104" i="58"/>
  <c r="K100" i="58"/>
  <c r="H100" i="58"/>
  <c r="I100" i="58"/>
  <c r="J100" i="58"/>
  <c r="H131" i="58"/>
  <c r="I131" i="58"/>
  <c r="J131" i="58"/>
  <c r="K131" i="58"/>
  <c r="E7" i="48"/>
  <c r="F7" i="48"/>
  <c r="G7" i="48" s="1"/>
  <c r="E55" i="48"/>
  <c r="F55" i="48"/>
  <c r="G55" i="48" s="1"/>
  <c r="AD21" i="61"/>
  <c r="AE21" i="61" s="1"/>
  <c r="AF21" i="61" s="1"/>
  <c r="AB21" i="61"/>
  <c r="V21" i="61" s="1"/>
  <c r="G28" i="61"/>
  <c r="I28" i="61"/>
  <c r="M28" i="61" s="1"/>
  <c r="W28" i="61"/>
  <c r="AA28" i="61" s="1"/>
  <c r="H150" i="58"/>
  <c r="H151" i="58"/>
  <c r="J152" i="58"/>
  <c r="H155" i="58"/>
  <c r="J156" i="58"/>
  <c r="H159" i="58"/>
  <c r="J160" i="58"/>
  <c r="H163" i="58"/>
  <c r="J164" i="58"/>
  <c r="H167" i="58"/>
  <c r="J168" i="58"/>
  <c r="H171" i="58"/>
  <c r="J172" i="58"/>
  <c r="H175" i="58"/>
  <c r="J176" i="58"/>
  <c r="H179" i="58"/>
  <c r="J180" i="58"/>
  <c r="I150" i="58"/>
  <c r="J151" i="58"/>
  <c r="H154" i="58"/>
  <c r="J155" i="58"/>
  <c r="H158" i="58"/>
  <c r="J159" i="58"/>
  <c r="H162" i="58"/>
  <c r="J163" i="58"/>
  <c r="H166" i="58"/>
  <c r="J167" i="58"/>
  <c r="H170" i="58"/>
  <c r="J171" i="58"/>
  <c r="H174" i="58"/>
  <c r="J175" i="58"/>
  <c r="J150" i="58"/>
  <c r="I157" i="58"/>
  <c r="I164" i="58"/>
  <c r="I166" i="58"/>
  <c r="I173" i="58"/>
  <c r="J178" i="58"/>
  <c r="J181" i="58"/>
  <c r="I184" i="58"/>
  <c r="I188" i="58"/>
  <c r="I192" i="58"/>
  <c r="I196" i="58"/>
  <c r="I152" i="58"/>
  <c r="I154" i="58"/>
  <c r="I161" i="58"/>
  <c r="I168" i="58"/>
  <c r="I170" i="58"/>
  <c r="I177" i="58"/>
  <c r="I180" i="58"/>
  <c r="I183" i="58"/>
  <c r="I187" i="58"/>
  <c r="I191" i="58"/>
  <c r="I195" i="58"/>
  <c r="I199" i="58"/>
  <c r="J154" i="58"/>
  <c r="H156" i="58"/>
  <c r="J161" i="58"/>
  <c r="I163" i="58"/>
  <c r="H165" i="58"/>
  <c r="J170" i="58"/>
  <c r="H172" i="58"/>
  <c r="J177" i="58"/>
  <c r="H182" i="58"/>
  <c r="J183" i="58"/>
  <c r="H186" i="58"/>
  <c r="J187" i="58"/>
  <c r="H190" i="58"/>
  <c r="J191" i="58"/>
  <c r="H194" i="58"/>
  <c r="J195" i="58"/>
  <c r="H198" i="58"/>
  <c r="J199" i="58"/>
  <c r="I156" i="58"/>
  <c r="I158" i="58"/>
  <c r="I165" i="58"/>
  <c r="I172" i="58"/>
  <c r="I174" i="58"/>
  <c r="I179" i="58"/>
  <c r="I182" i="58"/>
  <c r="I186" i="58"/>
  <c r="I190" i="58"/>
  <c r="I194" i="58"/>
  <c r="I198" i="58"/>
  <c r="I151" i="58"/>
  <c r="H153" i="58"/>
  <c r="J158" i="58"/>
  <c r="H160" i="58"/>
  <c r="J165" i="58"/>
  <c r="I167" i="58"/>
  <c r="H169" i="58"/>
  <c r="J174" i="58"/>
  <c r="H176" i="58"/>
  <c r="J179" i="58"/>
  <c r="J182" i="58"/>
  <c r="H185" i="58"/>
  <c r="J186" i="58"/>
  <c r="H189" i="58"/>
  <c r="J190" i="58"/>
  <c r="H193" i="58"/>
  <c r="J194" i="58"/>
  <c r="H197" i="58"/>
  <c r="J198" i="58"/>
  <c r="I171" i="58"/>
  <c r="I175" i="58"/>
  <c r="I185" i="58"/>
  <c r="H188" i="58"/>
  <c r="H191" i="58"/>
  <c r="H152" i="58"/>
  <c r="I160" i="58"/>
  <c r="J185" i="58"/>
  <c r="J188" i="58"/>
  <c r="I197" i="58"/>
  <c r="I153" i="58"/>
  <c r="H157" i="58"/>
  <c r="H164" i="58"/>
  <c r="H168" i="58"/>
  <c r="I176" i="58"/>
  <c r="H183" i="58"/>
  <c r="J197" i="58"/>
  <c r="J153" i="58"/>
  <c r="J157" i="58"/>
  <c r="H161" i="58"/>
  <c r="I169" i="58"/>
  <c r="H173" i="58"/>
  <c r="H180" i="58"/>
  <c r="I189" i="58"/>
  <c r="H192" i="58"/>
  <c r="H195" i="58"/>
  <c r="J169" i="58"/>
  <c r="J173" i="58"/>
  <c r="H177" i="58"/>
  <c r="J189" i="58"/>
  <c r="J192" i="58"/>
  <c r="I162" i="58"/>
  <c r="H181" i="58"/>
  <c r="H184" i="58"/>
  <c r="H187" i="58"/>
  <c r="J162" i="58"/>
  <c r="J166" i="58"/>
  <c r="H178" i="58"/>
  <c r="I181" i="58"/>
  <c r="J184" i="58"/>
  <c r="I193" i="58"/>
  <c r="H196" i="58"/>
  <c r="H199" i="58"/>
  <c r="I159" i="58"/>
  <c r="J193" i="58"/>
  <c r="I155" i="58"/>
  <c r="I178" i="58"/>
  <c r="J196" i="58"/>
  <c r="G13" i="61"/>
  <c r="N13" i="61" s="1"/>
  <c r="H13" i="61" s="1"/>
  <c r="G9" i="61"/>
  <c r="G12" i="61"/>
  <c r="N12" i="61" s="1"/>
  <c r="H12" i="61" s="1"/>
  <c r="W12" i="61"/>
  <c r="AA12" i="61" s="1"/>
  <c r="I12" i="61"/>
  <c r="M12" i="61" s="1"/>
  <c r="X17" i="61"/>
  <c r="AH17" i="61" s="1"/>
  <c r="N40" i="61"/>
  <c r="P40" i="61"/>
  <c r="Q40" i="61" s="1"/>
  <c r="E30" i="58"/>
  <c r="G29" i="58"/>
  <c r="M80" i="58"/>
  <c r="L81" i="58"/>
  <c r="M81" i="58" s="1"/>
  <c r="L84" i="58"/>
  <c r="M84" i="58" s="1"/>
  <c r="I105" i="58"/>
  <c r="K105" i="58"/>
  <c r="H105" i="58"/>
  <c r="J105" i="58"/>
  <c r="F51" i="48"/>
  <c r="G51" i="48" s="1"/>
  <c r="E51" i="48"/>
  <c r="AH6" i="61"/>
  <c r="T14" i="61"/>
  <c r="K14" i="61"/>
  <c r="G34" i="61"/>
  <c r="AA21" i="61"/>
  <c r="M31" i="61"/>
  <c r="N31" i="61" s="1"/>
  <c r="G29" i="61"/>
  <c r="N29" i="61" s="1"/>
  <c r="K29" i="61" s="1"/>
  <c r="W29" i="61"/>
  <c r="AA29" i="61" s="1"/>
  <c r="H29" i="61"/>
  <c r="I29" i="61"/>
  <c r="M29" i="61" s="1"/>
  <c r="K6" i="61"/>
  <c r="T6" i="61"/>
  <c r="K39" i="61"/>
  <c r="P38" i="61"/>
  <c r="Q38" i="61" s="1"/>
  <c r="T38" i="61" s="1"/>
  <c r="M10" i="61"/>
  <c r="J56" i="58"/>
  <c r="K56" i="58"/>
  <c r="H56" i="58"/>
  <c r="I56" i="58"/>
  <c r="R21" i="61"/>
  <c r="AI21" i="61"/>
  <c r="G18" i="61"/>
  <c r="G19" i="61"/>
  <c r="P19" i="61" s="1"/>
  <c r="Q19" i="61" s="1"/>
  <c r="I19" i="61"/>
  <c r="M19" i="61" s="1"/>
  <c r="G16" i="61"/>
  <c r="N21" i="61"/>
  <c r="AH33" i="61"/>
  <c r="P31" i="61"/>
  <c r="Q31" i="61" s="1"/>
  <c r="G5" i="61"/>
  <c r="M15" i="61"/>
  <c r="N15" i="61" s="1"/>
  <c r="AH16" i="61"/>
  <c r="AA17" i="61"/>
  <c r="G39" i="61"/>
  <c r="N39" i="61" s="1"/>
  <c r="H39" i="61" s="1"/>
  <c r="I39" i="61"/>
  <c r="M39" i="61" s="1"/>
  <c r="A17" i="55"/>
  <c r="F17" i="55"/>
  <c r="B18" i="55"/>
  <c r="T36" i="61"/>
  <c r="H15" i="61" l="1"/>
  <c r="K15" i="61"/>
  <c r="D66" i="48"/>
  <c r="D64" i="48"/>
  <c r="R19" i="61"/>
  <c r="T19" i="61"/>
  <c r="U38" i="61"/>
  <c r="H31" i="61"/>
  <c r="K31" i="61"/>
  <c r="F18" i="55"/>
  <c r="A18" i="55" s="1"/>
  <c r="R29" i="61"/>
  <c r="E18" i="48"/>
  <c r="F18" i="48"/>
  <c r="G18" i="48" s="1"/>
  <c r="E62" i="48"/>
  <c r="F62" i="48"/>
  <c r="G62" i="48" s="1"/>
  <c r="F9" i="48"/>
  <c r="G9" i="48" s="1"/>
  <c r="E9" i="48"/>
  <c r="H35" i="58"/>
  <c r="I35" i="58"/>
  <c r="K35" i="58"/>
  <c r="J35" i="58"/>
  <c r="P37" i="61"/>
  <c r="Q37" i="61" s="1"/>
  <c r="Y21" i="61"/>
  <c r="N16" i="61"/>
  <c r="P16" i="61"/>
  <c r="Q16" i="61" s="1"/>
  <c r="U6" i="61"/>
  <c r="K10" i="61"/>
  <c r="H10" i="61"/>
  <c r="F11" i="48"/>
  <c r="G11" i="48" s="1"/>
  <c r="E11" i="48"/>
  <c r="E31" i="58"/>
  <c r="G30" i="58"/>
  <c r="P13" i="61"/>
  <c r="Q13" i="61" s="1"/>
  <c r="E54" i="48"/>
  <c r="F54" i="48"/>
  <c r="G54" i="48" s="1"/>
  <c r="D65" i="48"/>
  <c r="R26" i="61"/>
  <c r="AH10" i="61"/>
  <c r="AA10" i="61"/>
  <c r="R7" i="61"/>
  <c r="K12" i="61"/>
  <c r="N35" i="61"/>
  <c r="P35" i="61"/>
  <c r="Q35" i="61" s="1"/>
  <c r="U24" i="61"/>
  <c r="F12" i="55"/>
  <c r="A12" i="55" s="1"/>
  <c r="F13" i="55"/>
  <c r="A13" i="55" s="1"/>
  <c r="P11" i="61"/>
  <c r="Q11" i="61" s="1"/>
  <c r="R36" i="61"/>
  <c r="P39" i="61"/>
  <c r="Q39" i="61" s="1"/>
  <c r="U10" i="61"/>
  <c r="R31" i="61"/>
  <c r="K29" i="58"/>
  <c r="I29" i="58"/>
  <c r="H29" i="58"/>
  <c r="J29" i="58"/>
  <c r="I41" i="58"/>
  <c r="J41" i="58"/>
  <c r="K41" i="58"/>
  <c r="H41" i="58"/>
  <c r="E57" i="48"/>
  <c r="F57" i="48"/>
  <c r="G57" i="48" s="1"/>
  <c r="N23" i="61"/>
  <c r="P23" i="61"/>
  <c r="Q23" i="61" s="1"/>
  <c r="N20" i="61"/>
  <c r="P20" i="61"/>
  <c r="Q20" i="61" s="1"/>
  <c r="N18" i="61"/>
  <c r="P18" i="61"/>
  <c r="Q18" i="61" s="1"/>
  <c r="U14" i="61"/>
  <c r="R40" i="61"/>
  <c r="T40" i="61"/>
  <c r="E10" i="48"/>
  <c r="F10" i="48"/>
  <c r="G10" i="48" s="1"/>
  <c r="P22" i="61"/>
  <c r="Q22" i="61" s="1"/>
  <c r="N5" i="61"/>
  <c r="P5" i="61"/>
  <c r="Q5" i="61" s="1"/>
  <c r="K21" i="61"/>
  <c r="H21" i="61"/>
  <c r="K40" i="61"/>
  <c r="H40" i="61"/>
  <c r="G42" i="58"/>
  <c r="E43" i="58"/>
  <c r="U15" i="61"/>
  <c r="E5" i="48"/>
  <c r="F5" i="48"/>
  <c r="G5" i="48" s="1"/>
  <c r="T26" i="61"/>
  <c r="V17" i="5"/>
  <c r="W17" i="5" s="1"/>
  <c r="N36" i="61"/>
  <c r="R14" i="61"/>
  <c r="K22" i="61"/>
  <c r="N8" i="61"/>
  <c r="P8" i="61"/>
  <c r="Q8" i="61" s="1"/>
  <c r="P30" i="61"/>
  <c r="Q30" i="61" s="1"/>
  <c r="L68" i="58"/>
  <c r="M67" i="58"/>
  <c r="E61" i="48"/>
  <c r="F61" i="48"/>
  <c r="G61" i="48" s="1"/>
  <c r="K21" i="58"/>
  <c r="I21" i="58"/>
  <c r="H21" i="58"/>
  <c r="J21" i="58"/>
  <c r="U36" i="61"/>
  <c r="N27" i="61"/>
  <c r="P27" i="61"/>
  <c r="Q27" i="61" s="1"/>
  <c r="R15" i="61"/>
  <c r="E49" i="58"/>
  <c r="G48" i="58"/>
  <c r="E13" i="48"/>
  <c r="F13" i="48"/>
  <c r="G13" i="48" s="1"/>
  <c r="E53" i="48"/>
  <c r="F53" i="48"/>
  <c r="G53" i="48" s="1"/>
  <c r="E56" i="48"/>
  <c r="F56" i="48"/>
  <c r="G56" i="48" s="1"/>
  <c r="D60" i="48"/>
  <c r="D20" i="48"/>
  <c r="D63" i="48"/>
  <c r="D22" i="48"/>
  <c r="D12" i="48"/>
  <c r="D15" i="48"/>
  <c r="D14" i="48"/>
  <c r="D59" i="48"/>
  <c r="D16" i="48"/>
  <c r="D68" i="48"/>
  <c r="D67" i="48"/>
  <c r="L23" i="58"/>
  <c r="G22" i="58"/>
  <c r="N33" i="61"/>
  <c r="P33" i="61"/>
  <c r="Q33" i="61" s="1"/>
  <c r="N25" i="61"/>
  <c r="P25" i="61"/>
  <c r="Q25" i="61" s="1"/>
  <c r="K11" i="61"/>
  <c r="T7" i="61"/>
  <c r="M61" i="58"/>
  <c r="L62" i="58"/>
  <c r="T29" i="61"/>
  <c r="R38" i="61"/>
  <c r="N28" i="61"/>
  <c r="P28" i="61"/>
  <c r="Q28" i="61" s="1"/>
  <c r="N17" i="61"/>
  <c r="P17" i="61"/>
  <c r="Q17" i="61" s="1"/>
  <c r="N34" i="61"/>
  <c r="P34" i="61"/>
  <c r="Q34" i="61" s="1"/>
  <c r="E37" i="58"/>
  <c r="G36" i="58"/>
  <c r="L27" i="58"/>
  <c r="G26" i="58"/>
  <c r="H30" i="61"/>
  <c r="L88" i="58"/>
  <c r="M87" i="58"/>
  <c r="N38" i="61"/>
  <c r="R6" i="61"/>
  <c r="K47" i="58"/>
  <c r="I47" i="58"/>
  <c r="H47" i="58"/>
  <c r="J47" i="58"/>
  <c r="N9" i="61"/>
  <c r="P9" i="61"/>
  <c r="Q9" i="61" s="1"/>
  <c r="E11" i="58"/>
  <c r="L10" i="58"/>
  <c r="M10" i="58" s="1"/>
  <c r="G10" i="58"/>
  <c r="T31" i="61"/>
  <c r="N19" i="61"/>
  <c r="P12" i="61"/>
  <c r="Q12" i="61" s="1"/>
  <c r="I9" i="58"/>
  <c r="J9" i="58"/>
  <c r="K9" i="58"/>
  <c r="H9" i="58"/>
  <c r="N32" i="61"/>
  <c r="P32" i="61"/>
  <c r="Q32" i="61" s="1"/>
  <c r="D58" i="48"/>
  <c r="D21" i="48"/>
  <c r="D19" i="48"/>
  <c r="D17" i="48"/>
  <c r="I25" i="58"/>
  <c r="J25" i="58"/>
  <c r="K25" i="58"/>
  <c r="H25" i="58"/>
  <c r="N7" i="61"/>
  <c r="R24" i="61"/>
  <c r="K13" i="61"/>
  <c r="D85" i="48" l="1"/>
  <c r="D93" i="48"/>
  <c r="D98" i="48"/>
  <c r="D137" i="48"/>
  <c r="D141" i="48"/>
  <c r="D72" i="48"/>
  <c r="D140" i="48"/>
  <c r="D32" i="48"/>
  <c r="D91" i="48"/>
  <c r="D111" i="48"/>
  <c r="D112" i="48"/>
  <c r="D104" i="48"/>
  <c r="D103" i="48"/>
  <c r="D89" i="48"/>
  <c r="D34" i="48"/>
  <c r="D95" i="48"/>
  <c r="D74" i="48"/>
  <c r="D110" i="48"/>
  <c r="D41" i="48"/>
  <c r="D134" i="48"/>
  <c r="D109" i="48"/>
  <c r="D114" i="48"/>
  <c r="D101" i="48"/>
  <c r="D113" i="48"/>
  <c r="D40" i="48"/>
  <c r="D37" i="48"/>
  <c r="D107" i="48"/>
  <c r="D39" i="48"/>
  <c r="D83" i="48"/>
  <c r="D48" i="48"/>
  <c r="D26" i="48"/>
  <c r="D81" i="48"/>
  <c r="D102" i="48"/>
  <c r="D75" i="48"/>
  <c r="D124" i="48"/>
  <c r="D142" i="48"/>
  <c r="D105" i="48"/>
  <c r="D121" i="48"/>
  <c r="D88" i="48"/>
  <c r="D125" i="48"/>
  <c r="D108" i="48"/>
  <c r="D115" i="48"/>
  <c r="D44" i="48"/>
  <c r="D24" i="48"/>
  <c r="D119" i="48"/>
  <c r="D116" i="48"/>
  <c r="D138" i="48"/>
  <c r="D130" i="48"/>
  <c r="D99" i="48"/>
  <c r="D86" i="48"/>
  <c r="D77" i="48"/>
  <c r="D118" i="48"/>
  <c r="D73" i="48"/>
  <c r="D49" i="48"/>
  <c r="D43" i="48"/>
  <c r="D71" i="48"/>
  <c r="D38" i="48"/>
  <c r="D76" i="48"/>
  <c r="D25" i="48"/>
  <c r="D100" i="48"/>
  <c r="D33" i="48"/>
  <c r="D128" i="48"/>
  <c r="D135" i="48"/>
  <c r="D35" i="48"/>
  <c r="D96" i="48"/>
  <c r="D90" i="48"/>
  <c r="D87" i="48"/>
  <c r="D139" i="48"/>
  <c r="D28" i="48"/>
  <c r="D29" i="48"/>
  <c r="D127" i="48"/>
  <c r="D132" i="48"/>
  <c r="D133" i="48"/>
  <c r="D122" i="48"/>
  <c r="D126" i="48"/>
  <c r="D47" i="48"/>
  <c r="D78" i="48"/>
  <c r="D97" i="48"/>
  <c r="D94" i="48"/>
  <c r="D80" i="48"/>
  <c r="D106" i="48"/>
  <c r="D42" i="48"/>
  <c r="D129" i="48"/>
  <c r="D69" i="48"/>
  <c r="D123" i="48"/>
  <c r="D31" i="48"/>
  <c r="D84" i="48"/>
  <c r="D36" i="48"/>
  <c r="D30" i="48"/>
  <c r="D131" i="48"/>
  <c r="D50" i="48"/>
  <c r="D45" i="48"/>
  <c r="D117" i="48"/>
  <c r="D23" i="48"/>
  <c r="D70" i="48"/>
  <c r="D120" i="48"/>
  <c r="D82" i="48"/>
  <c r="D46" i="48"/>
  <c r="D27" i="48"/>
  <c r="D92" i="48"/>
  <c r="D136" i="48"/>
  <c r="D79" i="48"/>
  <c r="M23" i="58"/>
  <c r="L24" i="58"/>
  <c r="E66" i="48"/>
  <c r="F66" i="48"/>
  <c r="G66" i="48" s="1"/>
  <c r="H36" i="58"/>
  <c r="J36" i="58"/>
  <c r="I36" i="58"/>
  <c r="K36" i="58"/>
  <c r="AD14" i="61"/>
  <c r="AE14" i="61" s="1"/>
  <c r="AB14" i="61"/>
  <c r="E65" i="48"/>
  <c r="F65" i="48"/>
  <c r="G65" i="48" s="1"/>
  <c r="R17" i="61"/>
  <c r="T17" i="61"/>
  <c r="G11" i="58"/>
  <c r="L11" i="58"/>
  <c r="M11" i="58" s="1"/>
  <c r="E12" i="58"/>
  <c r="E68" i="48"/>
  <c r="F68" i="48"/>
  <c r="G68" i="48" s="1"/>
  <c r="K35" i="61"/>
  <c r="H35" i="61"/>
  <c r="E21" i="48"/>
  <c r="F21" i="48"/>
  <c r="G21" i="48" s="1"/>
  <c r="R9" i="61"/>
  <c r="T9" i="61"/>
  <c r="H38" i="61"/>
  <c r="K38" i="61"/>
  <c r="E38" i="58"/>
  <c r="G37" i="58"/>
  <c r="R28" i="61"/>
  <c r="T28" i="61"/>
  <c r="F67" i="48"/>
  <c r="G67" i="48" s="1"/>
  <c r="E67" i="48"/>
  <c r="R27" i="61"/>
  <c r="T27" i="61"/>
  <c r="G43" i="58"/>
  <c r="E44" i="58"/>
  <c r="H5" i="61"/>
  <c r="K5" i="61"/>
  <c r="R11" i="61"/>
  <c r="T11" i="61"/>
  <c r="R35" i="61"/>
  <c r="T35" i="61"/>
  <c r="E63" i="48"/>
  <c r="F63" i="48"/>
  <c r="G63" i="48" s="1"/>
  <c r="R5" i="61"/>
  <c r="T5" i="61"/>
  <c r="H9" i="61"/>
  <c r="K9" i="61"/>
  <c r="K28" i="61"/>
  <c r="H28" i="61"/>
  <c r="R25" i="61"/>
  <c r="T25" i="61"/>
  <c r="F22" i="48"/>
  <c r="G22" i="48" s="1"/>
  <c r="E22" i="48"/>
  <c r="H27" i="61"/>
  <c r="K27" i="61"/>
  <c r="K36" i="61"/>
  <c r="H36" i="61"/>
  <c r="H42" i="58"/>
  <c r="I42" i="58"/>
  <c r="J42" i="58"/>
  <c r="K42" i="58"/>
  <c r="R22" i="61"/>
  <c r="T22" i="61"/>
  <c r="R18" i="61"/>
  <c r="T18" i="61"/>
  <c r="R37" i="61"/>
  <c r="T37" i="61"/>
  <c r="R12" i="61"/>
  <c r="T12" i="61"/>
  <c r="AD36" i="61"/>
  <c r="AE36" i="61" s="1"/>
  <c r="AB36" i="61"/>
  <c r="L69" i="58"/>
  <c r="M68" i="58"/>
  <c r="AB17" i="5"/>
  <c r="AC17" i="5"/>
  <c r="AD17" i="5"/>
  <c r="AE17" i="5" s="1"/>
  <c r="X17" i="5"/>
  <c r="Z17" i="5"/>
  <c r="AA17" i="5"/>
  <c r="Y17" i="5"/>
  <c r="H18" i="61"/>
  <c r="K18" i="61"/>
  <c r="E64" i="48"/>
  <c r="F64" i="48"/>
  <c r="G64" i="48" s="1"/>
  <c r="AD15" i="61"/>
  <c r="AE15" i="61" s="1"/>
  <c r="AB15" i="61"/>
  <c r="H23" i="61"/>
  <c r="K23" i="61"/>
  <c r="H17" i="61"/>
  <c r="K17" i="61"/>
  <c r="H25" i="61"/>
  <c r="K25" i="61"/>
  <c r="J48" i="58"/>
  <c r="K48" i="58"/>
  <c r="H48" i="58"/>
  <c r="I48" i="58"/>
  <c r="R30" i="61"/>
  <c r="T30" i="61"/>
  <c r="U26" i="61"/>
  <c r="R20" i="61"/>
  <c r="T20" i="61"/>
  <c r="R13" i="61"/>
  <c r="T13" i="61"/>
  <c r="AB6" i="61"/>
  <c r="AD6" i="61"/>
  <c r="AE6" i="61" s="1"/>
  <c r="AB38" i="61"/>
  <c r="AD38" i="61"/>
  <c r="AE38" i="61" s="1"/>
  <c r="F17" i="48"/>
  <c r="G17" i="48" s="1"/>
  <c r="E17" i="48"/>
  <c r="M88" i="58"/>
  <c r="L89" i="58"/>
  <c r="E15" i="48"/>
  <c r="F15" i="48"/>
  <c r="G15" i="48" s="1"/>
  <c r="R32" i="61"/>
  <c r="T32" i="61"/>
  <c r="U31" i="61"/>
  <c r="H26" i="58"/>
  <c r="I26" i="58"/>
  <c r="J26" i="58"/>
  <c r="K26" i="58"/>
  <c r="R34" i="61"/>
  <c r="T34" i="61"/>
  <c r="U29" i="61"/>
  <c r="H33" i="61"/>
  <c r="K33" i="61"/>
  <c r="E16" i="48"/>
  <c r="F16" i="48"/>
  <c r="G16" i="48" s="1"/>
  <c r="E12" i="48"/>
  <c r="F12" i="48"/>
  <c r="G12" i="48" s="1"/>
  <c r="G49" i="58"/>
  <c r="E50" i="58"/>
  <c r="R8" i="61"/>
  <c r="T8" i="61"/>
  <c r="U40" i="61"/>
  <c r="H20" i="61"/>
  <c r="K20" i="61"/>
  <c r="AB10" i="61"/>
  <c r="AD10" i="61"/>
  <c r="AE10" i="61" s="1"/>
  <c r="AB24" i="61"/>
  <c r="AD24" i="61"/>
  <c r="AE24" i="61" s="1"/>
  <c r="J30" i="58"/>
  <c r="H30" i="58"/>
  <c r="I30" i="58"/>
  <c r="K30" i="58"/>
  <c r="H16" i="61"/>
  <c r="K16" i="61"/>
  <c r="F19" i="48"/>
  <c r="G19" i="48" s="1"/>
  <c r="E19" i="48"/>
  <c r="U7" i="61"/>
  <c r="F14" i="48"/>
  <c r="G14" i="48" s="1"/>
  <c r="E14" i="48"/>
  <c r="E60" i="48"/>
  <c r="F60" i="48"/>
  <c r="G60" i="48" s="1"/>
  <c r="E58" i="48"/>
  <c r="F58" i="48"/>
  <c r="G58" i="48" s="1"/>
  <c r="H19" i="61"/>
  <c r="K19" i="61"/>
  <c r="R33" i="61"/>
  <c r="T33" i="61"/>
  <c r="H7" i="61"/>
  <c r="K7" i="61"/>
  <c r="H32" i="61"/>
  <c r="K32" i="61"/>
  <c r="H10" i="58"/>
  <c r="I10" i="58"/>
  <c r="J10" i="58"/>
  <c r="K10" i="58"/>
  <c r="M27" i="58"/>
  <c r="L28" i="58"/>
  <c r="H34" i="61"/>
  <c r="K34" i="61"/>
  <c r="M62" i="58"/>
  <c r="L63" i="58"/>
  <c r="J22" i="58"/>
  <c r="H22" i="58"/>
  <c r="I22" i="58"/>
  <c r="K22" i="58"/>
  <c r="F59" i="48"/>
  <c r="G59" i="48" s="1"/>
  <c r="E59" i="48"/>
  <c r="E20" i="48"/>
  <c r="F20" i="48"/>
  <c r="G20" i="48" s="1"/>
  <c r="H8" i="61"/>
  <c r="K8" i="61"/>
  <c r="R23" i="61"/>
  <c r="T23" i="61"/>
  <c r="R39" i="61"/>
  <c r="T39" i="61"/>
  <c r="G31" i="58"/>
  <c r="E32" i="58"/>
  <c r="R16" i="61"/>
  <c r="T16" i="61"/>
  <c r="U19" i="61"/>
  <c r="L12" i="58" l="1"/>
  <c r="M12" i="58" s="1"/>
  <c r="E13" i="58"/>
  <c r="G12" i="58"/>
  <c r="E120" i="48"/>
  <c r="F120" i="48"/>
  <c r="G120" i="48" s="1"/>
  <c r="E132" i="48"/>
  <c r="F132" i="48"/>
  <c r="G132" i="48" s="1"/>
  <c r="E71" i="48"/>
  <c r="F71" i="48"/>
  <c r="G71" i="48" s="1"/>
  <c r="E113" i="48"/>
  <c r="F113" i="48"/>
  <c r="G113" i="48" s="1"/>
  <c r="AD40" i="61"/>
  <c r="AE40" i="61" s="1"/>
  <c r="AB40" i="61"/>
  <c r="U34" i="61"/>
  <c r="H43" i="58"/>
  <c r="I43" i="58"/>
  <c r="K43" i="58"/>
  <c r="J43" i="58"/>
  <c r="AF14" i="61"/>
  <c r="AI14" i="61"/>
  <c r="E70" i="48"/>
  <c r="F70" i="48"/>
  <c r="G70" i="48" s="1"/>
  <c r="E84" i="48"/>
  <c r="F84" i="48"/>
  <c r="G84" i="48" s="1"/>
  <c r="F94" i="48"/>
  <c r="G94" i="48" s="1"/>
  <c r="E94" i="48"/>
  <c r="E127" i="48"/>
  <c r="F127" i="48"/>
  <c r="G127" i="48" s="1"/>
  <c r="F135" i="48"/>
  <c r="G135" i="48" s="1"/>
  <c r="E135" i="48"/>
  <c r="F43" i="48"/>
  <c r="G43" i="48" s="1"/>
  <c r="E43" i="48"/>
  <c r="E138" i="48"/>
  <c r="F138" i="48"/>
  <c r="G138" i="48" s="1"/>
  <c r="E88" i="48"/>
  <c r="F88" i="48"/>
  <c r="G88" i="48" s="1"/>
  <c r="E26" i="48"/>
  <c r="F26" i="48"/>
  <c r="G26" i="48" s="1"/>
  <c r="E101" i="48"/>
  <c r="F101" i="48"/>
  <c r="G101" i="48" s="1"/>
  <c r="F34" i="48"/>
  <c r="G34" i="48" s="1"/>
  <c r="E34" i="48"/>
  <c r="E140" i="48"/>
  <c r="F140" i="48"/>
  <c r="G140" i="48" s="1"/>
  <c r="I49" i="58"/>
  <c r="K49" i="58"/>
  <c r="H49" i="58"/>
  <c r="J49" i="58"/>
  <c r="V14" i="61"/>
  <c r="Y14" i="61"/>
  <c r="E36" i="48"/>
  <c r="F36" i="48"/>
  <c r="G36" i="48" s="1"/>
  <c r="E130" i="48"/>
  <c r="F130" i="48"/>
  <c r="G130" i="48" s="1"/>
  <c r="F32" i="48"/>
  <c r="G32" i="48" s="1"/>
  <c r="E32" i="48"/>
  <c r="AB7" i="61"/>
  <c r="AD7" i="61"/>
  <c r="AE7" i="61" s="1"/>
  <c r="U16" i="61"/>
  <c r="U32" i="61"/>
  <c r="U20" i="61"/>
  <c r="L70" i="58"/>
  <c r="M69" i="58"/>
  <c r="U5" i="61"/>
  <c r="U11" i="61"/>
  <c r="U27" i="61"/>
  <c r="H11" i="58"/>
  <c r="I11" i="58"/>
  <c r="K11" i="58"/>
  <c r="J11" i="58"/>
  <c r="E79" i="48"/>
  <c r="F79" i="48"/>
  <c r="G79" i="48" s="1"/>
  <c r="E23" i="48"/>
  <c r="F23" i="48"/>
  <c r="G23" i="48" s="1"/>
  <c r="E31" i="48"/>
  <c r="F31" i="48"/>
  <c r="G31" i="48" s="1"/>
  <c r="E97" i="48"/>
  <c r="F97" i="48"/>
  <c r="G97" i="48" s="1"/>
  <c r="E29" i="48"/>
  <c r="F29" i="48"/>
  <c r="G29" i="48" s="1"/>
  <c r="E128" i="48"/>
  <c r="F128" i="48"/>
  <c r="G128" i="48" s="1"/>
  <c r="E49" i="48"/>
  <c r="F49" i="48"/>
  <c r="G49" i="48" s="1"/>
  <c r="E116" i="48"/>
  <c r="F116" i="48"/>
  <c r="G116" i="48" s="1"/>
  <c r="E121" i="48"/>
  <c r="F121" i="48"/>
  <c r="G121" i="48" s="1"/>
  <c r="E48" i="48"/>
  <c r="F48" i="48"/>
  <c r="G48" i="48" s="1"/>
  <c r="E114" i="48"/>
  <c r="F114" i="48"/>
  <c r="G114" i="48" s="1"/>
  <c r="E89" i="48"/>
  <c r="F89" i="48"/>
  <c r="G89" i="48" s="1"/>
  <c r="E72" i="48"/>
  <c r="F72" i="48"/>
  <c r="G72" i="48" s="1"/>
  <c r="AF24" i="61"/>
  <c r="AI24" i="61"/>
  <c r="U8" i="61"/>
  <c r="AF38" i="61"/>
  <c r="AI38" i="61"/>
  <c r="E18" i="5"/>
  <c r="A18" i="5" s="1"/>
  <c r="C18" i="5" s="1"/>
  <c r="G18" i="5" s="1"/>
  <c r="V36" i="61"/>
  <c r="Y36" i="61"/>
  <c r="U18" i="61"/>
  <c r="U25" i="61"/>
  <c r="K37" i="58"/>
  <c r="I37" i="58"/>
  <c r="J37" i="58"/>
  <c r="H37" i="58"/>
  <c r="U17" i="61"/>
  <c r="E136" i="48"/>
  <c r="F136" i="48"/>
  <c r="G136" i="48" s="1"/>
  <c r="E117" i="48"/>
  <c r="F117" i="48"/>
  <c r="G117" i="48" s="1"/>
  <c r="F123" i="48"/>
  <c r="G123" i="48" s="1"/>
  <c r="E123" i="48"/>
  <c r="E78" i="48"/>
  <c r="F78" i="48"/>
  <c r="G78" i="48" s="1"/>
  <c r="E28" i="48"/>
  <c r="F28" i="48"/>
  <c r="G28" i="48" s="1"/>
  <c r="E33" i="48"/>
  <c r="F33" i="48"/>
  <c r="G33" i="48" s="1"/>
  <c r="E73" i="48"/>
  <c r="F73" i="48"/>
  <c r="G73" i="48" s="1"/>
  <c r="E119" i="48"/>
  <c r="F119" i="48"/>
  <c r="G119" i="48" s="1"/>
  <c r="E105" i="48"/>
  <c r="F105" i="48"/>
  <c r="G105" i="48" s="1"/>
  <c r="F83" i="48"/>
  <c r="G83" i="48" s="1"/>
  <c r="E83" i="48"/>
  <c r="E109" i="48"/>
  <c r="F109" i="48"/>
  <c r="G109" i="48" s="1"/>
  <c r="E103" i="48"/>
  <c r="F103" i="48"/>
  <c r="G103" i="48" s="1"/>
  <c r="E141" i="48"/>
  <c r="F141" i="48"/>
  <c r="G141" i="48" s="1"/>
  <c r="AD31" i="61"/>
  <c r="AE31" i="61" s="1"/>
  <c r="AB31" i="61"/>
  <c r="U37" i="61"/>
  <c r="M24" i="58"/>
  <c r="L25" i="58"/>
  <c r="E35" i="48"/>
  <c r="F35" i="48"/>
  <c r="G35" i="48" s="1"/>
  <c r="E125" i="48"/>
  <c r="F125" i="48"/>
  <c r="G125" i="48" s="1"/>
  <c r="E81" i="48"/>
  <c r="F81" i="48"/>
  <c r="G81" i="48" s="1"/>
  <c r="E95" i="48"/>
  <c r="F95" i="48"/>
  <c r="G95" i="48" s="1"/>
  <c r="U23" i="61"/>
  <c r="M28" i="58"/>
  <c r="L29" i="58"/>
  <c r="V24" i="61"/>
  <c r="Y24" i="61"/>
  <c r="V38" i="61"/>
  <c r="Y38" i="61"/>
  <c r="V15" i="61"/>
  <c r="Y15" i="61"/>
  <c r="AF36" i="61"/>
  <c r="AI36" i="61"/>
  <c r="E39" i="58"/>
  <c r="G38" i="58"/>
  <c r="E92" i="48"/>
  <c r="F92" i="48"/>
  <c r="G92" i="48" s="1"/>
  <c r="E45" i="48"/>
  <c r="F45" i="48"/>
  <c r="G45" i="48" s="1"/>
  <c r="E69" i="48"/>
  <c r="F69" i="48"/>
  <c r="G69" i="48" s="1"/>
  <c r="E47" i="48"/>
  <c r="F47" i="48"/>
  <c r="G47" i="48" s="1"/>
  <c r="F139" i="48"/>
  <c r="G139" i="48" s="1"/>
  <c r="E139" i="48"/>
  <c r="E100" i="48"/>
  <c r="F100" i="48"/>
  <c r="G100" i="48" s="1"/>
  <c r="F118" i="48"/>
  <c r="G118" i="48" s="1"/>
  <c r="E118" i="48"/>
  <c r="F24" i="48"/>
  <c r="G24" i="48" s="1"/>
  <c r="E24" i="48"/>
  <c r="F142" i="48"/>
  <c r="G142" i="48" s="1"/>
  <c r="E142" i="48"/>
  <c r="E39" i="48"/>
  <c r="F39" i="48"/>
  <c r="G39" i="48" s="1"/>
  <c r="F134" i="48"/>
  <c r="G134" i="48" s="1"/>
  <c r="E134" i="48"/>
  <c r="E104" i="48"/>
  <c r="F104" i="48"/>
  <c r="G104" i="48" s="1"/>
  <c r="E137" i="48"/>
  <c r="F137" i="48"/>
  <c r="G137" i="48" s="1"/>
  <c r="M63" i="58"/>
  <c r="L64" i="58"/>
  <c r="E80" i="48"/>
  <c r="F80" i="48"/>
  <c r="G80" i="48" s="1"/>
  <c r="L33" i="58"/>
  <c r="G32" i="58"/>
  <c r="AF10" i="61"/>
  <c r="AI10" i="61"/>
  <c r="AF6" i="61"/>
  <c r="AI6" i="61"/>
  <c r="AD26" i="61"/>
  <c r="AE26" i="61" s="1"/>
  <c r="AB26" i="61"/>
  <c r="AF15" i="61"/>
  <c r="AI15" i="61"/>
  <c r="U12" i="61"/>
  <c r="F27" i="48"/>
  <c r="G27" i="48" s="1"/>
  <c r="E27" i="48"/>
  <c r="E50" i="48"/>
  <c r="F50" i="48"/>
  <c r="G50" i="48" s="1"/>
  <c r="E129" i="48"/>
  <c r="F129" i="48"/>
  <c r="G129" i="48" s="1"/>
  <c r="F126" i="48"/>
  <c r="G126" i="48" s="1"/>
  <c r="E126" i="48"/>
  <c r="E87" i="48"/>
  <c r="F87" i="48"/>
  <c r="G87" i="48" s="1"/>
  <c r="E25" i="48"/>
  <c r="F25" i="48"/>
  <c r="G25" i="48" s="1"/>
  <c r="E77" i="48"/>
  <c r="F77" i="48"/>
  <c r="G77" i="48" s="1"/>
  <c r="E44" i="48"/>
  <c r="F44" i="48"/>
  <c r="G44" i="48" s="1"/>
  <c r="E124" i="48"/>
  <c r="F124" i="48"/>
  <c r="G124" i="48" s="1"/>
  <c r="F107" i="48"/>
  <c r="G107" i="48" s="1"/>
  <c r="E107" i="48"/>
  <c r="E41" i="48"/>
  <c r="F41" i="48"/>
  <c r="G41" i="48" s="1"/>
  <c r="E112" i="48"/>
  <c r="F112" i="48"/>
  <c r="G112" i="48" s="1"/>
  <c r="E98" i="48"/>
  <c r="F98" i="48"/>
  <c r="G98" i="48" s="1"/>
  <c r="U39" i="61"/>
  <c r="U33" i="61"/>
  <c r="V10" i="61"/>
  <c r="Y10" i="61"/>
  <c r="V6" i="61"/>
  <c r="Y6" i="61"/>
  <c r="U22" i="61"/>
  <c r="E46" i="48"/>
  <c r="F46" i="48"/>
  <c r="G46" i="48" s="1"/>
  <c r="F131" i="48"/>
  <c r="G131" i="48" s="1"/>
  <c r="E131" i="48"/>
  <c r="E42" i="48"/>
  <c r="F42" i="48"/>
  <c r="G42" i="48" s="1"/>
  <c r="E122" i="48"/>
  <c r="F122" i="48"/>
  <c r="G122" i="48" s="1"/>
  <c r="E90" i="48"/>
  <c r="F90" i="48"/>
  <c r="G90" i="48" s="1"/>
  <c r="E76" i="48"/>
  <c r="F76" i="48"/>
  <c r="G76" i="48" s="1"/>
  <c r="F86" i="48"/>
  <c r="G86" i="48" s="1"/>
  <c r="E86" i="48"/>
  <c r="F115" i="48"/>
  <c r="G115" i="48" s="1"/>
  <c r="E115" i="48"/>
  <c r="F75" i="48"/>
  <c r="G75" i="48" s="1"/>
  <c r="E75" i="48"/>
  <c r="E37" i="48"/>
  <c r="F37" i="48"/>
  <c r="G37" i="48" s="1"/>
  <c r="F110" i="48"/>
  <c r="G110" i="48" s="1"/>
  <c r="E110" i="48"/>
  <c r="E111" i="48"/>
  <c r="F111" i="48"/>
  <c r="G111" i="48" s="1"/>
  <c r="E93" i="48"/>
  <c r="F93" i="48"/>
  <c r="G93" i="48" s="1"/>
  <c r="AD19" i="61"/>
  <c r="AE19" i="61" s="1"/>
  <c r="AB19" i="61"/>
  <c r="I31" i="58"/>
  <c r="K31" i="58"/>
  <c r="H31" i="58"/>
  <c r="J31" i="58"/>
  <c r="E51" i="58"/>
  <c r="G50" i="58"/>
  <c r="AB29" i="61"/>
  <c r="AD29" i="61"/>
  <c r="AE29" i="61" s="1"/>
  <c r="M89" i="58"/>
  <c r="L90" i="58"/>
  <c r="U13" i="61"/>
  <c r="U30" i="61"/>
  <c r="U35" i="61"/>
  <c r="E45" i="58"/>
  <c r="G44" i="58"/>
  <c r="U28" i="61"/>
  <c r="U9" i="61"/>
  <c r="E82" i="48"/>
  <c r="F82" i="48"/>
  <c r="G82" i="48" s="1"/>
  <c r="F30" i="48"/>
  <c r="G30" i="48" s="1"/>
  <c r="E30" i="48"/>
  <c r="E106" i="48"/>
  <c r="F106" i="48"/>
  <c r="G106" i="48" s="1"/>
  <c r="E133" i="48"/>
  <c r="F133" i="48"/>
  <c r="G133" i="48" s="1"/>
  <c r="E96" i="48"/>
  <c r="F96" i="48"/>
  <c r="G96" i="48" s="1"/>
  <c r="F38" i="48"/>
  <c r="G38" i="48" s="1"/>
  <c r="E38" i="48"/>
  <c r="F99" i="48"/>
  <c r="G99" i="48" s="1"/>
  <c r="E99" i="48"/>
  <c r="E108" i="48"/>
  <c r="F108" i="48"/>
  <c r="G108" i="48" s="1"/>
  <c r="F102" i="48"/>
  <c r="G102" i="48" s="1"/>
  <c r="E102" i="48"/>
  <c r="F40" i="48"/>
  <c r="G40" i="48" s="1"/>
  <c r="E40" i="48"/>
  <c r="E74" i="48"/>
  <c r="F74" i="48"/>
  <c r="G74" i="48" s="1"/>
  <c r="F91" i="48"/>
  <c r="G91" i="48" s="1"/>
  <c r="E91" i="48"/>
  <c r="E85" i="48"/>
  <c r="F85" i="48"/>
  <c r="G85" i="48" s="1"/>
  <c r="AB22" i="61" l="1"/>
  <c r="AD22" i="61"/>
  <c r="AE22" i="61" s="1"/>
  <c r="V26" i="61"/>
  <c r="Y26" i="61"/>
  <c r="G39" i="58"/>
  <c r="L40" i="58"/>
  <c r="M90" i="58"/>
  <c r="L91" i="58"/>
  <c r="AF26" i="61"/>
  <c r="AI26" i="61"/>
  <c r="AD11" i="61"/>
  <c r="AE11" i="61" s="1"/>
  <c r="AB11" i="61"/>
  <c r="AB32" i="61"/>
  <c r="AD32" i="61"/>
  <c r="AE32" i="61" s="1"/>
  <c r="AB34" i="61"/>
  <c r="AD34" i="61"/>
  <c r="AE34" i="61" s="1"/>
  <c r="G45" i="58"/>
  <c r="L46" i="58"/>
  <c r="M29" i="58"/>
  <c r="L30" i="58"/>
  <c r="V31" i="61"/>
  <c r="Y31" i="61"/>
  <c r="N18" i="5"/>
  <c r="K18" i="5"/>
  <c r="L18" i="5"/>
  <c r="I18" i="5"/>
  <c r="H19" i="5" s="1"/>
  <c r="J18" i="5"/>
  <c r="O18" i="5"/>
  <c r="M18" i="5"/>
  <c r="H44" i="58"/>
  <c r="J44" i="58"/>
  <c r="I44" i="58"/>
  <c r="K44" i="58"/>
  <c r="AD35" i="61"/>
  <c r="AE35" i="61" s="1"/>
  <c r="AB35" i="61"/>
  <c r="AF29" i="61"/>
  <c r="AI29" i="61"/>
  <c r="M64" i="58"/>
  <c r="L65" i="58"/>
  <c r="M65" i="58" s="1"/>
  <c r="AF31" i="61"/>
  <c r="AI31" i="61"/>
  <c r="AB5" i="61"/>
  <c r="AD5" i="61"/>
  <c r="AE5" i="61" s="1"/>
  <c r="AB16" i="61"/>
  <c r="AD16" i="61"/>
  <c r="AE16" i="61" s="1"/>
  <c r="V40" i="61"/>
  <c r="Y40" i="61"/>
  <c r="AB39" i="61"/>
  <c r="AD39" i="61"/>
  <c r="AE39" i="61" s="1"/>
  <c r="AD23" i="61"/>
  <c r="AE23" i="61" s="1"/>
  <c r="AB23" i="61"/>
  <c r="AD25" i="61"/>
  <c r="AE25" i="61" s="1"/>
  <c r="AB25" i="61"/>
  <c r="AF40" i="61"/>
  <c r="AI40" i="61"/>
  <c r="V19" i="61"/>
  <c r="Y19" i="61"/>
  <c r="AB12" i="61"/>
  <c r="AD12" i="61"/>
  <c r="AE12" i="61" s="1"/>
  <c r="AF7" i="61"/>
  <c r="AI7" i="61"/>
  <c r="H12" i="58"/>
  <c r="J12" i="58"/>
  <c r="I12" i="58"/>
  <c r="K12" i="58"/>
  <c r="AB37" i="61"/>
  <c r="AD37" i="61"/>
  <c r="AE37" i="61" s="1"/>
  <c r="V29" i="61"/>
  <c r="Y29" i="61"/>
  <c r="H50" i="58"/>
  <c r="J50" i="58"/>
  <c r="I50" i="58"/>
  <c r="K50" i="58"/>
  <c r="AD28" i="61"/>
  <c r="AE28" i="61" s="1"/>
  <c r="AB28" i="61"/>
  <c r="G51" i="58"/>
  <c r="E52" i="58"/>
  <c r="H32" i="58"/>
  <c r="J32" i="58"/>
  <c r="K32" i="58"/>
  <c r="I32" i="58"/>
  <c r="M25" i="58"/>
  <c r="L26" i="58"/>
  <c r="M26" i="58" s="1"/>
  <c r="AD17" i="61"/>
  <c r="AE17" i="61" s="1"/>
  <c r="AB17" i="61"/>
  <c r="AD18" i="61"/>
  <c r="AE18" i="61" s="1"/>
  <c r="AB18" i="61"/>
  <c r="AB8" i="61"/>
  <c r="AD8" i="61"/>
  <c r="AE8" i="61" s="1"/>
  <c r="L71" i="58"/>
  <c r="M71" i="58" s="1"/>
  <c r="M70" i="58"/>
  <c r="V7" i="61"/>
  <c r="Y7" i="61"/>
  <c r="E14" i="58"/>
  <c r="G13" i="58"/>
  <c r="L13" i="58"/>
  <c r="M13" i="58" s="1"/>
  <c r="AD9" i="61"/>
  <c r="AE9" i="61" s="1"/>
  <c r="AB9" i="61"/>
  <c r="AB30" i="61"/>
  <c r="AD30" i="61"/>
  <c r="AE30" i="61" s="1"/>
  <c r="AF19" i="61"/>
  <c r="AI19" i="61"/>
  <c r="AB33" i="61"/>
  <c r="AD33" i="61"/>
  <c r="AE33" i="61" s="1"/>
  <c r="AB13" i="61"/>
  <c r="AD13" i="61"/>
  <c r="AE13" i="61" s="1"/>
  <c r="M33" i="58"/>
  <c r="L34" i="58"/>
  <c r="J38" i="58"/>
  <c r="H38" i="58"/>
  <c r="I38" i="58"/>
  <c r="K38" i="58"/>
  <c r="AD27" i="61"/>
  <c r="AE27" i="61" s="1"/>
  <c r="AB27" i="61"/>
  <c r="AB20" i="61"/>
  <c r="AD20" i="61"/>
  <c r="AE20" i="61" s="1"/>
  <c r="AF33" i="61" l="1"/>
  <c r="AI33" i="61"/>
  <c r="V18" i="61"/>
  <c r="Y18" i="61"/>
  <c r="M34" i="58"/>
  <c r="L35" i="58"/>
  <c r="AF17" i="61"/>
  <c r="AI17" i="61"/>
  <c r="V25" i="61"/>
  <c r="Y25" i="61"/>
  <c r="S18" i="5"/>
  <c r="V34" i="61"/>
  <c r="Y34" i="61"/>
  <c r="V20" i="61"/>
  <c r="Y20" i="61"/>
  <c r="V30" i="61"/>
  <c r="Y30" i="61"/>
  <c r="I51" i="58"/>
  <c r="K51" i="58"/>
  <c r="J51" i="58"/>
  <c r="H51" i="58"/>
  <c r="AF25" i="61"/>
  <c r="AI25" i="61"/>
  <c r="V16" i="61"/>
  <c r="Y16" i="61"/>
  <c r="U18" i="5"/>
  <c r="AF32" i="61"/>
  <c r="AI32" i="61"/>
  <c r="M40" i="58"/>
  <c r="L41" i="58"/>
  <c r="V33" i="61"/>
  <c r="Y33" i="61"/>
  <c r="E53" i="58"/>
  <c r="G52" i="58"/>
  <c r="V27" i="61"/>
  <c r="Y27" i="61"/>
  <c r="AF13" i="61"/>
  <c r="AI13" i="61"/>
  <c r="V9" i="61"/>
  <c r="Y9" i="61"/>
  <c r="V28" i="61"/>
  <c r="Y28" i="61"/>
  <c r="AF37" i="61"/>
  <c r="AI37" i="61"/>
  <c r="AF12" i="61"/>
  <c r="AI12" i="61"/>
  <c r="V23" i="61"/>
  <c r="Y23" i="61"/>
  <c r="AF5" i="61"/>
  <c r="AI5" i="61"/>
  <c r="V35" i="61"/>
  <c r="Y35" i="61"/>
  <c r="P18" i="5"/>
  <c r="M30" i="58"/>
  <c r="L31" i="58"/>
  <c r="V32" i="61"/>
  <c r="Y32" i="61"/>
  <c r="I39" i="58"/>
  <c r="K39" i="58"/>
  <c r="J39" i="58"/>
  <c r="H39" i="58"/>
  <c r="K13" i="58"/>
  <c r="I13" i="58"/>
  <c r="H13" i="58"/>
  <c r="J13" i="58"/>
  <c r="AF20" i="61"/>
  <c r="AI20" i="61"/>
  <c r="AF30" i="61"/>
  <c r="AI30" i="61"/>
  <c r="AF16" i="61"/>
  <c r="AI16" i="61"/>
  <c r="AF27" i="61"/>
  <c r="AI27" i="61"/>
  <c r="V13" i="61"/>
  <c r="Y13" i="61"/>
  <c r="AF9" i="61"/>
  <c r="AI9" i="61"/>
  <c r="AF8" i="61"/>
  <c r="AI8" i="61"/>
  <c r="AF28" i="61"/>
  <c r="AI28" i="61"/>
  <c r="V37" i="61"/>
  <c r="Y37" i="61"/>
  <c r="V12" i="61"/>
  <c r="Y12" i="61"/>
  <c r="AF23" i="61"/>
  <c r="AI23" i="61"/>
  <c r="V5" i="61"/>
  <c r="Y5" i="61"/>
  <c r="AF35" i="61"/>
  <c r="AI35" i="61"/>
  <c r="V11" i="61"/>
  <c r="Y11" i="61"/>
  <c r="V8" i="61"/>
  <c r="Y8" i="61"/>
  <c r="AF39" i="61"/>
  <c r="AI39" i="61"/>
  <c r="R18" i="5"/>
  <c r="M46" i="58"/>
  <c r="L47" i="58"/>
  <c r="AF11" i="61"/>
  <c r="AI11" i="61"/>
  <c r="Q18" i="5"/>
  <c r="L14" i="58"/>
  <c r="M14" i="58" s="1"/>
  <c r="E15" i="58"/>
  <c r="G14" i="58"/>
  <c r="T18" i="5"/>
  <c r="I45" i="58"/>
  <c r="H45" i="58"/>
  <c r="J45" i="58"/>
  <c r="K45" i="58"/>
  <c r="AF22" i="61"/>
  <c r="AI22" i="61"/>
  <c r="V39" i="61"/>
  <c r="Y39" i="61"/>
  <c r="AF18" i="61"/>
  <c r="AI18" i="61"/>
  <c r="V17" i="61"/>
  <c r="Y17" i="61"/>
  <c r="AF34" i="61"/>
  <c r="AI34" i="61"/>
  <c r="L92" i="58"/>
  <c r="M91" i="58"/>
  <c r="V22" i="61"/>
  <c r="Y22" i="61"/>
  <c r="M35" i="58" l="1"/>
  <c r="L36" i="58"/>
  <c r="H52" i="58"/>
  <c r="J52" i="58"/>
  <c r="I52" i="58"/>
  <c r="K52" i="58"/>
  <c r="L15" i="58"/>
  <c r="M15" i="58" s="1"/>
  <c r="G15" i="58"/>
  <c r="E16" i="58"/>
  <c r="M31" i="58"/>
  <c r="L32" i="58"/>
  <c r="M32" i="58" s="1"/>
  <c r="G53" i="58"/>
  <c r="E54" i="58"/>
  <c r="M41" i="58"/>
  <c r="L42" i="58"/>
  <c r="L93" i="58"/>
  <c r="M92" i="58"/>
  <c r="M47" i="58"/>
  <c r="L48" i="58"/>
  <c r="J14" i="58"/>
  <c r="H14" i="58"/>
  <c r="I14" i="58"/>
  <c r="K14" i="58"/>
  <c r="V18" i="5"/>
  <c r="W18" i="5" s="1"/>
  <c r="E55" i="58" l="1"/>
  <c r="G54" i="58"/>
  <c r="I15" i="58"/>
  <c r="K15" i="58"/>
  <c r="H15" i="58"/>
  <c r="J15" i="58"/>
  <c r="M36" i="58"/>
  <c r="L37" i="58"/>
  <c r="M42" i="58"/>
  <c r="L43" i="58"/>
  <c r="M48" i="58"/>
  <c r="L49" i="58"/>
  <c r="I53" i="58"/>
  <c r="H53" i="58"/>
  <c r="J53" i="58"/>
  <c r="K53" i="58"/>
  <c r="Z18" i="5"/>
  <c r="AA18" i="5"/>
  <c r="AB18" i="5"/>
  <c r="AC18" i="5"/>
  <c r="AD18" i="5"/>
  <c r="X18" i="5"/>
  <c r="Y18" i="5"/>
  <c r="M93" i="58"/>
  <c r="L94" i="58"/>
  <c r="L16" i="58"/>
  <c r="M16" i="58" s="1"/>
  <c r="E17" i="58"/>
  <c r="G16" i="58"/>
  <c r="AE18" i="5" l="1"/>
  <c r="M49" i="58"/>
  <c r="L50" i="58"/>
  <c r="H54" i="58"/>
  <c r="I54" i="58"/>
  <c r="J54" i="58"/>
  <c r="K54" i="58"/>
  <c r="G55" i="58"/>
  <c r="L56" i="58"/>
  <c r="H16" i="58"/>
  <c r="J16" i="58"/>
  <c r="K16" i="58"/>
  <c r="I16" i="58"/>
  <c r="G17" i="58"/>
  <c r="L17" i="58"/>
  <c r="M17" i="58" s="1"/>
  <c r="E18" i="58"/>
  <c r="E19" i="5"/>
  <c r="A19" i="5" s="1"/>
  <c r="C19" i="5" s="1"/>
  <c r="G19" i="5" s="1"/>
  <c r="M43" i="58"/>
  <c r="L44" i="58"/>
  <c r="L95" i="58"/>
  <c r="M94" i="58"/>
  <c r="M37" i="58"/>
  <c r="L38" i="58"/>
  <c r="M38" i="58" l="1"/>
  <c r="L39" i="58"/>
  <c r="M39" i="58" s="1"/>
  <c r="I17" i="58"/>
  <c r="J17" i="58"/>
  <c r="K17" i="58"/>
  <c r="H17" i="58"/>
  <c r="M95" i="58"/>
  <c r="L96" i="58"/>
  <c r="M44" i="58"/>
  <c r="L45" i="58"/>
  <c r="M45" i="58" s="1"/>
  <c r="M50" i="58"/>
  <c r="L51" i="58"/>
  <c r="K55" i="58"/>
  <c r="I55" i="58"/>
  <c r="J55" i="58"/>
  <c r="H55" i="58"/>
  <c r="N19" i="5"/>
  <c r="O19" i="5"/>
  <c r="M19" i="5"/>
  <c r="J19" i="5"/>
  <c r="I19" i="5"/>
  <c r="H20" i="5" s="1"/>
  <c r="K19" i="5"/>
  <c r="L19" i="5"/>
  <c r="M56" i="58"/>
  <c r="L57" i="58"/>
  <c r="E19" i="58"/>
  <c r="L18" i="58"/>
  <c r="M18" i="58" s="1"/>
  <c r="G18" i="58"/>
  <c r="Q19" i="5" l="1"/>
  <c r="R19" i="5"/>
  <c r="P19" i="5"/>
  <c r="M96" i="58"/>
  <c r="L97" i="58"/>
  <c r="G19" i="58"/>
  <c r="L19" i="58"/>
  <c r="M19" i="58" s="1"/>
  <c r="L20" i="58"/>
  <c r="S19" i="5"/>
  <c r="M51" i="58"/>
  <c r="L52" i="58"/>
  <c r="H18" i="58"/>
  <c r="I18" i="58"/>
  <c r="J18" i="58"/>
  <c r="K18" i="58"/>
  <c r="U19" i="5"/>
  <c r="M57" i="58"/>
  <c r="L58" i="58"/>
  <c r="M58" i="58" s="1"/>
  <c r="T19" i="5"/>
  <c r="M52" i="58" l="1"/>
  <c r="L53" i="58"/>
  <c r="V19" i="5"/>
  <c r="W19" i="5" s="1"/>
  <c r="M20" i="58"/>
  <c r="L21" i="58"/>
  <c r="H19" i="58"/>
  <c r="I19" i="58"/>
  <c r="K19" i="58"/>
  <c r="J19" i="58"/>
  <c r="M97" i="58"/>
  <c r="L98" i="58"/>
  <c r="M21" i="58" l="1"/>
  <c r="L22" i="58"/>
  <c r="M22" i="58" s="1"/>
  <c r="M98" i="58"/>
  <c r="L99" i="58"/>
  <c r="AD19" i="5"/>
  <c r="X19" i="5"/>
  <c r="Y19" i="5"/>
  <c r="Z19" i="5"/>
  <c r="AB19" i="5"/>
  <c r="AC19" i="5"/>
  <c r="AA19" i="5"/>
  <c r="M53" i="58"/>
  <c r="L54" i="58"/>
  <c r="AE19" i="5" l="1"/>
  <c r="M54" i="58"/>
  <c r="L55" i="58"/>
  <c r="M55" i="58" s="1"/>
  <c r="M99" i="58"/>
  <c r="L100" i="58"/>
  <c r="E20" i="5"/>
  <c r="A20" i="5" s="1"/>
  <c r="C20" i="5" s="1"/>
  <c r="G20" i="5" s="1"/>
  <c r="K20" i="5" l="1"/>
  <c r="N20" i="5"/>
  <c r="L20" i="5"/>
  <c r="J20" i="5"/>
  <c r="M20" i="5"/>
  <c r="O20" i="5"/>
  <c r="I20" i="5"/>
  <c r="H21" i="5" s="1"/>
  <c r="M100" i="58"/>
  <c r="L101" i="58"/>
  <c r="U20" i="5" l="1"/>
  <c r="M101" i="58"/>
  <c r="L102" i="58"/>
  <c r="S20" i="5"/>
  <c r="P20" i="5"/>
  <c r="R20" i="5"/>
  <c r="T20" i="5"/>
  <c r="Q20" i="5"/>
  <c r="M102" i="58" l="1"/>
  <c r="L103" i="58"/>
  <c r="V20" i="5"/>
  <c r="W20" i="5" s="1"/>
  <c r="Z20" i="5" l="1"/>
  <c r="AA20" i="5"/>
  <c r="AB20" i="5"/>
  <c r="AC20" i="5"/>
  <c r="AD20" i="5"/>
  <c r="X20" i="5"/>
  <c r="Y20" i="5"/>
  <c r="M103" i="58"/>
  <c r="L104" i="58"/>
  <c r="AE20" i="5" l="1"/>
  <c r="E21" i="5"/>
  <c r="A21" i="5" s="1"/>
  <c r="C21" i="5" s="1"/>
  <c r="G21" i="5" s="1"/>
  <c r="M104" i="58"/>
  <c r="L105" i="58"/>
  <c r="M105" i="58" l="1"/>
  <c r="L106" i="58"/>
  <c r="O21" i="5"/>
  <c r="L21" i="5"/>
  <c r="N21" i="5"/>
  <c r="I21" i="5"/>
  <c r="H22" i="5" s="1"/>
  <c r="M21" i="5"/>
  <c r="K21" i="5"/>
  <c r="J21" i="5"/>
  <c r="T21" i="5" l="1"/>
  <c r="U21" i="5"/>
  <c r="P21" i="5"/>
  <c r="V21" i="5" s="1"/>
  <c r="W21" i="5" s="1"/>
  <c r="S21" i="5"/>
  <c r="R21" i="5"/>
  <c r="M106" i="58"/>
  <c r="L107" i="58"/>
  <c r="Q21" i="5"/>
  <c r="AD21" i="5" l="1"/>
  <c r="X21" i="5"/>
  <c r="Y21" i="5"/>
  <c r="Z21" i="5"/>
  <c r="AB21" i="5"/>
  <c r="AC21" i="5"/>
  <c r="AA21" i="5"/>
  <c r="E22" i="5" s="1"/>
  <c r="A22" i="5" s="1"/>
  <c r="M107" i="58"/>
  <c r="L108" i="58"/>
  <c r="M108" i="58" l="1"/>
  <c r="L109" i="58"/>
  <c r="AE21" i="5"/>
  <c r="C22" i="5" s="1"/>
  <c r="G22" i="5" s="1"/>
  <c r="N22" i="5" l="1"/>
  <c r="I22" i="5"/>
  <c r="H23" i="5" s="1"/>
  <c r="L22" i="5"/>
  <c r="O22" i="5"/>
  <c r="K22" i="5"/>
  <c r="M22" i="5"/>
  <c r="J22" i="5"/>
  <c r="M109" i="58"/>
  <c r="L110" i="58"/>
  <c r="P22" i="5" l="1"/>
  <c r="S22" i="5"/>
  <c r="Q22" i="5"/>
  <c r="U22" i="5"/>
  <c r="R22" i="5"/>
  <c r="L111" i="58"/>
  <c r="M110" i="58"/>
  <c r="T22" i="5"/>
  <c r="L112" i="58" l="1"/>
  <c r="M111" i="58"/>
  <c r="V22" i="5"/>
  <c r="W22" i="5" s="1"/>
  <c r="Z22" i="5" l="1"/>
  <c r="AA22" i="5"/>
  <c r="AB22" i="5"/>
  <c r="AC22" i="5"/>
  <c r="AD22" i="5"/>
  <c r="X22" i="5"/>
  <c r="Y22" i="5"/>
  <c r="L113" i="58"/>
  <c r="M112" i="58"/>
  <c r="M113" i="58" l="1"/>
  <c r="L114" i="58"/>
  <c r="E23" i="5"/>
  <c r="A23" i="5" s="1"/>
  <c r="C23" i="5" s="1"/>
  <c r="G23" i="5" s="1"/>
  <c r="AE22" i="5"/>
  <c r="I23" i="5" l="1"/>
  <c r="H24" i="5" s="1"/>
  <c r="J23" i="5"/>
  <c r="L23" i="5"/>
  <c r="N23" i="5"/>
  <c r="M23" i="5"/>
  <c r="K23" i="5"/>
  <c r="O23" i="5"/>
  <c r="M114" i="58"/>
  <c r="L115" i="58"/>
  <c r="U23" i="5" l="1"/>
  <c r="R23" i="5"/>
  <c r="Q23" i="5"/>
  <c r="S23" i="5"/>
  <c r="T23" i="5"/>
  <c r="P23" i="5"/>
  <c r="M115" i="58"/>
  <c r="L116" i="58"/>
  <c r="V23" i="5" l="1"/>
  <c r="W23" i="5" s="1"/>
  <c r="M116" i="58"/>
  <c r="L117" i="58"/>
  <c r="M117" i="58" l="1"/>
  <c r="L118" i="58"/>
  <c r="AD23" i="5"/>
  <c r="X23" i="5"/>
  <c r="Y23" i="5"/>
  <c r="Z23" i="5"/>
  <c r="AB23" i="5"/>
  <c r="AC23" i="5"/>
  <c r="AA23" i="5"/>
  <c r="AE23" i="5" l="1"/>
  <c r="M118" i="58"/>
  <c r="L119" i="58"/>
  <c r="E24" i="5"/>
  <c r="A24" i="5" s="1"/>
  <c r="C24" i="5" s="1"/>
  <c r="G24" i="5" s="1"/>
  <c r="M119" i="58" l="1"/>
  <c r="L120" i="58"/>
  <c r="N24" i="5"/>
  <c r="O24" i="5"/>
  <c r="L24" i="5"/>
  <c r="J24" i="5"/>
  <c r="K24" i="5"/>
  <c r="M24" i="5"/>
  <c r="I24" i="5"/>
  <c r="H25" i="5" s="1"/>
  <c r="Q24" i="5" l="1"/>
  <c r="S24" i="5"/>
  <c r="T24" i="5"/>
  <c r="M120" i="58"/>
  <c r="L121" i="58"/>
  <c r="P24" i="5"/>
  <c r="R24" i="5"/>
  <c r="U24" i="5"/>
  <c r="M121" i="58" l="1"/>
  <c r="L122" i="58"/>
  <c r="V24" i="5"/>
  <c r="W24" i="5" s="1"/>
  <c r="Z24" i="5" l="1"/>
  <c r="AA24" i="5"/>
  <c r="AB24" i="5"/>
  <c r="AC24" i="5"/>
  <c r="AD24" i="5"/>
  <c r="X24" i="5"/>
  <c r="Y24" i="5"/>
  <c r="M122" i="58"/>
  <c r="L123" i="58"/>
  <c r="E25" i="5" l="1"/>
  <c r="A25" i="5" s="1"/>
  <c r="C25" i="5" s="1"/>
  <c r="G25" i="5" s="1"/>
  <c r="AE24" i="5"/>
  <c r="M123" i="58"/>
  <c r="L124" i="58"/>
  <c r="M124" i="58" l="1"/>
  <c r="L125" i="58"/>
  <c r="J25" i="5"/>
  <c r="K25" i="5"/>
  <c r="M25" i="5"/>
  <c r="L25" i="5"/>
  <c r="O25" i="5"/>
  <c r="I25" i="5"/>
  <c r="H26" i="5" s="1"/>
  <c r="N25" i="5"/>
  <c r="R25" i="5" l="1"/>
  <c r="P25" i="5"/>
  <c r="M125" i="58"/>
  <c r="L126" i="58"/>
  <c r="U25" i="5"/>
  <c r="S25" i="5"/>
  <c r="Q25" i="5"/>
  <c r="T25" i="5"/>
  <c r="M126" i="58" l="1"/>
  <c r="L127" i="58"/>
  <c r="V25" i="5"/>
  <c r="W25" i="5" s="1"/>
  <c r="AD25" i="5" l="1"/>
  <c r="X25" i="5"/>
  <c r="Y25" i="5"/>
  <c r="Z25" i="5"/>
  <c r="AB25" i="5"/>
  <c r="AC25" i="5"/>
  <c r="AA25" i="5"/>
  <c r="E26" i="5" s="1"/>
  <c r="A26" i="5" s="1"/>
  <c r="C26" i="5" s="1"/>
  <c r="G26" i="5" s="1"/>
  <c r="M127" i="58"/>
  <c r="L128" i="58"/>
  <c r="L26" i="5" l="1"/>
  <c r="O26" i="5"/>
  <c r="M26" i="5"/>
  <c r="J26" i="5"/>
  <c r="K26" i="5"/>
  <c r="N26" i="5"/>
  <c r="I26" i="5"/>
  <c r="H27" i="5" s="1"/>
  <c r="M128" i="58"/>
  <c r="L129" i="58"/>
  <c r="AE25" i="5"/>
  <c r="T26" i="5" l="1"/>
  <c r="P26" i="5"/>
  <c r="U26" i="5"/>
  <c r="Q26" i="5"/>
  <c r="S26" i="5"/>
  <c r="M129" i="58"/>
  <c r="L130" i="58"/>
  <c r="R26" i="5"/>
  <c r="V26" i="5" l="1"/>
  <c r="W26" i="5" s="1"/>
  <c r="M130" i="58"/>
  <c r="L131" i="58"/>
  <c r="M131" i="58" l="1"/>
  <c r="L132" i="58"/>
  <c r="Z26" i="5"/>
  <c r="AA26" i="5"/>
  <c r="AB26" i="5"/>
  <c r="AC26" i="5"/>
  <c r="X26" i="5"/>
  <c r="Y26" i="5"/>
  <c r="AD26" i="5"/>
  <c r="E27" i="5" l="1"/>
  <c r="A27" i="5" s="1"/>
  <c r="M132" i="58"/>
  <c r="L133" i="58"/>
  <c r="AE26" i="5"/>
  <c r="M133" i="58" l="1"/>
  <c r="L134" i="58"/>
  <c r="C27" i="5"/>
  <c r="G27" i="5" s="1"/>
  <c r="I27" i="5" l="1"/>
  <c r="H28" i="5" s="1"/>
  <c r="K27" i="5"/>
  <c r="N27" i="5"/>
  <c r="M27" i="5"/>
  <c r="J27" i="5"/>
  <c r="O27" i="5"/>
  <c r="L27" i="5"/>
  <c r="M134" i="58"/>
  <c r="L135" i="58"/>
  <c r="U27" i="5" l="1"/>
  <c r="T27" i="5"/>
  <c r="R27" i="5"/>
  <c r="P27" i="5"/>
  <c r="V27" i="5" s="1"/>
  <c r="W27" i="5" s="1"/>
  <c r="S27" i="5"/>
  <c r="Q27" i="5"/>
  <c r="M135" i="58"/>
  <c r="L136" i="58"/>
  <c r="AD27" i="5" l="1"/>
  <c r="X27" i="5"/>
  <c r="Y27" i="5"/>
  <c r="AC27" i="5"/>
  <c r="Z27" i="5"/>
  <c r="AA27" i="5"/>
  <c r="E28" i="5" s="1"/>
  <c r="A28" i="5" s="1"/>
  <c r="C28" i="5" s="1"/>
  <c r="G28" i="5" s="1"/>
  <c r="AB27" i="5"/>
  <c r="M136" i="58"/>
  <c r="L137" i="58"/>
  <c r="M28" i="5" l="1"/>
  <c r="O28" i="5"/>
  <c r="N28" i="5"/>
  <c r="K28" i="5"/>
  <c r="L28" i="5"/>
  <c r="J28" i="5"/>
  <c r="I28" i="5"/>
  <c r="H29" i="5" s="1"/>
  <c r="M137" i="58"/>
  <c r="L138" i="58"/>
  <c r="AE27" i="5"/>
  <c r="R28" i="5" l="1"/>
  <c r="U28" i="5"/>
  <c r="P28" i="5"/>
  <c r="Q28" i="5"/>
  <c r="T28" i="5"/>
  <c r="M138" i="58"/>
  <c r="L139" i="58"/>
  <c r="S28" i="5"/>
  <c r="V28" i="5" l="1"/>
  <c r="W28" i="5" s="1"/>
  <c r="M139" i="58"/>
  <c r="L140" i="58"/>
  <c r="M140" i="58" l="1"/>
  <c r="L141" i="58"/>
  <c r="Z28" i="5"/>
  <c r="AA28" i="5"/>
  <c r="E29" i="5" s="1"/>
  <c r="AB28" i="5"/>
  <c r="AC28" i="5"/>
  <c r="Y28" i="5"/>
  <c r="X28" i="5"/>
  <c r="AD28" i="5"/>
  <c r="A29" i="5" l="1"/>
  <c r="M141" i="58"/>
  <c r="L142" i="58"/>
  <c r="AE28" i="5"/>
  <c r="M142" i="58" l="1"/>
  <c r="L143" i="58"/>
  <c r="C29" i="5"/>
  <c r="G29" i="5" s="1"/>
  <c r="I29" i="5" l="1"/>
  <c r="H30" i="5" s="1"/>
  <c r="K29" i="5"/>
  <c r="N29" i="5"/>
  <c r="L29" i="5"/>
  <c r="O29" i="5"/>
  <c r="J29" i="5"/>
  <c r="M29" i="5"/>
  <c r="M143" i="58"/>
  <c r="L144" i="58"/>
  <c r="T29" i="5" l="1"/>
  <c r="S29" i="5"/>
  <c r="P29" i="5"/>
  <c r="V29" i="5" s="1"/>
  <c r="W29" i="5" s="1"/>
  <c r="U29" i="5"/>
  <c r="R29" i="5"/>
  <c r="Q29" i="5"/>
  <c r="M144" i="58"/>
  <c r="L145" i="58"/>
  <c r="AD29" i="5" l="1"/>
  <c r="X29" i="5"/>
  <c r="Y29" i="5"/>
  <c r="AC29" i="5"/>
  <c r="Z29" i="5"/>
  <c r="AA29" i="5"/>
  <c r="E30" i="5" s="1"/>
  <c r="A30" i="5" s="1"/>
  <c r="C30" i="5" s="1"/>
  <c r="G30" i="5" s="1"/>
  <c r="AB29" i="5"/>
  <c r="M145" i="58"/>
  <c r="L146" i="58"/>
  <c r="N30" i="5" l="1"/>
  <c r="L30" i="5"/>
  <c r="M30" i="5"/>
  <c r="K30" i="5"/>
  <c r="J30" i="5"/>
  <c r="I30" i="5"/>
  <c r="H31" i="5" s="1"/>
  <c r="O30" i="5"/>
  <c r="M146" i="58"/>
  <c r="L147" i="58"/>
  <c r="AE29" i="5"/>
  <c r="P30" i="5" l="1"/>
  <c r="U30" i="5"/>
  <c r="R30" i="5"/>
  <c r="Q30" i="5"/>
  <c r="S30" i="5"/>
  <c r="L148" i="58"/>
  <c r="M147" i="58"/>
  <c r="T30" i="5"/>
  <c r="M148" i="58" l="1"/>
  <c r="L149" i="58"/>
  <c r="M149" i="58" s="1"/>
  <c r="V30" i="5"/>
  <c r="W30" i="5" s="1"/>
  <c r="Z30" i="5" l="1"/>
  <c r="AA30" i="5"/>
  <c r="AB30" i="5"/>
  <c r="AC30" i="5"/>
  <c r="Y30" i="5"/>
  <c r="X30" i="5"/>
  <c r="AD30" i="5"/>
  <c r="AE30" i="5" s="1"/>
  <c r="E31" i="5" l="1"/>
  <c r="A31" i="5" s="1"/>
  <c r="C31" i="5" s="1"/>
  <c r="G31" i="5" s="1"/>
  <c r="K31" i="5" l="1"/>
  <c r="O31" i="5"/>
  <c r="M31" i="5"/>
  <c r="L31" i="5"/>
  <c r="J31" i="5"/>
  <c r="I31" i="5"/>
  <c r="H32" i="5" s="1"/>
  <c r="N31" i="5"/>
  <c r="T31" i="5" l="1"/>
  <c r="S31" i="5"/>
  <c r="P31" i="5"/>
  <c r="R31" i="5"/>
  <c r="U31" i="5"/>
  <c r="Q31" i="5"/>
  <c r="V31" i="5" l="1"/>
  <c r="W31" i="5" s="1"/>
  <c r="AD31" i="5" l="1"/>
  <c r="Y31" i="5"/>
  <c r="AC31" i="5"/>
  <c r="X31" i="5"/>
  <c r="Z31" i="5"/>
  <c r="AA31" i="5"/>
  <c r="E32" i="5" s="1"/>
  <c r="A32" i="5" s="1"/>
  <c r="C32" i="5" s="1"/>
  <c r="G32" i="5" s="1"/>
  <c r="AB31" i="5"/>
  <c r="N32" i="5" l="1"/>
  <c r="M32" i="5"/>
  <c r="O32" i="5"/>
  <c r="K32" i="5"/>
  <c r="I32" i="5"/>
  <c r="H33" i="5" s="1"/>
  <c r="J32" i="5"/>
  <c r="L32" i="5"/>
  <c r="AE31" i="5"/>
  <c r="R32" i="5" l="1"/>
  <c r="U32" i="5"/>
  <c r="P32" i="5"/>
  <c r="V32" i="5" s="1"/>
  <c r="W32" i="5" s="1"/>
  <c r="Q32" i="5"/>
  <c r="S32" i="5"/>
  <c r="T32" i="5"/>
  <c r="AA32" i="5" l="1"/>
  <c r="AC32" i="5"/>
  <c r="Y32" i="5"/>
  <c r="X32" i="5"/>
  <c r="Z32" i="5"/>
  <c r="AB32" i="5"/>
  <c r="AD32" i="5"/>
  <c r="AE32" i="5" s="1"/>
  <c r="E33" i="5" l="1"/>
  <c r="A33" i="5" s="1"/>
  <c r="C33" i="5" s="1"/>
  <c r="G33" i="5" s="1"/>
  <c r="L33" i="5" l="1"/>
  <c r="K33" i="5"/>
  <c r="O33" i="5"/>
  <c r="M33" i="5"/>
  <c r="N33" i="5"/>
  <c r="J33" i="5"/>
  <c r="I33" i="5"/>
  <c r="H34" i="5" s="1"/>
  <c r="U33" i="5" l="1"/>
  <c r="P33" i="5"/>
  <c r="T33" i="5"/>
  <c r="S33" i="5"/>
  <c r="Q33" i="5"/>
  <c r="R33" i="5"/>
  <c r="V33" i="5" l="1"/>
  <c r="W33" i="5" s="1"/>
  <c r="Y33" i="5" l="1"/>
  <c r="AC33" i="5"/>
  <c r="AD33" i="5"/>
  <c r="X33" i="5"/>
  <c r="Z33" i="5"/>
  <c r="AA33" i="5"/>
  <c r="E34" i="5" s="1"/>
  <c r="A34" i="5" s="1"/>
  <c r="C34" i="5" s="1"/>
  <c r="G34" i="5" s="1"/>
  <c r="AB33" i="5"/>
  <c r="I34" i="5" l="1"/>
  <c r="H35" i="5" s="1"/>
  <c r="K34" i="5"/>
  <c r="O34" i="5"/>
  <c r="J34" i="5"/>
  <c r="N34" i="5"/>
  <c r="M34" i="5"/>
  <c r="L34" i="5"/>
  <c r="AE33" i="5"/>
  <c r="S34" i="5" l="1"/>
  <c r="R34" i="5"/>
  <c r="T34" i="5"/>
  <c r="P34" i="5"/>
  <c r="V34" i="5" s="1"/>
  <c r="W34" i="5" s="1"/>
  <c r="U34" i="5"/>
  <c r="Q34" i="5"/>
  <c r="AA34" i="5" l="1"/>
  <c r="E35" i="5" s="1"/>
  <c r="A35" i="5" s="1"/>
  <c r="AC34" i="5"/>
  <c r="X34" i="5"/>
  <c r="Y34" i="5"/>
  <c r="Z34" i="5"/>
  <c r="AB34" i="5"/>
  <c r="AD34" i="5"/>
  <c r="AE34" i="5" s="1"/>
  <c r="C35" i="5" l="1"/>
  <c r="G35" i="5" s="1"/>
  <c r="O35" i="5" l="1"/>
  <c r="M35" i="5"/>
  <c r="N35" i="5"/>
  <c r="J35" i="5"/>
  <c r="K35" i="5"/>
  <c r="L35" i="5"/>
  <c r="I35" i="5"/>
  <c r="H36" i="5" s="1"/>
  <c r="T35" i="5" l="1"/>
  <c r="R35" i="5"/>
  <c r="Q35" i="5"/>
  <c r="P35" i="5"/>
  <c r="V35" i="5" s="1"/>
  <c r="W35" i="5" s="1"/>
  <c r="S35" i="5"/>
  <c r="U35" i="5"/>
  <c r="Y35" i="5" l="1"/>
  <c r="AA35" i="5"/>
  <c r="AB35" i="5"/>
  <c r="AC35" i="5"/>
  <c r="AD35" i="5"/>
  <c r="X35" i="5"/>
  <c r="Z35" i="5"/>
  <c r="AE35" i="5" l="1"/>
  <c r="E36" i="5"/>
  <c r="A36" i="5" s="1"/>
  <c r="C36" i="5" s="1"/>
  <c r="G36" i="5" s="1"/>
  <c r="I36" i="5" l="1"/>
  <c r="H37" i="5" s="1"/>
  <c r="J36" i="5"/>
  <c r="M36" i="5"/>
  <c r="N36" i="5"/>
  <c r="L36" i="5"/>
  <c r="O36" i="5"/>
  <c r="K36" i="5"/>
  <c r="Q36" i="5" l="1"/>
  <c r="T36" i="5"/>
  <c r="U36" i="5"/>
  <c r="R36" i="5"/>
  <c r="S36" i="5"/>
  <c r="P36" i="5"/>
  <c r="V36" i="5" l="1"/>
  <c r="W36" i="5" s="1"/>
  <c r="AA36" i="5" l="1"/>
  <c r="AC36" i="5"/>
  <c r="X36" i="5"/>
  <c r="Y36" i="5"/>
  <c r="Z36" i="5"/>
  <c r="AB36" i="5"/>
  <c r="AD36" i="5"/>
  <c r="AE36" i="5" s="1"/>
  <c r="E37" i="5" l="1"/>
  <c r="A37" i="5" s="1"/>
  <c r="C37" i="5" s="1"/>
  <c r="G37" i="5" s="1"/>
  <c r="K37" i="5" l="1"/>
  <c r="M37" i="5"/>
  <c r="J37" i="5"/>
  <c r="I37" i="5"/>
  <c r="H38" i="5" s="1"/>
  <c r="L37" i="5"/>
  <c r="N37" i="5"/>
  <c r="O37" i="5"/>
  <c r="U37" i="5" l="1"/>
  <c r="T37" i="5"/>
  <c r="R37" i="5"/>
  <c r="P37" i="5"/>
  <c r="V37" i="5" s="1"/>
  <c r="W37" i="5" s="1"/>
  <c r="S37" i="5"/>
  <c r="Q37" i="5"/>
  <c r="Y37" i="5" l="1"/>
  <c r="X37" i="5"/>
  <c r="Z37" i="5"/>
  <c r="AA37" i="5"/>
  <c r="AB37" i="5"/>
  <c r="AC37" i="5"/>
  <c r="AD37" i="5"/>
  <c r="AE37" i="5" s="1"/>
  <c r="E38" i="5" l="1"/>
  <c r="A38" i="5" s="1"/>
  <c r="C38" i="5" s="1"/>
  <c r="G38" i="5" s="1"/>
  <c r="J38" i="5" l="1"/>
  <c r="O38" i="5"/>
  <c r="M38" i="5"/>
  <c r="I38" i="5"/>
  <c r="H39" i="5" s="1"/>
  <c r="K38" i="5"/>
  <c r="N38" i="5"/>
  <c r="L38" i="5"/>
  <c r="R38" i="5" l="1"/>
  <c r="T38" i="5"/>
  <c r="Q38" i="5"/>
  <c r="S38" i="5"/>
  <c r="U38" i="5"/>
  <c r="P38" i="5"/>
  <c r="V38" i="5" l="1"/>
  <c r="W38" i="5" s="1"/>
  <c r="AA38" i="5" l="1"/>
  <c r="AC38" i="5"/>
  <c r="AB38" i="5"/>
  <c r="AD38" i="5"/>
  <c r="X38" i="5"/>
  <c r="Y38" i="5"/>
  <c r="Z38" i="5"/>
  <c r="AE38" i="5" l="1"/>
  <c r="E39" i="5"/>
  <c r="A39" i="5" s="1"/>
  <c r="C39" i="5" s="1"/>
  <c r="G39" i="5" s="1"/>
  <c r="M39" i="5" l="1"/>
  <c r="L39" i="5"/>
  <c r="O39" i="5"/>
  <c r="I39" i="5"/>
  <c r="H40" i="5" s="1"/>
  <c r="J39" i="5"/>
  <c r="N39" i="5"/>
  <c r="K39" i="5"/>
  <c r="P39" i="5" l="1"/>
  <c r="Q39" i="5"/>
  <c r="T39" i="5"/>
  <c r="U39" i="5"/>
  <c r="R39" i="5"/>
  <c r="S39" i="5"/>
  <c r="V39" i="5" l="1"/>
  <c r="W39" i="5" s="1"/>
  <c r="Y39" i="5" l="1"/>
  <c r="X39" i="5"/>
  <c r="Z39" i="5"/>
  <c r="AA39" i="5"/>
  <c r="AB39" i="5"/>
  <c r="AC39" i="5"/>
  <c r="AD39" i="5"/>
  <c r="AE39" i="5" s="1"/>
  <c r="E40" i="5" l="1"/>
  <c r="A40" i="5" s="1"/>
  <c r="C40" i="5" s="1"/>
  <c r="G40" i="5" s="1"/>
  <c r="C11" i="5" l="1"/>
  <c r="O40" i="5"/>
  <c r="U40" i="5" s="1"/>
  <c r="J40" i="5"/>
  <c r="P40" i="5" s="1"/>
  <c r="K40" i="5"/>
  <c r="Q40" i="5" s="1"/>
  <c r="L40" i="5"/>
  <c r="R40" i="5" s="1"/>
  <c r="M40" i="5"/>
  <c r="S40" i="5" s="1"/>
  <c r="N40" i="5"/>
  <c r="T40" i="5" s="1"/>
  <c r="I40" i="5"/>
  <c r="V40" i="5" l="1"/>
  <c r="W40" i="5" s="1"/>
  <c r="AA40" i="5" l="1"/>
  <c r="X40" i="5"/>
  <c r="Y40" i="5"/>
  <c r="Z40" i="5"/>
  <c r="AB40" i="5"/>
  <c r="AC40" i="5"/>
  <c r="AD40" i="5"/>
  <c r="AE40" i="5" s="1"/>
</calcChain>
</file>

<file path=xl/sharedStrings.xml><?xml version="1.0" encoding="utf-8"?>
<sst xmlns="http://schemas.openxmlformats.org/spreadsheetml/2006/main" count="936" uniqueCount="327">
  <si>
    <t>EXCEL-BASED MRP</t>
  </si>
  <si>
    <t>TABLE OF CONTENTS</t>
  </si>
  <si>
    <t>INTRODUCTION</t>
  </si>
  <si>
    <t>THE BUSINESS</t>
  </si>
  <si>
    <t>DATA FILES:</t>
  </si>
  <si>
    <t>Item Master</t>
  </si>
  <si>
    <t>Supplier Master</t>
  </si>
  <si>
    <t>Bill of Materials (BOM)</t>
  </si>
  <si>
    <t>Purchase Orders</t>
  </si>
  <si>
    <t>FINITE SCHEDULE</t>
  </si>
  <si>
    <t>Production Runs</t>
  </si>
  <si>
    <t>BOM x 3</t>
  </si>
  <si>
    <t>Allocate Inventory</t>
  </si>
  <si>
    <t>Purchase Action Report</t>
  </si>
  <si>
    <t>Inventory Rationing Logic</t>
  </si>
  <si>
    <t>Inventory Rationing Calculations</t>
  </si>
  <si>
    <t>Components Pivot</t>
  </si>
  <si>
    <t>Products Pivot</t>
  </si>
  <si>
    <t>Outline of the Business</t>
  </si>
  <si>
    <t>This example is based in a fictional business that makes and sells shampoo.</t>
  </si>
  <si>
    <t>Product Range</t>
  </si>
  <si>
    <t xml:space="preserve">We are a new business, and the product range is small. We have 2 types of shampoo, Apple Blossom and Fragrant Lemon, and each comes in 3 sizes 100ml, 250ml and 500ml. Our product range is: </t>
  </si>
  <si>
    <t>Code</t>
  </si>
  <si>
    <t>Description</t>
  </si>
  <si>
    <t>Bottles per Carton</t>
  </si>
  <si>
    <t>Forecast Cartons per Week</t>
  </si>
  <si>
    <t>AB100</t>
  </si>
  <si>
    <t>Apple Blossom 100ml</t>
  </si>
  <si>
    <t>AB250</t>
  </si>
  <si>
    <t>Apple Blossom 250ml</t>
  </si>
  <si>
    <t>AB500</t>
  </si>
  <si>
    <t>Apple Blossom 500ml</t>
  </si>
  <si>
    <t>FL100</t>
  </si>
  <si>
    <t>Fragrant Lemon 100ml</t>
  </si>
  <si>
    <t>FL250</t>
  </si>
  <si>
    <t>Fragrant Lemon 250ml</t>
  </si>
  <si>
    <t>FL500</t>
  </si>
  <si>
    <t>Fragrant Lemon 500ml</t>
  </si>
  <si>
    <t>The Process</t>
  </si>
  <si>
    <t>We buy a base shampoo in bulk, pump it into a blending vessel, add either apple or lemon essence to it, stir it, pump it into a holding vessel from where it is fed to the filling line where the bottles are filled, labelled, shrink wrapped 6 together, packed into corrugated cartons, and stacked on pallets.</t>
  </si>
  <si>
    <t>Bill of Materials</t>
  </si>
  <si>
    <t>Glue, shrink wrap and adhesive tape for the cartons are considered to be consumables, and the pallets are hired from a national pallet pool. The minimum that a customer can buy is one carton, so that is the SKU (stock keeping unit).</t>
  </si>
  <si>
    <t>Capacities</t>
  </si>
  <si>
    <t>Blending is quicker than filling, 100ml and 250ml bottles can be filled at 70 per minute, and 500ml bottles at 40 per minute. To change the line from one bottle size to another takes time, but we shall ignore change over times in this example.</t>
  </si>
  <si>
    <t>The item master file contains details of both finished products and raw materials.</t>
  </si>
  <si>
    <t>Unit of Measure</t>
  </si>
  <si>
    <t>Warehouse</t>
  </si>
  <si>
    <t>Supplier</t>
  </si>
  <si>
    <t>Supplier Name</t>
  </si>
  <si>
    <t>Lead Time Days</t>
  </si>
  <si>
    <t>Inventory</t>
  </si>
  <si>
    <t>FP</t>
  </si>
  <si>
    <t>01</t>
  </si>
  <si>
    <t>BS01</t>
  </si>
  <si>
    <t>Base Shampoo</t>
  </si>
  <si>
    <t>litre</t>
  </si>
  <si>
    <t>RM</t>
  </si>
  <si>
    <t>AC01</t>
  </si>
  <si>
    <t>ESA</t>
  </si>
  <si>
    <t>Apple essence</t>
  </si>
  <si>
    <t>CE01</t>
  </si>
  <si>
    <t>ESL</t>
  </si>
  <si>
    <t>Lemon essence</t>
  </si>
  <si>
    <t>BT100</t>
  </si>
  <si>
    <t>Bottle 100ml</t>
  </si>
  <si>
    <t>each</t>
  </si>
  <si>
    <t>BP01</t>
  </si>
  <si>
    <t>BT250</t>
  </si>
  <si>
    <t>Bottle 250ml</t>
  </si>
  <si>
    <t>BT500</t>
  </si>
  <si>
    <t>Bottle 500ml</t>
  </si>
  <si>
    <t>CAPF</t>
  </si>
  <si>
    <t>Flip cap</t>
  </si>
  <si>
    <t>CAPS</t>
  </si>
  <si>
    <t>Screw cap</t>
  </si>
  <si>
    <t>LAB10</t>
  </si>
  <si>
    <t>Label Apple Blossom 100ml</t>
  </si>
  <si>
    <t>DP01</t>
  </si>
  <si>
    <t>LAB25</t>
  </si>
  <si>
    <t>Label Apple Blossom 250ml</t>
  </si>
  <si>
    <t>LAB50</t>
  </si>
  <si>
    <t>Label Apple Blossom 500ml</t>
  </si>
  <si>
    <t>LFL10</t>
  </si>
  <si>
    <t>Label Fragrant Lemon 100ml</t>
  </si>
  <si>
    <t>LFL25</t>
  </si>
  <si>
    <t>Label Fragrant Lemon 250ml</t>
  </si>
  <si>
    <t>LFL50</t>
  </si>
  <si>
    <t>Label Fragrant Lemon 500ml</t>
  </si>
  <si>
    <t>CARS</t>
  </si>
  <si>
    <t>Carton small</t>
  </si>
  <si>
    <t>EC01</t>
  </si>
  <si>
    <t>CARL</t>
  </si>
  <si>
    <t>Carton large</t>
  </si>
  <si>
    <t>Ace Chemicals</t>
  </si>
  <si>
    <t>Best Plastics</t>
  </si>
  <si>
    <t>Chang Essences</t>
  </si>
  <si>
    <t>Dave's Printing</t>
  </si>
  <si>
    <t>Eduardo Corrugates</t>
  </si>
  <si>
    <t>Product</t>
  </si>
  <si>
    <t>Component</t>
  </si>
  <si>
    <t>Qty</t>
  </si>
  <si>
    <t>Component Description</t>
  </si>
  <si>
    <t>Due in</t>
  </si>
  <si>
    <t>Total</t>
  </si>
  <si>
    <t>Sum of Qty</t>
  </si>
  <si>
    <t>Grand Total</t>
  </si>
  <si>
    <t>Prod</t>
  </si>
  <si>
    <t>Run</t>
  </si>
  <si>
    <t>Prod/Run</t>
  </si>
  <si>
    <t>Production Run Index</t>
  </si>
  <si>
    <t>Qty each</t>
  </si>
  <si>
    <t>Production Qty</t>
  </si>
  <si>
    <t>Component Quantity Required</t>
  </si>
  <si>
    <t>Utilization:</t>
  </si>
  <si>
    <t>Data</t>
  </si>
  <si>
    <t>Make-to-Stock (Inventory) Schedule</t>
  </si>
  <si>
    <t>Start of the first job:</t>
  </si>
  <si>
    <t>Product running now:</t>
  </si>
  <si>
    <t>Quantity committed:</t>
  </si>
  <si>
    <t>Force</t>
  </si>
  <si>
    <t>Idle hours</t>
  </si>
  <si>
    <t>Run hours</t>
  </si>
  <si>
    <t>Start</t>
  </si>
  <si>
    <t>Stop</t>
  </si>
  <si>
    <t>Projected Inventory - units</t>
  </si>
  <si>
    <t>Lowest Cover</t>
  </si>
  <si>
    <t>Offset</t>
  </si>
  <si>
    <t>Next Prod</t>
  </si>
  <si>
    <t>Speed</t>
  </si>
  <si>
    <t>For-cast</t>
  </si>
  <si>
    <t>Min Cover</t>
  </si>
  <si>
    <t>To make</t>
  </si>
  <si>
    <t>Opening stock:</t>
  </si>
  <si>
    <t>Start Date</t>
  </si>
  <si>
    <t>Sum of Component Quantity Required</t>
  </si>
  <si>
    <t>Product/Run</t>
  </si>
  <si>
    <t>FL100/1</t>
  </si>
  <si>
    <t>FL500/1</t>
  </si>
  <si>
    <t>FL250/1</t>
  </si>
  <si>
    <t>AB250/1</t>
  </si>
  <si>
    <t>AB100/1</t>
  </si>
  <si>
    <t>AB500/1</t>
  </si>
  <si>
    <t>FL500/2</t>
  </si>
  <si>
    <t>FL250/2</t>
  </si>
  <si>
    <t>AB250/2</t>
  </si>
  <si>
    <t>AB100/2</t>
  </si>
  <si>
    <t>AB500/2</t>
  </si>
  <si>
    <t>Item Index</t>
  </si>
  <si>
    <t>Balance Remaining</t>
  </si>
  <si>
    <t>Get In</t>
  </si>
  <si>
    <t>On order</t>
  </si>
  <si>
    <t/>
  </si>
  <si>
    <t>(All)</t>
  </si>
  <si>
    <t>Base Shampoo Total</t>
  </si>
  <si>
    <t>Bottle 100ml Total</t>
  </si>
  <si>
    <t>Bottle 250ml Total</t>
  </si>
  <si>
    <t>Bottle 500ml Total</t>
  </si>
  <si>
    <t>Flip cap Total</t>
  </si>
  <si>
    <t>Screw cap Total</t>
  </si>
  <si>
    <t>Apple essence Total</t>
  </si>
  <si>
    <t>Lemon essence Total</t>
  </si>
  <si>
    <t>Label Apple Blossom 100ml Total</t>
  </si>
  <si>
    <t>Label Apple Blossom 250ml Total</t>
  </si>
  <si>
    <t>Label Apple Blossom 500ml Total</t>
  </si>
  <si>
    <t>Label Fragrant Lemon 100ml Total</t>
  </si>
  <si>
    <t>Label Fragrant Lemon 250ml Total</t>
  </si>
  <si>
    <t>Label Fragrant Lemon 500ml Total</t>
  </si>
  <si>
    <t>Carton large Total</t>
  </si>
  <si>
    <t>Carton small Total</t>
  </si>
  <si>
    <t xml:space="preserve"> On order</t>
  </si>
  <si>
    <t xml:space="preserve"> Get In</t>
  </si>
  <si>
    <t>Balance</t>
  </si>
  <si>
    <t>AB500/3</t>
  </si>
  <si>
    <t>FL500/3</t>
  </si>
  <si>
    <t>Speed - cartons per hour</t>
  </si>
  <si>
    <t>Forecast sales - cartons per week</t>
  </si>
  <si>
    <t>Min cover - cartons</t>
  </si>
  <si>
    <t>Max cover - cartons</t>
  </si>
  <si>
    <t>Min cover - weeks</t>
  </si>
  <si>
    <t>Max cover - weeks</t>
  </si>
  <si>
    <t>Projected Cover - weeks</t>
  </si>
  <si>
    <t>Min cartons</t>
  </si>
  <si>
    <t>Max cartons</t>
  </si>
  <si>
    <t>First Pass Calculations</t>
  </si>
  <si>
    <t>Second Pass Calculations</t>
  </si>
  <si>
    <t>Product Sales Forcast per Week</t>
  </si>
  <si>
    <t>Product Inventory</t>
  </si>
  <si>
    <t>Product Inventory Cover Weeks</t>
  </si>
  <si>
    <t>Component Sales Forcast per Week</t>
  </si>
  <si>
    <t>Total Component Sales Forecast</t>
  </si>
  <si>
    <t>Components in Inventory</t>
  </si>
  <si>
    <t>Components in Product Inventory</t>
  </si>
  <si>
    <t>Total Components in Product Inventory</t>
  </si>
  <si>
    <t>Total Average Inventory Cover</t>
  </si>
  <si>
    <t>Product Cover Below Average</t>
  </si>
  <si>
    <t>Min Average Cover</t>
  </si>
  <si>
    <t>Make Weeks</t>
  </si>
  <si>
    <t>Make Product</t>
  </si>
  <si>
    <t>Use Component</t>
  </si>
  <si>
    <t>Total Use Component</t>
  </si>
  <si>
    <t>Product Inventory 2</t>
  </si>
  <si>
    <t>Product Inventory Cover Weeks 2</t>
  </si>
  <si>
    <t>Component Sales Forcast per Week 2</t>
  </si>
  <si>
    <t>Total Component Sales Forecast 2</t>
  </si>
  <si>
    <t>Components in Inventory 2</t>
  </si>
  <si>
    <t>Components in Product Inventory 2</t>
  </si>
  <si>
    <t>Total Components in Product Inventory 2</t>
  </si>
  <si>
    <t>Total Average Inventory Cover 2</t>
  </si>
  <si>
    <t>Product Cover Below Average 2</t>
  </si>
  <si>
    <t>Min Average Cover 2</t>
  </si>
  <si>
    <t>Make Weeks 2</t>
  </si>
  <si>
    <t>Make Product 2</t>
  </si>
  <si>
    <t>Use Component 2</t>
  </si>
  <si>
    <t>Total Use Component 2</t>
  </si>
  <si>
    <t>Components in Inventory 3</t>
  </si>
  <si>
    <t>Make Product 1+2</t>
  </si>
  <si>
    <t>Sum of Component Sales Forcast per Week</t>
  </si>
  <si>
    <t>Sum of Components in Product Inventory</t>
  </si>
  <si>
    <t>Sum of Use Component</t>
  </si>
  <si>
    <t>Sum of Component Sales Forcast per Week 2</t>
  </si>
  <si>
    <t>Sum of Components in Product Inventory 2</t>
  </si>
  <si>
    <t>Sum of Use Component 2</t>
  </si>
  <si>
    <t>Min of Total Average Inventory Cover</t>
  </si>
  <si>
    <t>Min of Total Average Inventory Cover 2</t>
  </si>
  <si>
    <t>Product to make with components in inventory</t>
  </si>
  <si>
    <t>Thank you for downloading this copy of Excel-Based MRP, I hope it will be of use to you.</t>
  </si>
  <si>
    <t>Production-Scheduling.com assists manufacturers to develop their own finite scheduling systems in Excel, and will also custom develop scheduling systems for them. Most of these systems are interfaced to a host MRP/ERP system, which acts as a repository for demand and inventory data, and will perform Material Requirements Planning (MRP1) calculations.</t>
  </si>
  <si>
    <t>However, many clients have approached us to develop MRP within Excel, because either:</t>
  </si>
  <si>
    <t>- they do not have an MRP system, or</t>
  </si>
  <si>
    <t>- having generated scheduled dates within Excel, they are unable to upload them to their MRP system, or</t>
  </si>
  <si>
    <t>carton</t>
  </si>
  <si>
    <t>Bill of Material</t>
  </si>
  <si>
    <t>This schedule is contained in the MRP system, purely to generate a demand for materials.</t>
  </si>
  <si>
    <t>www.production-scheduling.com</t>
  </si>
  <si>
    <t>This is a PivotTable of the Finite Schedule on the previous sheet.</t>
  </si>
  <si>
    <t>For each product, it lists the start time, and numbers each production run.</t>
  </si>
  <si>
    <t>This sheet allows for 3 production runs of each product. The Bill of Materials is repeated 3 times,</t>
  </si>
  <si>
    <t>and the quantities of each component required for each production run, is calculated.</t>
  </si>
  <si>
    <t>The Business</t>
  </si>
  <si>
    <t>Finite Schedule</t>
  </si>
  <si>
    <t>F</t>
  </si>
  <si>
    <t>P</t>
  </si>
  <si>
    <t>Formula link:</t>
  </si>
  <si>
    <t>PivotTable link:</t>
  </si>
  <si>
    <t>This shows the worksheets that have links to other woksheets, either by having formulae</t>
  </si>
  <si>
    <t>that refer to other worksheets, or by having a PivotTable based on a data base in another</t>
  </si>
  <si>
    <t>worksheet.</t>
  </si>
  <si>
    <t>Columns A to D are a PivotTable of the database on BOM x 3, and the rest are formulae.</t>
  </si>
  <si>
    <t>At row 150 there are links to the Purchase Orders worksheet.</t>
  </si>
  <si>
    <t>Here component inventory is allocated to the earliest production runs first.</t>
  </si>
  <si>
    <t>Columns A to F are a PivotTable of the Allocate Inventory worksheet, and G contains</t>
  </si>
  <si>
    <t>Components that will be required after inventory has been exhausted are listed here</t>
  </si>
  <si>
    <t>and compared with components on order.</t>
  </si>
  <si>
    <t>a formula to calculate projected inventory of each component. Negative projected</t>
  </si>
  <si>
    <t>inventory indicates that orders need to be chased or placed to support scheduled</t>
  </si>
  <si>
    <t>production.</t>
  </si>
  <si>
    <t>Table of Links</t>
  </si>
  <si>
    <t>Chained PivotTables</t>
  </si>
  <si>
    <t>Data flows from the Finite Schedule to the Purchase Action Report through a chain of links that includes</t>
  </si>
  <si>
    <t>3 PivotTables:</t>
  </si>
  <si>
    <t>Unlike formulas, PivotTables do not change automatically when the data is changed, they need to be refreshed.</t>
  </si>
  <si>
    <t>You can refresh each PivotTable in turn by right clicking in it, and clicking on Refresh Data.</t>
  </si>
  <si>
    <t>Alternatively you can click on the Refresh All icon</t>
  </si>
  <si>
    <t>which will refresh all the PivotTables in the workbook.</t>
  </si>
  <si>
    <t>Put the Refresh All icon on you toolbar by right clicking on the toolbar, then Cutomise|Commands|Data</t>
  </si>
  <si>
    <t>find the icon and drag it up onto your toolbar</t>
  </si>
  <si>
    <t>You will need to click it 3 times.</t>
  </si>
  <si>
    <t>If you need assistance to adapt the system to your own manufacturing process, please do not hesitate to contact me, Tony Rice at:</t>
  </si>
  <si>
    <t>Production-Scheduling@Mweb.co.za</t>
  </si>
  <si>
    <t>Or visit our web site:</t>
  </si>
  <si>
    <t>www.Production-Scheduling.com</t>
  </si>
  <si>
    <t>The Excel-Based MRP system has the following features:</t>
  </si>
  <si>
    <t>- a single level Bill of Material structure</t>
  </si>
  <si>
    <t>- VBA free, no macros, it is all formulas and PivotTables, and nothing is hidden</t>
  </si>
  <si>
    <t>- demand is generated by a make-to-inventory Finite Schedule, but may also be from another source</t>
  </si>
  <si>
    <t>- a Purchase Action Report identifies purchase orders which must be placed or chased to meet the schedule</t>
  </si>
  <si>
    <t>Why Excel-Based MRP?</t>
  </si>
  <si>
    <t>Contact Us</t>
  </si>
  <si>
    <t>Features</t>
  </si>
  <si>
    <t>Inventory Rationing</t>
  </si>
  <si>
    <t>The last 3 sheets of the system addresses a question that many manufacturers have:</t>
  </si>
  <si>
    <t>"What products should I make with the inventory I have on hand right now?"</t>
  </si>
  <si>
    <t>The system takes into account raw materials that are used by more than one product, and rations the inventory across the products so as to even out the product inventory cover as much as possible.</t>
  </si>
  <si>
    <t>- their MRP systems are just too cumbersome and unresponsive</t>
  </si>
  <si>
    <t>TABLE OF LINKS</t>
  </si>
  <si>
    <t>MRP CALCULATIONS:</t>
  </si>
  <si>
    <t>INVENTORY RATIONING:</t>
  </si>
  <si>
    <t>There is one base shampoo, two fragrances, three bottle sizes and six labels. The 100ml and 250ml bottles are fitted with a flip top cap, and the 500ml bottle has a screw cap. The 100ml bottles are packed 48 to a small carton, the 250ml is packed 48 in a large carton and the 500ml uses the same carton but 24 to a carton. Two of the bottle labels are pasted on the carton, one on each end.</t>
  </si>
  <si>
    <t>The logic works as follows:</t>
  </si>
  <si>
    <t xml:space="preserve">- </t>
  </si>
  <si>
    <t>the first job is the "Product running now"</t>
  </si>
  <si>
    <t>it starts at the "Start of the first job"</t>
  </si>
  <si>
    <t>and the "Quantity committed" is specified</t>
  </si>
  <si>
    <t>the duration of the job is calculated from the speed, and shown in the "Run hours" column</t>
  </si>
  <si>
    <t>a separate column for each product records the projected inventory level at the end of each job</t>
  </si>
  <si>
    <t>at the end of each job, the inventory level of one product has risen, and the other four products have fallen</t>
  </si>
  <si>
    <t>the opening inventory is recorded at the top of the columns, and would typically come from an inventory management system</t>
  </si>
  <si>
    <t>the inventory at the end of the job is the opening inventory, less the forecast sales for the duration of the job, plus the production quantity of the job</t>
  </si>
  <si>
    <t>the product with the lowest cover at the end of the job is identified as the next product to be made</t>
  </si>
  <si>
    <t>the quantity to make is that required to increase the inventory level to the maximum, plus sufficient to replenish the amount sold while the job was running</t>
  </si>
  <si>
    <t>the duration of the next job is calculated, and the cycle begins again</t>
  </si>
  <si>
    <t>if the projected inventory level of the lowest cover product is above its minimum, then an idle period is scheduled</t>
  </si>
  <si>
    <t>the duration of the idle period is the time it will take for forecast sales to reduce the inventory to the minimum and trigger the next run</t>
  </si>
  <si>
    <t>You will see from the chart of inventory cover, that the model attempts to keep the inventory of each product between the minimum and maximum.</t>
  </si>
  <si>
    <t>Make-to-Inventory Logic Explained</t>
  </si>
  <si>
    <t>Explanations of the fomulae, and how the system is constructed, is contained in Section 42 of the scheduling tutorial, downloadable from</t>
  </si>
  <si>
    <t>Inventory rationing addresses a question that many manufacturers have:</t>
  </si>
  <si>
    <t>You will see that On the Inventory Rationing Calculation sheet, there are 3 groups of columns:</t>
  </si>
  <si>
    <t>- Bill of Materials</t>
  </si>
  <si>
    <t>- First Pass Calculations</t>
  </si>
  <si>
    <t>- Second Pass Calculations</t>
  </si>
  <si>
    <t>The bill of materials data is repeated in the first 4 columns.</t>
  </si>
  <si>
    <t>The finished product inventory and forecast is used to calculate finished product inventory cover. In other words, how many weeks the finished product inventory will last if sales are according to forecast.</t>
  </si>
  <si>
    <t>Imagine that all the finished products in inventory are broken down to their component parts, and "pooled" by being put back into the raw material warehouse, and added to the component inventory that has not yet been used. The forecast usage of each component is then calculated from the sales forecast of the products they are used on, times the quantity used in each case of product. From this, the average cover of each component is calculated.</t>
  </si>
  <si>
    <t>Finished products which have a cover above the average, then have their components and their forecast eliminated from the calculation, and the average is re-calculated. The quantity of each product that can be made is constrained by the component with the lowest average cover. Components are alloacted to products on that basis, the new projected inventories of products and components are calculated, and the Second Pass Calculations repeat the logic again to determinte what products could be made with the components that are left over.</t>
  </si>
  <si>
    <t>The calculation involves circular, iterative references as follows:</t>
  </si>
  <si>
    <t>After a change, click on the Refresh All icon           several times, until the data stops changing.</t>
  </si>
  <si>
    <t>another bank of six columns expresses the projected inventory level as days of cover</t>
  </si>
  <si>
    <t xml:space="preserve">- inventory of raw material and components is allocated to the earliest scheduled product first, and will be </t>
  </si>
  <si>
    <t>This is a simple example of an MRP system, with a small amount of sample data, but it will also cater for many thousands of records.</t>
  </si>
  <si>
    <t xml:space="preserve">  dynamically re-allocated as the schedule changes</t>
  </si>
  <si>
    <t>http://www.production-scheduling.com</t>
  </si>
  <si>
    <t>This data would typically be stored in a host system, and transferred to Excel via an ODBC link and MS Query.</t>
  </si>
  <si>
    <t>This is a typical structure of a single level bill of materials, describing the relationship between</t>
  </si>
  <si>
    <t>products and components</t>
  </si>
  <si>
    <t>This table lists the components that are on order from the suppliers, and the date they are due to</t>
  </si>
  <si>
    <t>be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</si>
</sst>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_(* \(#,##0\);_(* &quot;-&quot;_);_(@_)"/>
    <numFmt numFmtId="43" formatCode="_(* #,##0.00_);_(* \(#,##0.00\);_(* &quot;-&quot;??_);_(@_)"/>
    <numFmt numFmtId="172" formatCode="0.000"/>
    <numFmt numFmtId="177" formatCode="_(&quot;R&quot;* #,##0_);_(&quot;R&quot;* \(#,##0\);_(&quot;R&quot;* &quot;-&quot;_);_(@_)"/>
    <numFmt numFmtId="178" formatCode="_(&quot;R&quot;* #,##0.00_);_(&quot;R&quot;* \(#,##0.00\);_(&quot;R&quot;* &quot;-&quot;??_);_(@_)"/>
    <numFmt numFmtId="186" formatCode="0.0"/>
    <numFmt numFmtId="189" formatCode="d/m\ h:mm"/>
    <numFmt numFmtId="192" formatCode="#,##0_ ;[Red]\-#,##0\ "/>
  </numFmts>
  <fonts count="20" x14ac:knownFonts="1">
    <font>
      <sz val="10"/>
      <name val="Arial"/>
    </font>
    <font>
      <sz val="10"/>
      <name val="Arial"/>
    </font>
    <font>
      <b/>
      <u/>
      <sz val="12"/>
      <name val="Arial"/>
      <family val="2"/>
    </font>
    <font>
      <b/>
      <u/>
      <sz val="10"/>
      <name val="Arial"/>
      <family val="2"/>
    </font>
    <font>
      <u/>
      <sz val="10"/>
      <name val="Arial"/>
      <family val="2"/>
    </font>
    <font>
      <b/>
      <sz val="10"/>
      <name val="Arial"/>
      <family val="2"/>
    </font>
    <font>
      <u/>
      <sz val="10"/>
      <color indexed="12"/>
      <name val="Arial"/>
    </font>
    <font>
      <sz val="9"/>
      <color indexed="37"/>
      <name val="Arial"/>
      <family val="2"/>
    </font>
    <font>
      <sz val="9"/>
      <color indexed="38"/>
      <name val="Arial"/>
      <family val="2"/>
    </font>
    <font>
      <sz val="9"/>
      <color indexed="33"/>
      <name val="Arial"/>
      <family val="2"/>
    </font>
    <font>
      <sz val="9"/>
      <color indexed="39"/>
      <name val="Arial"/>
      <family val="2"/>
    </font>
    <font>
      <sz val="9"/>
      <color indexed="40"/>
      <name val="Arial"/>
      <family val="2"/>
    </font>
    <font>
      <sz val="9"/>
      <color indexed="53"/>
      <name val="Arial"/>
      <family val="2"/>
    </font>
    <font>
      <sz val="10"/>
      <color indexed="37"/>
      <name val="Arial"/>
      <family val="2"/>
    </font>
    <font>
      <sz val="10"/>
      <color indexed="38"/>
      <name val="Arial"/>
      <family val="2"/>
    </font>
    <font>
      <sz val="10"/>
      <color indexed="33"/>
      <name val="Arial"/>
      <family val="2"/>
    </font>
    <font>
      <sz val="10"/>
      <color indexed="39"/>
      <name val="Arial"/>
      <family val="2"/>
    </font>
    <font>
      <sz val="10"/>
      <color indexed="40"/>
      <name val="Arial"/>
      <family val="2"/>
    </font>
    <font>
      <sz val="10"/>
      <color indexed="53"/>
      <name val="Arial"/>
      <family val="2"/>
    </font>
    <font>
      <b/>
      <sz val="10"/>
      <name val="Arial"/>
    </font>
  </fonts>
  <fills count="2">
    <fill>
      <patternFill patternType="none"/>
    </fill>
    <fill>
      <patternFill patternType="gray125"/>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65"/>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style="thin">
        <color indexed="8"/>
      </right>
      <top style="thin">
        <color indexed="8"/>
      </top>
      <bottom/>
      <diagonal/>
    </border>
    <border>
      <left style="thin">
        <color indexed="8"/>
      </left>
      <right/>
      <top style="thin">
        <color indexed="65"/>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diagonalDown="1">
      <left style="thin">
        <color indexed="64"/>
      </left>
      <right style="thin">
        <color indexed="64"/>
      </right>
      <top style="thin">
        <color indexed="64"/>
      </top>
      <bottom style="thin">
        <color indexed="64"/>
      </bottom>
      <diagonal style="thin">
        <color indexed="64"/>
      </diagonal>
    </border>
    <border>
      <left style="thin">
        <color indexed="8"/>
      </left>
      <right style="thin">
        <color indexed="8"/>
      </right>
      <top/>
      <bottom style="thin">
        <color indexed="8"/>
      </bottom>
      <diagonal/>
    </border>
    <border>
      <left/>
      <right/>
      <top style="thin">
        <color indexed="8"/>
      </top>
      <bottom style="thin">
        <color indexed="8"/>
      </bottom>
      <diagonal/>
    </border>
  </borders>
  <cellStyleXfs count="2">
    <xf numFmtId="0" fontId="0" fillId="0" borderId="0"/>
    <xf numFmtId="0" fontId="6" fillId="0" borderId="0" applyNumberFormat="0" applyFill="0" applyBorder="0" applyAlignment="0" applyProtection="0">
      <alignment vertical="top"/>
      <protection locked="0"/>
    </xf>
  </cellStyleXfs>
  <cellXfs count="140">
    <xf numFmtId="0" fontId="0" fillId="0" borderId="0" xfId="0"/>
    <xf numFmtId="0" fontId="2" fillId="0" borderId="0" xfId="0" applyFont="1" applyAlignment="1">
      <alignment horizontal="centerContinuous"/>
    </xf>
    <xf numFmtId="0" fontId="0" fillId="0" borderId="0" xfId="0" applyAlignment="1">
      <alignment horizontal="centerContinuous"/>
    </xf>
    <xf numFmtId="0" fontId="3" fillId="0" borderId="0" xfId="0" applyFont="1" applyAlignment="1">
      <alignment horizontal="centerContinuous"/>
    </xf>
    <xf numFmtId="0" fontId="3" fillId="0" borderId="0" xfId="0" applyFont="1"/>
    <xf numFmtId="0" fontId="4" fillId="0" borderId="0" xfId="0" applyFont="1"/>
    <xf numFmtId="0" fontId="0" fillId="0" borderId="1" xfId="0" applyBorder="1" applyAlignment="1">
      <alignment horizontal="center" wrapText="1"/>
    </xf>
    <xf numFmtId="0" fontId="0" fillId="0" borderId="0" xfId="0" applyAlignment="1">
      <alignment horizontal="center"/>
    </xf>
    <xf numFmtId="0" fontId="5" fillId="0" borderId="0" xfId="0" applyFont="1" applyAlignment="1">
      <alignment horizontal="center" wrapText="1"/>
    </xf>
    <xf numFmtId="0" fontId="0" fillId="0" borderId="0" xfId="0" quotePrefix="1"/>
    <xf numFmtId="3" fontId="0" fillId="0" borderId="0" xfId="0" applyNumberFormat="1"/>
    <xf numFmtId="0" fontId="5" fillId="0" borderId="0" xfId="0" applyFont="1"/>
    <xf numFmtId="172" fontId="0" fillId="0" borderId="0" xfId="0" applyNumberFormat="1"/>
    <xf numFmtId="15" fontId="0" fillId="0" borderId="0" xfId="0" applyNumberFormat="1"/>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1" xfId="0" applyBorder="1" applyAlignment="1">
      <alignment horizontal="center"/>
    </xf>
    <xf numFmtId="3" fontId="13" fillId="0" borderId="1" xfId="0" applyNumberFormat="1" applyFont="1" applyBorder="1"/>
    <xf numFmtId="3" fontId="14" fillId="0" borderId="1" xfId="0" applyNumberFormat="1" applyFont="1" applyBorder="1"/>
    <xf numFmtId="3" fontId="15" fillId="0" borderId="1" xfId="0" applyNumberFormat="1" applyFont="1" applyBorder="1"/>
    <xf numFmtId="3" fontId="16" fillId="0" borderId="1" xfId="0" applyNumberFormat="1" applyFont="1" applyBorder="1"/>
    <xf numFmtId="3" fontId="17" fillId="0" borderId="1" xfId="0" applyNumberFormat="1" applyFont="1" applyBorder="1"/>
    <xf numFmtId="3" fontId="18" fillId="0" borderId="1" xfId="0" applyNumberFormat="1" applyFont="1" applyBorder="1"/>
    <xf numFmtId="0" fontId="15" fillId="0" borderId="0" xfId="0" applyFont="1"/>
    <xf numFmtId="3" fontId="0" fillId="0" borderId="1" xfId="0" applyNumberFormat="1" applyBorder="1" applyAlignment="1">
      <alignment horizontal="center"/>
    </xf>
    <xf numFmtId="189" fontId="0" fillId="0" borderId="0" xfId="0" applyNumberFormat="1" applyBorder="1"/>
    <xf numFmtId="186" fontId="13" fillId="0" borderId="1" xfId="0" applyNumberFormat="1" applyFont="1" applyBorder="1"/>
    <xf numFmtId="186" fontId="14" fillId="0" borderId="1" xfId="0" applyNumberFormat="1" applyFont="1" applyBorder="1"/>
    <xf numFmtId="186" fontId="15" fillId="0" borderId="1" xfId="0" applyNumberFormat="1" applyFont="1" applyBorder="1"/>
    <xf numFmtId="186" fontId="16" fillId="0" borderId="1" xfId="0" applyNumberFormat="1" applyFont="1" applyBorder="1"/>
    <xf numFmtId="186" fontId="17" fillId="0" borderId="1" xfId="0" applyNumberFormat="1" applyFont="1" applyBorder="1"/>
    <xf numFmtId="186" fontId="18" fillId="0" borderId="1" xfId="0" applyNumberFormat="1" applyFont="1" applyBorder="1"/>
    <xf numFmtId="10" fontId="0" fillId="0" borderId="0" xfId="0" applyNumberFormat="1"/>
    <xf numFmtId="0" fontId="5" fillId="0" borderId="1" xfId="0" applyFont="1" applyBorder="1" applyAlignment="1">
      <alignment horizontal="center" wrapText="1"/>
    </xf>
    <xf numFmtId="0" fontId="5" fillId="0" borderId="1" xfId="0" applyFont="1" applyBorder="1" applyAlignment="1">
      <alignment horizontal="center"/>
    </xf>
    <xf numFmtId="0" fontId="5" fillId="0" borderId="2" xfId="0" applyFont="1" applyBorder="1" applyAlignment="1">
      <alignment horizontal="centerContinuous"/>
    </xf>
    <xf numFmtId="0" fontId="0" fillId="0" borderId="3" xfId="0" applyBorder="1" applyAlignment="1">
      <alignment horizontal="centerContinuous"/>
    </xf>
    <xf numFmtId="0" fontId="15" fillId="0" borderId="3" xfId="0" applyFont="1" applyBorder="1" applyAlignment="1">
      <alignment horizontal="centerContinuous"/>
    </xf>
    <xf numFmtId="0" fontId="0" fillId="0" borderId="4" xfId="0" applyBorder="1" applyAlignment="1">
      <alignment horizontal="centerContinuous"/>
    </xf>
    <xf numFmtId="0" fontId="5" fillId="0" borderId="0" xfId="0" applyFont="1" applyBorder="1" applyAlignment="1">
      <alignment horizontal="center" wrapText="1"/>
    </xf>
    <xf numFmtId="189" fontId="0" fillId="0" borderId="0" xfId="0" applyNumberFormat="1"/>
    <xf numFmtId="2" fontId="13" fillId="0" borderId="1" xfId="0" applyNumberFormat="1" applyFont="1" applyBorder="1"/>
    <xf numFmtId="2" fontId="14" fillId="0" borderId="1" xfId="0" applyNumberFormat="1" applyFont="1" applyBorder="1"/>
    <xf numFmtId="2" fontId="15" fillId="0" borderId="1" xfId="0" applyNumberFormat="1" applyFont="1" applyBorder="1"/>
    <xf numFmtId="2" fontId="16" fillId="0" borderId="1" xfId="0" applyNumberFormat="1" applyFont="1" applyBorder="1"/>
    <xf numFmtId="2" fontId="17" fillId="0" borderId="1" xfId="0" applyNumberFormat="1" applyFont="1" applyBorder="1"/>
    <xf numFmtId="2" fontId="18" fillId="0" borderId="1" xfId="0" applyNumberFormat="1" applyFont="1" applyBorder="1"/>
    <xf numFmtId="2" fontId="0" fillId="0" borderId="0" xfId="0" applyNumberFormat="1"/>
    <xf numFmtId="0" fontId="0" fillId="0" borderId="1" xfId="0" applyBorder="1"/>
    <xf numFmtId="3" fontId="0" fillId="0" borderId="1" xfId="0" applyNumberFormat="1" applyBorder="1"/>
    <xf numFmtId="186" fontId="0" fillId="0" borderId="1" xfId="0" applyNumberFormat="1" applyBorder="1"/>
    <xf numFmtId="189" fontId="0" fillId="0" borderId="1" xfId="0" applyNumberFormat="1" applyBorder="1"/>
    <xf numFmtId="2" fontId="0" fillId="0" borderId="1" xfId="0" applyNumberFormat="1" applyBorder="1"/>
    <xf numFmtId="1" fontId="0" fillId="0" borderId="1" xfId="0" applyNumberFormat="1" applyBorder="1"/>
    <xf numFmtId="0" fontId="0" fillId="0" borderId="0" xfId="0" applyNumberFormat="1"/>
    <xf numFmtId="1" fontId="0" fillId="0" borderId="0" xfId="0" applyNumberFormat="1"/>
    <xf numFmtId="0" fontId="0" fillId="0" borderId="5" xfId="0" applyBorder="1"/>
    <xf numFmtId="0" fontId="0" fillId="0" borderId="6" xfId="0" applyBorder="1"/>
    <xf numFmtId="0" fontId="0" fillId="0" borderId="7" xfId="0" applyBorder="1"/>
    <xf numFmtId="0" fontId="0" fillId="0" borderId="8" xfId="0" pivotButton="1" applyBorder="1"/>
    <xf numFmtId="22" fontId="0" fillId="0" borderId="5" xfId="0" applyNumberFormat="1" applyBorder="1"/>
    <xf numFmtId="0" fontId="0" fillId="0" borderId="7" xfId="0" applyNumberFormat="1" applyBorder="1"/>
    <xf numFmtId="0" fontId="0" fillId="0" borderId="9" xfId="0" applyBorder="1"/>
    <xf numFmtId="22" fontId="0" fillId="0" borderId="10" xfId="0" applyNumberFormat="1" applyBorder="1"/>
    <xf numFmtId="0" fontId="0" fillId="0" borderId="11" xfId="0" applyNumberFormat="1" applyBorder="1"/>
    <xf numFmtId="0" fontId="0" fillId="0" borderId="12" xfId="0" applyBorder="1"/>
    <xf numFmtId="0" fontId="0" fillId="0" borderId="13" xfId="0" applyBorder="1"/>
    <xf numFmtId="0" fontId="0" fillId="0" borderId="8" xfId="0" applyNumberFormat="1" applyBorder="1"/>
    <xf numFmtId="0" fontId="0" fillId="0" borderId="0" xfId="0" applyAlignment="1">
      <alignment horizontal="center" wrapText="1"/>
    </xf>
    <xf numFmtId="15" fontId="0" fillId="0" borderId="5" xfId="0" applyNumberFormat="1" applyBorder="1"/>
    <xf numFmtId="0" fontId="0" fillId="0" borderId="10" xfId="0" applyBorder="1"/>
    <xf numFmtId="0" fontId="0" fillId="0" borderId="8" xfId="0" applyBorder="1"/>
    <xf numFmtId="0" fontId="0" fillId="0" borderId="5" xfId="0" applyBorder="1" applyAlignment="1">
      <alignment horizontal="center" vertical="center"/>
    </xf>
    <xf numFmtId="0" fontId="0" fillId="0" borderId="8" xfId="0" pivotButton="1"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14" fontId="0" fillId="0" borderId="5" xfId="0" applyNumberFormat="1" applyBorder="1" applyAlignment="1">
      <alignment horizontal="center" vertical="center"/>
    </xf>
    <xf numFmtId="3" fontId="0" fillId="0" borderId="5" xfId="0" applyNumberFormat="1" applyBorder="1"/>
    <xf numFmtId="3" fontId="0" fillId="0" borderId="14" xfId="0" applyNumberFormat="1" applyBorder="1"/>
    <xf numFmtId="0" fontId="0" fillId="0" borderId="15" xfId="0" applyBorder="1"/>
    <xf numFmtId="15" fontId="0" fillId="0" borderId="12" xfId="0" applyNumberFormat="1" applyBorder="1"/>
    <xf numFmtId="3" fontId="0" fillId="0" borderId="10" xfId="0" applyNumberFormat="1" applyBorder="1"/>
    <xf numFmtId="3" fontId="0" fillId="0" borderId="16" xfId="0" applyNumberFormat="1" applyBorder="1"/>
    <xf numFmtId="0" fontId="0" fillId="0" borderId="5" xfId="0" applyBorder="1" applyAlignment="1">
      <alignment horizontal="center" vertical="center" textRotation="90" wrapText="1"/>
    </xf>
    <xf numFmtId="3" fontId="0" fillId="0" borderId="5" xfId="0" applyNumberFormat="1" applyBorder="1" applyAlignment="1">
      <alignment vertical="center"/>
    </xf>
    <xf numFmtId="3" fontId="0" fillId="0" borderId="14" xfId="0" applyNumberFormat="1" applyBorder="1" applyAlignment="1">
      <alignment vertical="center"/>
    </xf>
    <xf numFmtId="3" fontId="0" fillId="0" borderId="12" xfId="0" applyNumberFormat="1" applyBorder="1" applyAlignment="1">
      <alignment vertical="center"/>
    </xf>
    <xf numFmtId="3" fontId="0" fillId="0" borderId="17" xfId="0" applyNumberFormat="1" applyBorder="1" applyAlignment="1">
      <alignment vertical="center"/>
    </xf>
    <xf numFmtId="192" fontId="0" fillId="0" borderId="0" xfId="0" applyNumberFormat="1"/>
    <xf numFmtId="0" fontId="0" fillId="0" borderId="2" xfId="0" applyBorder="1" applyAlignment="1">
      <alignment horizontal="centerContinuous"/>
    </xf>
    <xf numFmtId="1" fontId="0" fillId="0" borderId="0" xfId="0" quotePrefix="1" applyNumberFormat="1"/>
    <xf numFmtId="2" fontId="0" fillId="0" borderId="0" xfId="0" quotePrefix="1" applyNumberFormat="1"/>
    <xf numFmtId="0" fontId="0" fillId="0" borderId="0" xfId="0" applyAlignment="1">
      <alignment wrapText="1"/>
    </xf>
    <xf numFmtId="0" fontId="0" fillId="0" borderId="5" xfId="0" applyNumberFormat="1" applyBorder="1"/>
    <xf numFmtId="0" fontId="0" fillId="0" borderId="6" xfId="0" applyNumberFormat="1" applyBorder="1"/>
    <xf numFmtId="0" fontId="0" fillId="0" borderId="14" xfId="0" applyNumberFormat="1" applyBorder="1"/>
    <xf numFmtId="0" fontId="0" fillId="0" borderId="10" xfId="0" applyNumberFormat="1" applyBorder="1"/>
    <xf numFmtId="0" fontId="0" fillId="0" borderId="16" xfId="0" applyNumberFormat="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5" xfId="0" applyBorder="1" applyAlignment="1">
      <alignment horizontal="center" wrapText="1"/>
    </xf>
    <xf numFmtId="0" fontId="0" fillId="0" borderId="8" xfId="0" pivotButton="1" applyBorder="1" applyAlignment="1">
      <alignment horizontal="center" wrapText="1"/>
    </xf>
    <xf numFmtId="0" fontId="0" fillId="0" borderId="10" xfId="0" applyBorder="1" applyAlignment="1">
      <alignment horizontal="center" wrapText="1"/>
    </xf>
    <xf numFmtId="0" fontId="0" fillId="0" borderId="18" xfId="0" applyBorder="1" applyAlignment="1">
      <alignment horizontal="center" wrapText="1"/>
    </xf>
    <xf numFmtId="0" fontId="0" fillId="0" borderId="6" xfId="0" applyBorder="1" applyAlignment="1">
      <alignment horizontal="center" wrapText="1"/>
    </xf>
    <xf numFmtId="0" fontId="0" fillId="0" borderId="14" xfId="0" applyBorder="1" applyAlignment="1">
      <alignment horizontal="center" wrapText="1"/>
    </xf>
    <xf numFmtId="0" fontId="5" fillId="0" borderId="0" xfId="0" applyFont="1" applyAlignment="1">
      <alignment wrapText="1"/>
    </xf>
    <xf numFmtId="0" fontId="6" fillId="0" borderId="0" xfId="1" applyAlignment="1" applyProtection="1"/>
    <xf numFmtId="0" fontId="0" fillId="0" borderId="1" xfId="0" applyBorder="1" applyAlignment="1">
      <alignment horizontal="center" textRotation="90"/>
    </xf>
    <xf numFmtId="0" fontId="0" fillId="0" borderId="21" xfId="0" applyBorder="1"/>
    <xf numFmtId="0" fontId="0" fillId="0" borderId="0" xfId="0" quotePrefix="1" applyAlignment="1">
      <alignment wrapText="1"/>
    </xf>
    <xf numFmtId="0" fontId="0" fillId="0" borderId="0" xfId="0" quotePrefix="1" applyAlignment="1">
      <alignment horizontal="right"/>
    </xf>
    <xf numFmtId="0" fontId="19" fillId="0" borderId="14" xfId="0" applyFont="1" applyBorder="1" applyAlignment="1">
      <alignment horizontal="center" wrapText="1"/>
    </xf>
    <xf numFmtId="0" fontId="19" fillId="0" borderId="14" xfId="0" applyNumberFormat="1" applyFont="1" applyBorder="1" applyAlignment="1">
      <alignment horizontal="center"/>
    </xf>
    <xf numFmtId="0" fontId="19" fillId="0" borderId="16" xfId="0" applyNumberFormat="1" applyFont="1" applyBorder="1" applyAlignment="1">
      <alignment horizontal="center"/>
    </xf>
    <xf numFmtId="0" fontId="19" fillId="0" borderId="20" xfId="0" applyNumberFormat="1" applyFont="1" applyBorder="1" applyAlignment="1">
      <alignment horizontal="center"/>
    </xf>
    <xf numFmtId="0" fontId="0" fillId="0" borderId="0" xfId="0" quotePrefix="1" applyAlignment="1">
      <alignment horizontal="right" vertical="top"/>
    </xf>
    <xf numFmtId="0" fontId="0" fillId="0" borderId="0" xfId="0" applyAlignment="1">
      <alignment vertical="top"/>
    </xf>
    <xf numFmtId="0" fontId="6" fillId="0" borderId="0" xfId="1" applyAlignment="1" applyProtection="1"/>
    <xf numFmtId="0" fontId="0" fillId="0" borderId="0" xfId="0" applyAlignment="1"/>
    <xf numFmtId="0" fontId="0" fillId="0" borderId="0" xfId="0" applyAlignment="1">
      <alignment wrapText="1"/>
    </xf>
    <xf numFmtId="189" fontId="0" fillId="0" borderId="2" xfId="0" applyNumberFormat="1" applyBorder="1" applyAlignment="1">
      <alignment horizontal="center"/>
    </xf>
    <xf numFmtId="0" fontId="0" fillId="0" borderId="4" xfId="0" applyBorder="1" applyAlignment="1">
      <alignment horizontal="center"/>
    </xf>
    <xf numFmtId="0" fontId="0" fillId="0" borderId="5" xfId="0" pivotButton="1" applyBorder="1"/>
    <xf numFmtId="0" fontId="0" fillId="0" borderId="7" xfId="0" applyBorder="1" applyAlignment="1">
      <alignment horizontal="center" vertical="center" textRotation="90" wrapText="1"/>
    </xf>
    <xf numFmtId="0" fontId="0" fillId="0" borderId="22" xfId="0" applyBorder="1" applyAlignment="1">
      <alignment horizontal="center" vertical="center" textRotation="90" wrapText="1"/>
    </xf>
    <xf numFmtId="14" fontId="0" fillId="0" borderId="7" xfId="0" applyNumberFormat="1" applyBorder="1" applyAlignment="1">
      <alignment horizontal="center" vertical="center"/>
    </xf>
    <xf numFmtId="14" fontId="0" fillId="0" borderId="22" xfId="0" applyNumberFormat="1" applyBorder="1" applyAlignment="1">
      <alignment horizontal="center" vertical="center"/>
    </xf>
    <xf numFmtId="0" fontId="0" fillId="0" borderId="12" xfId="0" applyBorder="1" applyAlignment="1">
      <alignment vertical="center"/>
    </xf>
    <xf numFmtId="0" fontId="0" fillId="0" borderId="23" xfId="0" applyBorder="1" applyAlignment="1">
      <alignment vertical="center"/>
    </xf>
    <xf numFmtId="0" fontId="0" fillId="0" borderId="17" xfId="0" applyBorder="1" applyAlignment="1">
      <alignment vertical="center"/>
    </xf>
    <xf numFmtId="0" fontId="0" fillId="0" borderId="11" xfId="0" applyBorder="1" applyAlignment="1">
      <alignment horizontal="center" vertical="center" textRotation="90" wrapText="1"/>
    </xf>
    <xf numFmtId="0" fontId="0" fillId="0" borderId="12" xfId="0"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cellXfs>
  <cellStyles count="2">
    <cellStyle name="Hyperlink" xfId="1" builtinId="8"/>
    <cellStyle name="Normal" xfId="0" builtinId="0"/>
  </cellStyles>
  <dxfs count="14">
    <dxf>
      <alignment horizontal="center" readingOrder="0"/>
    </dxf>
    <dxf>
      <font>
        <b/>
        <family val="2"/>
      </font>
    </dxf>
    <dxf>
      <alignment horizontal="center" wrapText="1" readingOrder="0"/>
    </dxf>
    <dxf>
      <alignment horizontal="center" wrapText="1" readingOrder="0"/>
    </dxf>
    <dxf>
      <border>
        <left/>
        <right style="thin">
          <color indexed="64"/>
        </right>
        <top/>
        <bottom/>
      </border>
    </dxf>
    <dxf>
      <border>
        <right style="thin">
          <color indexed="64"/>
        </right>
        <top style="thin">
          <color indexed="64"/>
        </top>
      </border>
    </dxf>
    <dxf>
      <border>
        <left style="thin">
          <color indexed="64"/>
        </left>
        <right style="thin">
          <color indexed="64"/>
        </right>
        <top style="thin">
          <color indexed="64"/>
        </top>
        <bottom style="thin">
          <color indexed="64"/>
        </bottom>
      </border>
    </dxf>
    <dxf>
      <alignment horizontal="general" vertical="center" readingOrder="0"/>
    </dxf>
    <dxf>
      <alignment textRotation="0" readingOrder="0"/>
    </dxf>
    <dxf>
      <alignment wrapText="0" readingOrder="0"/>
    </dxf>
    <dxf>
      <alignment wrapText="1" readingOrder="0"/>
    </dxf>
    <dxf>
      <alignment wrapText="1" readingOrder="0"/>
    </dxf>
    <dxf>
      <alignment textRotation="90" readingOrder="0"/>
    </dxf>
    <dxf>
      <alignment textRotation="9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Projected Inventory 
Cover</a:t>
            </a:r>
          </a:p>
        </c:rich>
      </c:tx>
      <c:layout>
        <c:manualLayout>
          <c:xMode val="edge"/>
          <c:yMode val="edge"/>
          <c:x val="0.86141297054661159"/>
          <c:y val="9.2968046221470826E-2"/>
        </c:manualLayout>
      </c:layout>
      <c:overlay val="0"/>
      <c:spPr>
        <a:noFill/>
        <a:ln w="3175">
          <a:solidFill>
            <a:srgbClr val="000000"/>
          </a:solidFill>
          <a:prstDash val="solid"/>
        </a:ln>
      </c:spPr>
    </c:title>
    <c:autoTitleDeleted val="0"/>
    <c:plotArea>
      <c:layout>
        <c:manualLayout>
          <c:layoutTarget val="inner"/>
          <c:xMode val="edge"/>
          <c:yMode val="edge"/>
          <c:x val="5.9407791072180111E-2"/>
          <c:y val="5.5278297753306976E-2"/>
          <c:w val="0.78088240931543407"/>
          <c:h val="0.82917446629960467"/>
        </c:manualLayout>
      </c:layout>
      <c:scatterChart>
        <c:scatterStyle val="lineMarker"/>
        <c:varyColors val="0"/>
        <c:ser>
          <c:idx val="5"/>
          <c:order val="0"/>
          <c:tx>
            <c:strRef>
              <c:f>'Finite Schedule'!$J$7</c:f>
              <c:strCache>
                <c:ptCount val="1"/>
                <c:pt idx="0">
                  <c:v>AB100</c:v>
                </c:pt>
              </c:strCache>
            </c:strRef>
          </c:tx>
          <c:spPr>
            <a:ln w="25400">
              <a:solidFill>
                <a:srgbClr val="800000"/>
              </a:solidFill>
              <a:prstDash val="solid"/>
            </a:ln>
          </c:spPr>
          <c:marker>
            <c:symbol val="none"/>
          </c:marker>
          <c:xVal>
            <c:numRef>
              <c:f>'Finite Schedule'!$I$16:$I$40</c:f>
              <c:numCache>
                <c:formatCode>d/m\ h:mm</c:formatCode>
                <c:ptCount val="25"/>
                <c:pt idx="0">
                  <c:v>36599.333333333336</c:v>
                </c:pt>
                <c:pt idx="1">
                  <c:v>36599.359523809529</c:v>
                </c:pt>
                <c:pt idx="2">
                  <c:v>36599.973809523814</c:v>
                </c:pt>
                <c:pt idx="3">
                  <c:v>36600.908333323816</c:v>
                </c:pt>
                <c:pt idx="4">
                  <c:v>36601.202142847622</c:v>
                </c:pt>
                <c:pt idx="5">
                  <c:v>36602.530000147621</c:v>
                </c:pt>
                <c:pt idx="6">
                  <c:v>36603.463333480955</c:v>
                </c:pt>
                <c:pt idx="7">
                  <c:v>36604.598095385714</c:v>
                </c:pt>
                <c:pt idx="8">
                  <c:v>36608.811333085716</c:v>
                </c:pt>
                <c:pt idx="9">
                  <c:v>36609.577523561908</c:v>
                </c:pt>
                <c:pt idx="10">
                  <c:v>36610.472083661909</c:v>
                </c:pt>
                <c:pt idx="11">
                  <c:v>36611.076369376198</c:v>
                </c:pt>
                <c:pt idx="12">
                  <c:v>36611.705833176202</c:v>
                </c:pt>
                <c:pt idx="13">
                  <c:v>36611.999642700008</c:v>
                </c:pt>
                <c:pt idx="14">
                  <c:v>36612.913333100005</c:v>
                </c:pt>
                <c:pt idx="15">
                  <c:v>36613.058095004766</c:v>
                </c:pt>
                <c:pt idx="16">
                  <c:v>36613.963333604763</c:v>
                </c:pt>
                <c:pt idx="17">
                  <c:v>36614.896666938097</c:v>
                </c:pt>
                <c:pt idx="18">
                  <c:v>36615.098333438094</c:v>
                </c:pt>
                <c:pt idx="19">
                  <c:v>36616.203571533333</c:v>
                </c:pt>
                <c:pt idx="20">
                  <c:v>36620.074333533332</c:v>
                </c:pt>
                <c:pt idx="21">
                  <c:v>36620.840524009524</c:v>
                </c:pt>
                <c:pt idx="22">
                  <c:v>36621.575833409523</c:v>
                </c:pt>
                <c:pt idx="23">
                  <c:v>36622.180119123812</c:v>
                </c:pt>
                <c:pt idx="24">
                  <c:v>36622.503333623812</c:v>
                </c:pt>
              </c:numCache>
            </c:numRef>
          </c:xVal>
          <c:yVal>
            <c:numRef>
              <c:f>'Finite Schedule'!$P$16:$P$40</c:f>
              <c:numCache>
                <c:formatCode>0.00</c:formatCode>
                <c:ptCount val="25"/>
                <c:pt idx="0">
                  <c:v>1.8540000000000001</c:v>
                </c:pt>
                <c:pt idx="1">
                  <c:v>1.8502585034013606</c:v>
                </c:pt>
                <c:pt idx="2">
                  <c:v>1.7625034013605441</c:v>
                </c:pt>
                <c:pt idx="3">
                  <c:v>1.6290000013605441</c:v>
                </c:pt>
                <c:pt idx="4">
                  <c:v>1.5870272122448978</c:v>
                </c:pt>
                <c:pt idx="5">
                  <c:v>1.3973333122448979</c:v>
                </c:pt>
                <c:pt idx="6">
                  <c:v>1.2639999789115646</c:v>
                </c:pt>
                <c:pt idx="7">
                  <c:v>1.1018911353741496</c:v>
                </c:pt>
                <c:pt idx="8">
                  <c:v>0.50000003537414961</c:v>
                </c:pt>
                <c:pt idx="9">
                  <c:v>1.9995442530612244</c:v>
                </c:pt>
                <c:pt idx="10">
                  <c:v>1.8717499530612245</c:v>
                </c:pt>
                <c:pt idx="11">
                  <c:v>1.7854234224489796</c:v>
                </c:pt>
                <c:pt idx="12">
                  <c:v>1.6955000224489798</c:v>
                </c:pt>
                <c:pt idx="13">
                  <c:v>1.6535272333333335</c:v>
                </c:pt>
                <c:pt idx="14">
                  <c:v>1.5230000333333336</c:v>
                </c:pt>
                <c:pt idx="15">
                  <c:v>1.5023197612244898</c:v>
                </c:pt>
                <c:pt idx="16">
                  <c:v>1.3729999612244899</c:v>
                </c:pt>
                <c:pt idx="17">
                  <c:v>1.2396666278911566</c:v>
                </c:pt>
                <c:pt idx="18">
                  <c:v>1.2108571278911566</c:v>
                </c:pt>
                <c:pt idx="19">
                  <c:v>1.0529659714285715</c:v>
                </c:pt>
                <c:pt idx="20">
                  <c:v>0.4999999714285715</c:v>
                </c:pt>
                <c:pt idx="21">
                  <c:v>1.9995441891156462</c:v>
                </c:pt>
                <c:pt idx="22">
                  <c:v>1.8944999891156462</c:v>
                </c:pt>
                <c:pt idx="23">
                  <c:v>1.8081734585034015</c:v>
                </c:pt>
                <c:pt idx="24">
                  <c:v>1.7619999585034014</c:v>
                </c:pt>
              </c:numCache>
            </c:numRef>
          </c:yVal>
          <c:smooth val="0"/>
          <c:extLst>
            <c:ext xmlns:c16="http://schemas.microsoft.com/office/drawing/2014/chart" uri="{C3380CC4-5D6E-409C-BE32-E72D297353CC}">
              <c16:uniqueId val="{00000000-1F8B-467B-9118-DB4918E066FF}"/>
            </c:ext>
          </c:extLst>
        </c:ser>
        <c:ser>
          <c:idx val="6"/>
          <c:order val="1"/>
          <c:tx>
            <c:strRef>
              <c:f>'Finite Schedule'!$K$7</c:f>
              <c:strCache>
                <c:ptCount val="1"/>
                <c:pt idx="0">
                  <c:v>AB250</c:v>
                </c:pt>
              </c:strCache>
            </c:strRef>
          </c:tx>
          <c:spPr>
            <a:ln w="25400">
              <a:solidFill>
                <a:srgbClr val="008080"/>
              </a:solidFill>
              <a:prstDash val="solid"/>
            </a:ln>
          </c:spPr>
          <c:marker>
            <c:symbol val="none"/>
          </c:marker>
          <c:xVal>
            <c:numRef>
              <c:f>'Finite Schedule'!$I$16:$I$40</c:f>
              <c:numCache>
                <c:formatCode>d/m\ h:mm</c:formatCode>
                <c:ptCount val="25"/>
                <c:pt idx="0">
                  <c:v>36599.333333333336</c:v>
                </c:pt>
                <c:pt idx="1">
                  <c:v>36599.359523809529</c:v>
                </c:pt>
                <c:pt idx="2">
                  <c:v>36599.973809523814</c:v>
                </c:pt>
                <c:pt idx="3">
                  <c:v>36600.908333323816</c:v>
                </c:pt>
                <c:pt idx="4">
                  <c:v>36601.202142847622</c:v>
                </c:pt>
                <c:pt idx="5">
                  <c:v>36602.530000147621</c:v>
                </c:pt>
                <c:pt idx="6">
                  <c:v>36603.463333480955</c:v>
                </c:pt>
                <c:pt idx="7">
                  <c:v>36604.598095385714</c:v>
                </c:pt>
                <c:pt idx="8">
                  <c:v>36608.811333085716</c:v>
                </c:pt>
                <c:pt idx="9">
                  <c:v>36609.577523561908</c:v>
                </c:pt>
                <c:pt idx="10">
                  <c:v>36610.472083661909</c:v>
                </c:pt>
                <c:pt idx="11">
                  <c:v>36611.076369376198</c:v>
                </c:pt>
                <c:pt idx="12">
                  <c:v>36611.705833176202</c:v>
                </c:pt>
                <c:pt idx="13">
                  <c:v>36611.999642700008</c:v>
                </c:pt>
                <c:pt idx="14">
                  <c:v>36612.913333100005</c:v>
                </c:pt>
                <c:pt idx="15">
                  <c:v>36613.058095004766</c:v>
                </c:pt>
                <c:pt idx="16">
                  <c:v>36613.963333604763</c:v>
                </c:pt>
                <c:pt idx="17">
                  <c:v>36614.896666938097</c:v>
                </c:pt>
                <c:pt idx="18">
                  <c:v>36615.098333438094</c:v>
                </c:pt>
                <c:pt idx="19">
                  <c:v>36616.203571533333</c:v>
                </c:pt>
                <c:pt idx="20">
                  <c:v>36620.074333533332</c:v>
                </c:pt>
                <c:pt idx="21">
                  <c:v>36620.840524009524</c:v>
                </c:pt>
                <c:pt idx="22">
                  <c:v>36621.575833409523</c:v>
                </c:pt>
                <c:pt idx="23">
                  <c:v>36622.180119123812</c:v>
                </c:pt>
                <c:pt idx="24">
                  <c:v>36622.503333623812</c:v>
                </c:pt>
              </c:numCache>
            </c:numRef>
          </c:xVal>
          <c:yVal>
            <c:numRef>
              <c:f>'Finite Schedule'!$Q$16:$Q$40</c:f>
              <c:numCache>
                <c:formatCode>0.00</c:formatCode>
                <c:ptCount val="25"/>
                <c:pt idx="0">
                  <c:v>1.05</c:v>
                </c:pt>
                <c:pt idx="1">
                  <c:v>1.0462585034013605</c:v>
                </c:pt>
                <c:pt idx="2">
                  <c:v>0.95850340136054424</c:v>
                </c:pt>
                <c:pt idx="3">
                  <c:v>0.8250000013605443</c:v>
                </c:pt>
                <c:pt idx="4">
                  <c:v>0.78302721224489802</c:v>
                </c:pt>
                <c:pt idx="5">
                  <c:v>0.59333331224489805</c:v>
                </c:pt>
                <c:pt idx="6">
                  <c:v>0.45999997891156469</c:v>
                </c:pt>
                <c:pt idx="7">
                  <c:v>2.000033992517007</c:v>
                </c:pt>
                <c:pt idx="8">
                  <c:v>1.398142892517007</c:v>
                </c:pt>
                <c:pt idx="9">
                  <c:v>1.2886871102040818</c:v>
                </c:pt>
                <c:pt idx="10">
                  <c:v>1.1608928102040819</c:v>
                </c:pt>
                <c:pt idx="11">
                  <c:v>1.0745662795918369</c:v>
                </c:pt>
                <c:pt idx="12">
                  <c:v>0.98464287959183694</c:v>
                </c:pt>
                <c:pt idx="13">
                  <c:v>0.94267009047619066</c:v>
                </c:pt>
                <c:pt idx="14">
                  <c:v>0.81214289047619059</c:v>
                </c:pt>
                <c:pt idx="15">
                  <c:v>0.79146261836734699</c:v>
                </c:pt>
                <c:pt idx="16">
                  <c:v>0.66214281836734701</c:v>
                </c:pt>
                <c:pt idx="17">
                  <c:v>0.5288094850340137</c:v>
                </c:pt>
                <c:pt idx="18">
                  <c:v>0.49999998503401366</c:v>
                </c:pt>
                <c:pt idx="19">
                  <c:v>1.9999659714285716</c:v>
                </c:pt>
                <c:pt idx="20">
                  <c:v>1.4469999714285717</c:v>
                </c:pt>
                <c:pt idx="21">
                  <c:v>1.3375441891156465</c:v>
                </c:pt>
                <c:pt idx="22">
                  <c:v>1.2324999891156465</c:v>
                </c:pt>
                <c:pt idx="23">
                  <c:v>1.1461734585034016</c:v>
                </c:pt>
                <c:pt idx="24">
                  <c:v>1.0999999585034015</c:v>
                </c:pt>
              </c:numCache>
            </c:numRef>
          </c:yVal>
          <c:smooth val="0"/>
          <c:extLst>
            <c:ext xmlns:c16="http://schemas.microsoft.com/office/drawing/2014/chart" uri="{C3380CC4-5D6E-409C-BE32-E72D297353CC}">
              <c16:uniqueId val="{00000001-1F8B-467B-9118-DB4918E066FF}"/>
            </c:ext>
          </c:extLst>
        </c:ser>
        <c:ser>
          <c:idx val="0"/>
          <c:order val="2"/>
          <c:tx>
            <c:strRef>
              <c:f>'Finite Schedule'!$L$7</c:f>
              <c:strCache>
                <c:ptCount val="1"/>
                <c:pt idx="0">
                  <c:v>AB500</c:v>
                </c:pt>
              </c:strCache>
            </c:strRef>
          </c:tx>
          <c:spPr>
            <a:ln w="12700">
              <a:solidFill>
                <a:srgbClr val="FF00FF"/>
              </a:solidFill>
              <a:prstDash val="solid"/>
            </a:ln>
          </c:spPr>
          <c:marker>
            <c:symbol val="none"/>
          </c:marker>
          <c:xVal>
            <c:numRef>
              <c:f>'Finite Schedule'!$I$16:$I$40</c:f>
              <c:numCache>
                <c:formatCode>d/m\ h:mm</c:formatCode>
                <c:ptCount val="25"/>
                <c:pt idx="0">
                  <c:v>36599.333333333336</c:v>
                </c:pt>
                <c:pt idx="1">
                  <c:v>36599.359523809529</c:v>
                </c:pt>
                <c:pt idx="2">
                  <c:v>36599.973809523814</c:v>
                </c:pt>
                <c:pt idx="3">
                  <c:v>36600.908333323816</c:v>
                </c:pt>
                <c:pt idx="4">
                  <c:v>36601.202142847622</c:v>
                </c:pt>
                <c:pt idx="5">
                  <c:v>36602.530000147621</c:v>
                </c:pt>
                <c:pt idx="6">
                  <c:v>36603.463333480955</c:v>
                </c:pt>
                <c:pt idx="7">
                  <c:v>36604.598095385714</c:v>
                </c:pt>
                <c:pt idx="8">
                  <c:v>36608.811333085716</c:v>
                </c:pt>
                <c:pt idx="9">
                  <c:v>36609.577523561908</c:v>
                </c:pt>
                <c:pt idx="10">
                  <c:v>36610.472083661909</c:v>
                </c:pt>
                <c:pt idx="11">
                  <c:v>36611.076369376198</c:v>
                </c:pt>
                <c:pt idx="12">
                  <c:v>36611.705833176202</c:v>
                </c:pt>
                <c:pt idx="13">
                  <c:v>36611.999642700008</c:v>
                </c:pt>
                <c:pt idx="14">
                  <c:v>36612.913333100005</c:v>
                </c:pt>
                <c:pt idx="15">
                  <c:v>36613.058095004766</c:v>
                </c:pt>
                <c:pt idx="16">
                  <c:v>36613.963333604763</c:v>
                </c:pt>
                <c:pt idx="17">
                  <c:v>36614.896666938097</c:v>
                </c:pt>
                <c:pt idx="18">
                  <c:v>36615.098333438094</c:v>
                </c:pt>
                <c:pt idx="19">
                  <c:v>36616.203571533333</c:v>
                </c:pt>
                <c:pt idx="20">
                  <c:v>36620.074333533332</c:v>
                </c:pt>
                <c:pt idx="21">
                  <c:v>36620.840524009524</c:v>
                </c:pt>
                <c:pt idx="22">
                  <c:v>36621.575833409523</c:v>
                </c:pt>
                <c:pt idx="23">
                  <c:v>36622.180119123812</c:v>
                </c:pt>
                <c:pt idx="24">
                  <c:v>36622.503333623812</c:v>
                </c:pt>
              </c:numCache>
            </c:numRef>
          </c:xVal>
          <c:yVal>
            <c:numRef>
              <c:f>'Finite Schedule'!$R$16:$R$40</c:f>
              <c:numCache>
                <c:formatCode>0.00</c:formatCode>
                <c:ptCount val="25"/>
                <c:pt idx="0">
                  <c:v>0.58750000000000002</c:v>
                </c:pt>
                <c:pt idx="1">
                  <c:v>0.72125850340136055</c:v>
                </c:pt>
                <c:pt idx="2">
                  <c:v>0.63350340136054417</c:v>
                </c:pt>
                <c:pt idx="3">
                  <c:v>0.50000000136054412</c:v>
                </c:pt>
                <c:pt idx="4">
                  <c:v>2.000527212244898</c:v>
                </c:pt>
                <c:pt idx="5">
                  <c:v>1.8108333122448981</c:v>
                </c:pt>
                <c:pt idx="6">
                  <c:v>1.6774999789115645</c:v>
                </c:pt>
                <c:pt idx="7">
                  <c:v>1.5153911353741494</c:v>
                </c:pt>
                <c:pt idx="8">
                  <c:v>0.91350003537414948</c:v>
                </c:pt>
                <c:pt idx="9">
                  <c:v>0.80404425306122429</c:v>
                </c:pt>
                <c:pt idx="10">
                  <c:v>0.67624995306122426</c:v>
                </c:pt>
                <c:pt idx="11">
                  <c:v>0.58992342244897944</c:v>
                </c:pt>
                <c:pt idx="12">
                  <c:v>0.50000002244897945</c:v>
                </c:pt>
                <c:pt idx="13">
                  <c:v>2.000527233333333</c:v>
                </c:pt>
                <c:pt idx="14">
                  <c:v>1.8700000333333333</c:v>
                </c:pt>
                <c:pt idx="15">
                  <c:v>1.8493197612244896</c:v>
                </c:pt>
                <c:pt idx="16">
                  <c:v>1.7199999612244894</c:v>
                </c:pt>
                <c:pt idx="17">
                  <c:v>1.5866666278911561</c:v>
                </c:pt>
                <c:pt idx="18">
                  <c:v>1.5578571278911559</c:v>
                </c:pt>
                <c:pt idx="19">
                  <c:v>1.399965971428571</c:v>
                </c:pt>
                <c:pt idx="20">
                  <c:v>0.84699997142857097</c:v>
                </c:pt>
                <c:pt idx="21">
                  <c:v>0.7375441891156459</c:v>
                </c:pt>
                <c:pt idx="22">
                  <c:v>0.63249998911564587</c:v>
                </c:pt>
                <c:pt idx="23">
                  <c:v>0.54617345850340082</c:v>
                </c:pt>
                <c:pt idx="24">
                  <c:v>0.49999995850340084</c:v>
                </c:pt>
              </c:numCache>
            </c:numRef>
          </c:yVal>
          <c:smooth val="0"/>
          <c:extLst>
            <c:ext xmlns:c16="http://schemas.microsoft.com/office/drawing/2014/chart" uri="{C3380CC4-5D6E-409C-BE32-E72D297353CC}">
              <c16:uniqueId val="{00000002-1F8B-467B-9118-DB4918E066FF}"/>
            </c:ext>
          </c:extLst>
        </c:ser>
        <c:ser>
          <c:idx val="7"/>
          <c:order val="3"/>
          <c:tx>
            <c:strRef>
              <c:f>'Finite Schedule'!$M$7</c:f>
              <c:strCache>
                <c:ptCount val="1"/>
                <c:pt idx="0">
                  <c:v>FL100</c:v>
                </c:pt>
              </c:strCache>
            </c:strRef>
          </c:tx>
          <c:spPr>
            <a:ln w="25400">
              <a:solidFill>
                <a:srgbClr val="0000FF"/>
              </a:solidFill>
              <a:prstDash val="solid"/>
            </a:ln>
          </c:spPr>
          <c:marker>
            <c:symbol val="none"/>
          </c:marker>
          <c:xVal>
            <c:numRef>
              <c:f>'Finite Schedule'!$I$16:$I$40</c:f>
              <c:numCache>
                <c:formatCode>d/m\ h:mm</c:formatCode>
                <c:ptCount val="25"/>
                <c:pt idx="0">
                  <c:v>36599.333333333336</c:v>
                </c:pt>
                <c:pt idx="1">
                  <c:v>36599.359523809529</c:v>
                </c:pt>
                <c:pt idx="2">
                  <c:v>36599.973809523814</c:v>
                </c:pt>
                <c:pt idx="3">
                  <c:v>36600.908333323816</c:v>
                </c:pt>
                <c:pt idx="4">
                  <c:v>36601.202142847622</c:v>
                </c:pt>
                <c:pt idx="5">
                  <c:v>36602.530000147621</c:v>
                </c:pt>
                <c:pt idx="6">
                  <c:v>36603.463333480955</c:v>
                </c:pt>
                <c:pt idx="7">
                  <c:v>36604.598095385714</c:v>
                </c:pt>
                <c:pt idx="8">
                  <c:v>36608.811333085716</c:v>
                </c:pt>
                <c:pt idx="9">
                  <c:v>36609.577523561908</c:v>
                </c:pt>
                <c:pt idx="10">
                  <c:v>36610.472083661909</c:v>
                </c:pt>
                <c:pt idx="11">
                  <c:v>36611.076369376198</c:v>
                </c:pt>
                <c:pt idx="12">
                  <c:v>36611.705833176202</c:v>
                </c:pt>
                <c:pt idx="13">
                  <c:v>36611.999642700008</c:v>
                </c:pt>
                <c:pt idx="14">
                  <c:v>36612.913333100005</c:v>
                </c:pt>
                <c:pt idx="15">
                  <c:v>36613.058095004766</c:v>
                </c:pt>
                <c:pt idx="16">
                  <c:v>36613.963333604763</c:v>
                </c:pt>
                <c:pt idx="17">
                  <c:v>36614.896666938097</c:v>
                </c:pt>
                <c:pt idx="18">
                  <c:v>36615.098333438094</c:v>
                </c:pt>
                <c:pt idx="19">
                  <c:v>36616.203571533333</c:v>
                </c:pt>
                <c:pt idx="20">
                  <c:v>36620.074333533332</c:v>
                </c:pt>
                <c:pt idx="21">
                  <c:v>36620.840524009524</c:v>
                </c:pt>
                <c:pt idx="22">
                  <c:v>36621.575833409523</c:v>
                </c:pt>
                <c:pt idx="23">
                  <c:v>36622.180119123812</c:v>
                </c:pt>
                <c:pt idx="24">
                  <c:v>36622.503333623812</c:v>
                </c:pt>
              </c:numCache>
            </c:numRef>
          </c:xVal>
          <c:yVal>
            <c:numRef>
              <c:f>'Finite Schedule'!$S$16:$S$40</c:f>
              <c:numCache>
                <c:formatCode>0.00</c:formatCode>
                <c:ptCount val="25"/>
                <c:pt idx="0">
                  <c:v>2.44</c:v>
                </c:pt>
                <c:pt idx="1">
                  <c:v>2.4362585034013606</c:v>
                </c:pt>
                <c:pt idx="2">
                  <c:v>2.3485034013605444</c:v>
                </c:pt>
                <c:pt idx="3">
                  <c:v>2.2150000013605444</c:v>
                </c:pt>
                <c:pt idx="4">
                  <c:v>2.1730272122448979</c:v>
                </c:pt>
                <c:pt idx="5">
                  <c:v>1.983333312244898</c:v>
                </c:pt>
                <c:pt idx="6">
                  <c:v>1.8499999789115646</c:v>
                </c:pt>
                <c:pt idx="7">
                  <c:v>1.6878911353741495</c:v>
                </c:pt>
                <c:pt idx="8">
                  <c:v>1.0860000353741495</c:v>
                </c:pt>
                <c:pt idx="9">
                  <c:v>0.97654425306122439</c:v>
                </c:pt>
                <c:pt idx="10">
                  <c:v>0.84874995306122425</c:v>
                </c:pt>
                <c:pt idx="11">
                  <c:v>0.76242342244897943</c:v>
                </c:pt>
                <c:pt idx="12">
                  <c:v>0.67250002244897944</c:v>
                </c:pt>
                <c:pt idx="13">
                  <c:v>0.63052723333333316</c:v>
                </c:pt>
                <c:pt idx="14">
                  <c:v>0.5000000333333332</c:v>
                </c:pt>
                <c:pt idx="15">
                  <c:v>1.9993197612244895</c:v>
                </c:pt>
                <c:pt idx="16">
                  <c:v>1.8699999612244895</c:v>
                </c:pt>
                <c:pt idx="17">
                  <c:v>1.736666627891156</c:v>
                </c:pt>
                <c:pt idx="18">
                  <c:v>1.7078571278911558</c:v>
                </c:pt>
                <c:pt idx="19">
                  <c:v>1.549965971428571</c:v>
                </c:pt>
                <c:pt idx="20">
                  <c:v>0.996999971428571</c:v>
                </c:pt>
                <c:pt idx="21">
                  <c:v>0.88754418911564581</c:v>
                </c:pt>
                <c:pt idx="22">
                  <c:v>0.78249998911564589</c:v>
                </c:pt>
                <c:pt idx="23">
                  <c:v>0.69617345850340095</c:v>
                </c:pt>
                <c:pt idx="24">
                  <c:v>0.64999995850340098</c:v>
                </c:pt>
              </c:numCache>
            </c:numRef>
          </c:yVal>
          <c:smooth val="0"/>
          <c:extLst>
            <c:ext xmlns:c16="http://schemas.microsoft.com/office/drawing/2014/chart" uri="{C3380CC4-5D6E-409C-BE32-E72D297353CC}">
              <c16:uniqueId val="{00000003-1F8B-467B-9118-DB4918E066FF}"/>
            </c:ext>
          </c:extLst>
        </c:ser>
        <c:ser>
          <c:idx val="8"/>
          <c:order val="4"/>
          <c:tx>
            <c:strRef>
              <c:f>'Finite Schedule'!$N$7</c:f>
              <c:strCache>
                <c:ptCount val="1"/>
                <c:pt idx="0">
                  <c:v>FL250</c:v>
                </c:pt>
              </c:strCache>
            </c:strRef>
          </c:tx>
          <c:spPr>
            <a:ln w="25400">
              <a:solidFill>
                <a:srgbClr val="00CCFF"/>
              </a:solidFill>
              <a:prstDash val="solid"/>
            </a:ln>
          </c:spPr>
          <c:marker>
            <c:symbol val="none"/>
          </c:marker>
          <c:xVal>
            <c:numRef>
              <c:f>'Finite Schedule'!$I$16:$I$40</c:f>
              <c:numCache>
                <c:formatCode>d/m\ h:mm</c:formatCode>
                <c:ptCount val="25"/>
                <c:pt idx="0">
                  <c:v>36599.333333333336</c:v>
                </c:pt>
                <c:pt idx="1">
                  <c:v>36599.359523809529</c:v>
                </c:pt>
                <c:pt idx="2">
                  <c:v>36599.973809523814</c:v>
                </c:pt>
                <c:pt idx="3">
                  <c:v>36600.908333323816</c:v>
                </c:pt>
                <c:pt idx="4">
                  <c:v>36601.202142847622</c:v>
                </c:pt>
                <c:pt idx="5">
                  <c:v>36602.530000147621</c:v>
                </c:pt>
                <c:pt idx="6">
                  <c:v>36603.463333480955</c:v>
                </c:pt>
                <c:pt idx="7">
                  <c:v>36604.598095385714</c:v>
                </c:pt>
                <c:pt idx="8">
                  <c:v>36608.811333085716</c:v>
                </c:pt>
                <c:pt idx="9">
                  <c:v>36609.577523561908</c:v>
                </c:pt>
                <c:pt idx="10">
                  <c:v>36610.472083661909</c:v>
                </c:pt>
                <c:pt idx="11">
                  <c:v>36611.076369376198</c:v>
                </c:pt>
                <c:pt idx="12">
                  <c:v>36611.705833176202</c:v>
                </c:pt>
                <c:pt idx="13">
                  <c:v>36611.999642700008</c:v>
                </c:pt>
                <c:pt idx="14">
                  <c:v>36612.913333100005</c:v>
                </c:pt>
                <c:pt idx="15">
                  <c:v>36613.058095004766</c:v>
                </c:pt>
                <c:pt idx="16">
                  <c:v>36613.963333604763</c:v>
                </c:pt>
                <c:pt idx="17">
                  <c:v>36614.896666938097</c:v>
                </c:pt>
                <c:pt idx="18">
                  <c:v>36615.098333438094</c:v>
                </c:pt>
                <c:pt idx="19">
                  <c:v>36616.203571533333</c:v>
                </c:pt>
                <c:pt idx="20">
                  <c:v>36620.074333533332</c:v>
                </c:pt>
                <c:pt idx="21">
                  <c:v>36620.840524009524</c:v>
                </c:pt>
                <c:pt idx="22">
                  <c:v>36621.575833409523</c:v>
                </c:pt>
                <c:pt idx="23">
                  <c:v>36622.180119123812</c:v>
                </c:pt>
                <c:pt idx="24">
                  <c:v>36622.503333623812</c:v>
                </c:pt>
              </c:numCache>
            </c:numRef>
          </c:xVal>
          <c:yVal>
            <c:numRef>
              <c:f>'Finite Schedule'!$T$16:$T$40</c:f>
              <c:numCache>
                <c:formatCode>0.00</c:formatCode>
                <c:ptCount val="25"/>
                <c:pt idx="0">
                  <c:v>0.95666666666666667</c:v>
                </c:pt>
                <c:pt idx="1">
                  <c:v>0.95292517006802735</c:v>
                </c:pt>
                <c:pt idx="2">
                  <c:v>0.86517006802721108</c:v>
                </c:pt>
                <c:pt idx="3">
                  <c:v>0.73166666802721103</c:v>
                </c:pt>
                <c:pt idx="4">
                  <c:v>0.68969387891156475</c:v>
                </c:pt>
                <c:pt idx="5">
                  <c:v>0.49999997891156484</c:v>
                </c:pt>
                <c:pt idx="6">
                  <c:v>1.999999978911565</c:v>
                </c:pt>
                <c:pt idx="7">
                  <c:v>1.8378911353741501</c:v>
                </c:pt>
                <c:pt idx="8">
                  <c:v>1.2360000353741503</c:v>
                </c:pt>
                <c:pt idx="9">
                  <c:v>1.1265442530612251</c:v>
                </c:pt>
                <c:pt idx="10">
                  <c:v>0.99874995306122516</c:v>
                </c:pt>
                <c:pt idx="11">
                  <c:v>0.91242342244898011</c:v>
                </c:pt>
                <c:pt idx="12">
                  <c:v>0.82250002244898013</c:v>
                </c:pt>
                <c:pt idx="13">
                  <c:v>0.78052723333333385</c:v>
                </c:pt>
                <c:pt idx="14">
                  <c:v>0.65000003333333378</c:v>
                </c:pt>
                <c:pt idx="15">
                  <c:v>0.62931976122449029</c:v>
                </c:pt>
                <c:pt idx="16">
                  <c:v>0.49999996122449025</c:v>
                </c:pt>
                <c:pt idx="17">
                  <c:v>1.9999999612244903</c:v>
                </c:pt>
                <c:pt idx="18">
                  <c:v>1.9711904612244906</c:v>
                </c:pt>
                <c:pt idx="19">
                  <c:v>1.8132993047619053</c:v>
                </c:pt>
                <c:pt idx="20">
                  <c:v>1.2603333047619054</c:v>
                </c:pt>
                <c:pt idx="21">
                  <c:v>1.1508775224489802</c:v>
                </c:pt>
                <c:pt idx="22">
                  <c:v>1.0458333224489804</c:v>
                </c:pt>
                <c:pt idx="23">
                  <c:v>0.95950679183673537</c:v>
                </c:pt>
                <c:pt idx="24">
                  <c:v>0.91333329183673528</c:v>
                </c:pt>
              </c:numCache>
            </c:numRef>
          </c:yVal>
          <c:smooth val="0"/>
          <c:extLst>
            <c:ext xmlns:c16="http://schemas.microsoft.com/office/drawing/2014/chart" uri="{C3380CC4-5D6E-409C-BE32-E72D297353CC}">
              <c16:uniqueId val="{00000004-1F8B-467B-9118-DB4918E066FF}"/>
            </c:ext>
          </c:extLst>
        </c:ser>
        <c:ser>
          <c:idx val="9"/>
          <c:order val="5"/>
          <c:tx>
            <c:strRef>
              <c:f>'Finite Schedule'!$O$7</c:f>
              <c:strCache>
                <c:ptCount val="1"/>
                <c:pt idx="0">
                  <c:v>FL500</c:v>
                </c:pt>
              </c:strCache>
            </c:strRef>
          </c:tx>
          <c:spPr>
            <a:ln w="25400">
              <a:solidFill>
                <a:srgbClr val="FF6600"/>
              </a:solidFill>
              <a:prstDash val="solid"/>
            </a:ln>
          </c:spPr>
          <c:marker>
            <c:symbol val="none"/>
          </c:marker>
          <c:xVal>
            <c:numRef>
              <c:f>'Finite Schedule'!$I$16:$I$40</c:f>
              <c:numCache>
                <c:formatCode>d/m\ h:mm</c:formatCode>
                <c:ptCount val="25"/>
                <c:pt idx="0">
                  <c:v>36599.333333333336</c:v>
                </c:pt>
                <c:pt idx="1">
                  <c:v>36599.359523809529</c:v>
                </c:pt>
                <c:pt idx="2">
                  <c:v>36599.973809523814</c:v>
                </c:pt>
                <c:pt idx="3">
                  <c:v>36600.908333323816</c:v>
                </c:pt>
                <c:pt idx="4">
                  <c:v>36601.202142847622</c:v>
                </c:pt>
                <c:pt idx="5">
                  <c:v>36602.530000147621</c:v>
                </c:pt>
                <c:pt idx="6">
                  <c:v>36603.463333480955</c:v>
                </c:pt>
                <c:pt idx="7">
                  <c:v>36604.598095385714</c:v>
                </c:pt>
                <c:pt idx="8">
                  <c:v>36608.811333085716</c:v>
                </c:pt>
                <c:pt idx="9">
                  <c:v>36609.577523561908</c:v>
                </c:pt>
                <c:pt idx="10">
                  <c:v>36610.472083661909</c:v>
                </c:pt>
                <c:pt idx="11">
                  <c:v>36611.076369376198</c:v>
                </c:pt>
                <c:pt idx="12">
                  <c:v>36611.705833176202</c:v>
                </c:pt>
                <c:pt idx="13">
                  <c:v>36611.999642700008</c:v>
                </c:pt>
                <c:pt idx="14">
                  <c:v>36612.913333100005</c:v>
                </c:pt>
                <c:pt idx="15">
                  <c:v>36613.058095004766</c:v>
                </c:pt>
                <c:pt idx="16">
                  <c:v>36613.963333604763</c:v>
                </c:pt>
                <c:pt idx="17">
                  <c:v>36614.896666938097</c:v>
                </c:pt>
                <c:pt idx="18">
                  <c:v>36615.098333438094</c:v>
                </c:pt>
                <c:pt idx="19">
                  <c:v>36616.203571533333</c:v>
                </c:pt>
                <c:pt idx="20">
                  <c:v>36620.074333533332</c:v>
                </c:pt>
                <c:pt idx="21">
                  <c:v>36620.840524009524</c:v>
                </c:pt>
                <c:pt idx="22">
                  <c:v>36621.575833409523</c:v>
                </c:pt>
                <c:pt idx="23">
                  <c:v>36622.180119123812</c:v>
                </c:pt>
                <c:pt idx="24">
                  <c:v>36622.503333623812</c:v>
                </c:pt>
              </c:numCache>
            </c:numRef>
          </c:xVal>
          <c:yVal>
            <c:numRef>
              <c:f>'Finite Schedule'!$U$16:$U$40</c:f>
              <c:numCache>
                <c:formatCode>0.00</c:formatCode>
                <c:ptCount val="25"/>
                <c:pt idx="0">
                  <c:v>0.47875000000000001</c:v>
                </c:pt>
                <c:pt idx="1">
                  <c:v>0.47500850340136053</c:v>
                </c:pt>
                <c:pt idx="2">
                  <c:v>1.9997534013605442</c:v>
                </c:pt>
                <c:pt idx="3">
                  <c:v>1.8662500013605443</c:v>
                </c:pt>
                <c:pt idx="4">
                  <c:v>1.824277212244898</c:v>
                </c:pt>
                <c:pt idx="5">
                  <c:v>1.6345833122448981</c:v>
                </c:pt>
                <c:pt idx="6">
                  <c:v>1.5012499789115645</c:v>
                </c:pt>
                <c:pt idx="7">
                  <c:v>1.3391411353741496</c:v>
                </c:pt>
                <c:pt idx="8">
                  <c:v>0.73725003537414946</c:v>
                </c:pt>
                <c:pt idx="9">
                  <c:v>0.62779425306122438</c:v>
                </c:pt>
                <c:pt idx="10">
                  <c:v>0.49999995306122436</c:v>
                </c:pt>
                <c:pt idx="11">
                  <c:v>1.9999234224489795</c:v>
                </c:pt>
                <c:pt idx="12">
                  <c:v>1.9100000224489793</c:v>
                </c:pt>
                <c:pt idx="13">
                  <c:v>1.868027233333333</c:v>
                </c:pt>
                <c:pt idx="14">
                  <c:v>1.737500033333333</c:v>
                </c:pt>
                <c:pt idx="15">
                  <c:v>1.7168197612244893</c:v>
                </c:pt>
                <c:pt idx="16">
                  <c:v>1.5874999612244891</c:v>
                </c:pt>
                <c:pt idx="17">
                  <c:v>1.4541666278911558</c:v>
                </c:pt>
                <c:pt idx="18">
                  <c:v>1.4253571278911557</c:v>
                </c:pt>
                <c:pt idx="19">
                  <c:v>1.2674659714285705</c:v>
                </c:pt>
                <c:pt idx="20">
                  <c:v>0.71449997142857058</c:v>
                </c:pt>
                <c:pt idx="21">
                  <c:v>0.60504418911564539</c:v>
                </c:pt>
                <c:pt idx="22">
                  <c:v>0.49999998911564542</c:v>
                </c:pt>
                <c:pt idx="23">
                  <c:v>1.9999234585034003</c:v>
                </c:pt>
                <c:pt idx="24">
                  <c:v>1.9537499585034004</c:v>
                </c:pt>
              </c:numCache>
            </c:numRef>
          </c:yVal>
          <c:smooth val="0"/>
          <c:extLst>
            <c:ext xmlns:c16="http://schemas.microsoft.com/office/drawing/2014/chart" uri="{C3380CC4-5D6E-409C-BE32-E72D297353CC}">
              <c16:uniqueId val="{00000005-1F8B-467B-9118-DB4918E066FF}"/>
            </c:ext>
          </c:extLst>
        </c:ser>
        <c:dLbls>
          <c:showLegendKey val="0"/>
          <c:showVal val="0"/>
          <c:showCatName val="0"/>
          <c:showSerName val="0"/>
          <c:showPercent val="0"/>
          <c:showBubbleSize val="0"/>
        </c:dLbls>
        <c:axId val="1854792288"/>
        <c:axId val="1"/>
      </c:scatterChart>
      <c:valAx>
        <c:axId val="1854792288"/>
        <c:scaling>
          <c:orientation val="minMax"/>
        </c:scaling>
        <c:delete val="0"/>
        <c:axPos val="b"/>
        <c:numFmt formatCode="d\-mmm"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Weeks
</a:t>
                </a:r>
              </a:p>
            </c:rich>
          </c:tx>
          <c:layout>
            <c:manualLayout>
              <c:xMode val="edge"/>
              <c:yMode val="edge"/>
              <c:x val="5.2806925397493425E-3"/>
              <c:y val="0.40202398366041436"/>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54792288"/>
        <c:crosses val="autoZero"/>
        <c:crossBetween val="midCat"/>
      </c:valAx>
      <c:spPr>
        <a:solidFill>
          <a:srgbClr val="C0C0C0"/>
        </a:solidFill>
        <a:ln w="12700">
          <a:solidFill>
            <a:srgbClr val="808080"/>
          </a:solidFill>
          <a:prstDash val="solid"/>
        </a:ln>
      </c:spPr>
    </c:plotArea>
    <c:legend>
      <c:legendPos val="r"/>
      <c:layout>
        <c:manualLayout>
          <c:xMode val="edge"/>
          <c:yMode val="edge"/>
          <c:x val="0.89441729892004496"/>
          <c:y val="0.42715048263919031"/>
          <c:w val="7.7230128393834141E-2"/>
          <c:h val="0.36684688509012808"/>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00" verticalDpi="30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production-scheduling.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production-scheduling.com/" TargetMode="Externa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3</xdr:col>
      <xdr:colOff>975360</xdr:colOff>
      <xdr:row>4</xdr:row>
      <xdr:rowOff>137160</xdr:rowOff>
    </xdr:to>
    <xdr:pic>
      <xdr:nvPicPr>
        <xdr:cNvPr id="7169" name="Picture 1">
          <a:hlinkClick xmlns:r="http://schemas.openxmlformats.org/officeDocument/2006/relationships" r:id="rId1"/>
          <a:extLst>
            <a:ext uri="{FF2B5EF4-FFF2-40B4-BE49-F238E27FC236}">
              <a16:creationId xmlns:a16="http://schemas.microsoft.com/office/drawing/2014/main" id="{1004AA62-B09E-1520-73E8-CDF7EB78BF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 y="7620"/>
          <a:ext cx="6309360"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0</xdr:row>
      <xdr:rowOff>22860</xdr:rowOff>
    </xdr:from>
    <xdr:to>
      <xdr:col>1</xdr:col>
      <xdr:colOff>6172200</xdr:colOff>
      <xdr:row>4</xdr:row>
      <xdr:rowOff>144780</xdr:rowOff>
    </xdr:to>
    <xdr:pic>
      <xdr:nvPicPr>
        <xdr:cNvPr id="1025" name="Picture 1">
          <a:hlinkClick xmlns:r="http://schemas.openxmlformats.org/officeDocument/2006/relationships" r:id="rId1"/>
          <a:extLst>
            <a:ext uri="{FF2B5EF4-FFF2-40B4-BE49-F238E27FC236}">
              <a16:creationId xmlns:a16="http://schemas.microsoft.com/office/drawing/2014/main" id="{32D4C494-CEF8-0D84-0B49-0E3D6D433A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 y="22860"/>
          <a:ext cx="6301740" cy="792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144780</xdr:colOff>
      <xdr:row>6</xdr:row>
      <xdr:rowOff>1524000</xdr:rowOff>
    </xdr:from>
    <xdr:to>
      <xdr:col>0</xdr:col>
      <xdr:colOff>1211580</xdr:colOff>
      <xdr:row>6</xdr:row>
      <xdr:rowOff>1790700</xdr:rowOff>
    </xdr:to>
    <xdr:sp macro="" textlink="">
      <xdr:nvSpPr>
        <xdr:cNvPr id="5121" name="Text Box 1">
          <a:extLst>
            <a:ext uri="{FF2B5EF4-FFF2-40B4-BE49-F238E27FC236}">
              <a16:creationId xmlns:a16="http://schemas.microsoft.com/office/drawing/2014/main" id="{BDED30A4-A2A9-9682-4B49-A7EAEB6AC9AD}"/>
            </a:ext>
          </a:extLst>
        </xdr:cNvPr>
        <xdr:cNvSpPr txBox="1">
          <a:spLocks noChangeArrowheads="1"/>
        </xdr:cNvSpPr>
      </xdr:nvSpPr>
      <xdr:spPr bwMode="auto">
        <a:xfrm>
          <a:off x="144780" y="2529840"/>
          <a:ext cx="10668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27432" anchor="ctr" upright="1"/>
        <a:lstStyle/>
        <a:p>
          <a:pPr algn="ctr" rtl="0">
            <a:defRPr sz="1000"/>
          </a:pPr>
          <a:r>
            <a:rPr lang="en-US" sz="1100" b="1" i="0" u="none" strike="noStrike" baseline="0">
              <a:solidFill>
                <a:srgbClr val="000000"/>
              </a:solidFill>
              <a:latin typeface="Arial"/>
              <a:cs typeface="Arial"/>
            </a:rPr>
            <a:t>Worksheet</a:t>
          </a:r>
        </a:p>
      </xdr:txBody>
    </xdr:sp>
    <xdr:clientData/>
  </xdr:twoCellAnchor>
  <xdr:twoCellAnchor editAs="oneCell">
    <xdr:from>
      <xdr:col>0</xdr:col>
      <xdr:colOff>899160</xdr:colOff>
      <xdr:row>6</xdr:row>
      <xdr:rowOff>548640</xdr:rowOff>
    </xdr:from>
    <xdr:to>
      <xdr:col>0</xdr:col>
      <xdr:colOff>1851660</xdr:colOff>
      <xdr:row>6</xdr:row>
      <xdr:rowOff>807720</xdr:rowOff>
    </xdr:to>
    <xdr:sp macro="" textlink="">
      <xdr:nvSpPr>
        <xdr:cNvPr id="5122" name="Text Box 2">
          <a:extLst>
            <a:ext uri="{FF2B5EF4-FFF2-40B4-BE49-F238E27FC236}">
              <a16:creationId xmlns:a16="http://schemas.microsoft.com/office/drawing/2014/main" id="{87EEE9DF-071B-7852-1D01-61B0D9D36CBA}"/>
            </a:ext>
          </a:extLst>
        </xdr:cNvPr>
        <xdr:cNvSpPr txBox="1">
          <a:spLocks noChangeArrowheads="1"/>
        </xdr:cNvSpPr>
      </xdr:nvSpPr>
      <xdr:spPr bwMode="auto">
        <a:xfrm>
          <a:off x="899160" y="1554480"/>
          <a:ext cx="952500" cy="2590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27432" anchor="ctr" upright="1"/>
        <a:lstStyle/>
        <a:p>
          <a:pPr algn="ctr" rtl="0">
            <a:defRPr sz="1000"/>
          </a:pPr>
          <a:r>
            <a:rPr lang="en-US" sz="1100" b="1" i="0" u="none" strike="noStrike" baseline="0">
              <a:solidFill>
                <a:srgbClr val="000000"/>
              </a:solidFill>
              <a:latin typeface="Arial"/>
              <a:cs typeface="Arial"/>
            </a:rPr>
            <a:t>Links to :</a:t>
          </a:r>
        </a:p>
      </xdr:txBody>
    </xdr:sp>
    <xdr:clientData/>
  </xdr:twoCellAnchor>
  <xdr:twoCellAnchor>
    <xdr:from>
      <xdr:col>0</xdr:col>
      <xdr:colOff>236220</xdr:colOff>
      <xdr:row>29</xdr:row>
      <xdr:rowOff>99060</xdr:rowOff>
    </xdr:from>
    <xdr:to>
      <xdr:col>0</xdr:col>
      <xdr:colOff>845820</xdr:colOff>
      <xdr:row>31</xdr:row>
      <xdr:rowOff>160020</xdr:rowOff>
    </xdr:to>
    <xdr:sp macro="" textlink="">
      <xdr:nvSpPr>
        <xdr:cNvPr id="5125" name="Text Box 5">
          <a:extLst>
            <a:ext uri="{FF2B5EF4-FFF2-40B4-BE49-F238E27FC236}">
              <a16:creationId xmlns:a16="http://schemas.microsoft.com/office/drawing/2014/main" id="{063AD302-BCE0-9B7A-6E1C-9B428DC36FFD}"/>
            </a:ext>
          </a:extLst>
        </xdr:cNvPr>
        <xdr:cNvSpPr txBox="1">
          <a:spLocks noChangeArrowheads="1"/>
        </xdr:cNvSpPr>
      </xdr:nvSpPr>
      <xdr:spPr bwMode="auto">
        <a:xfrm>
          <a:off x="236220" y="6667500"/>
          <a:ext cx="609600" cy="3962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lnSpc>
              <a:spcPts val="1100"/>
            </a:lnSpc>
            <a:defRPr sz="1000"/>
          </a:pPr>
          <a:r>
            <a:rPr lang="en-US" sz="1000" b="0" i="0" u="none" strike="noStrike" baseline="0">
              <a:solidFill>
                <a:srgbClr val="000000"/>
              </a:solidFill>
              <a:latin typeface="Arial"/>
              <a:cs typeface="Arial"/>
            </a:rPr>
            <a:t>Finite Schedule</a:t>
          </a:r>
        </a:p>
      </xdr:txBody>
    </xdr:sp>
    <xdr:clientData/>
  </xdr:twoCellAnchor>
  <xdr:twoCellAnchor>
    <xdr:from>
      <xdr:col>0</xdr:col>
      <xdr:colOff>1196340</xdr:colOff>
      <xdr:row>29</xdr:row>
      <xdr:rowOff>99060</xdr:rowOff>
    </xdr:from>
    <xdr:to>
      <xdr:col>1</xdr:col>
      <xdr:colOff>0</xdr:colOff>
      <xdr:row>31</xdr:row>
      <xdr:rowOff>160020</xdr:rowOff>
    </xdr:to>
    <xdr:sp macro="" textlink="">
      <xdr:nvSpPr>
        <xdr:cNvPr id="5126" name="Text Box 6">
          <a:extLst>
            <a:ext uri="{FF2B5EF4-FFF2-40B4-BE49-F238E27FC236}">
              <a16:creationId xmlns:a16="http://schemas.microsoft.com/office/drawing/2014/main" id="{3A9A7C39-83B9-F777-F3D9-555A72CB9B08}"/>
            </a:ext>
          </a:extLst>
        </xdr:cNvPr>
        <xdr:cNvSpPr txBox="1">
          <a:spLocks noChangeArrowheads="1"/>
        </xdr:cNvSpPr>
      </xdr:nvSpPr>
      <xdr:spPr bwMode="auto">
        <a:xfrm>
          <a:off x="1196340" y="6667500"/>
          <a:ext cx="678180" cy="3962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lnSpc>
              <a:spcPts val="1100"/>
            </a:lnSpc>
            <a:defRPr sz="1000"/>
          </a:pPr>
          <a:r>
            <a:rPr lang="en-US" sz="1000" b="0" i="0" u="none" strike="noStrike" baseline="0">
              <a:solidFill>
                <a:srgbClr val="000000"/>
              </a:solidFill>
              <a:latin typeface="Arial"/>
              <a:cs typeface="Arial"/>
            </a:rPr>
            <a:t>Production Runs</a:t>
          </a:r>
        </a:p>
      </xdr:txBody>
    </xdr:sp>
    <xdr:clientData/>
  </xdr:twoCellAnchor>
  <xdr:twoCellAnchor>
    <xdr:from>
      <xdr:col>2</xdr:col>
      <xdr:colOff>167640</xdr:colOff>
      <xdr:row>29</xdr:row>
      <xdr:rowOff>99060</xdr:rowOff>
    </xdr:from>
    <xdr:to>
      <xdr:col>5</xdr:col>
      <xdr:colOff>137160</xdr:colOff>
      <xdr:row>31</xdr:row>
      <xdr:rowOff>160020</xdr:rowOff>
    </xdr:to>
    <xdr:sp macro="" textlink="">
      <xdr:nvSpPr>
        <xdr:cNvPr id="5127" name="Text Box 7">
          <a:extLst>
            <a:ext uri="{FF2B5EF4-FFF2-40B4-BE49-F238E27FC236}">
              <a16:creationId xmlns:a16="http://schemas.microsoft.com/office/drawing/2014/main" id="{FA22E371-0797-5DA8-892C-E3467E4AFB43}"/>
            </a:ext>
          </a:extLst>
        </xdr:cNvPr>
        <xdr:cNvSpPr txBox="1">
          <a:spLocks noChangeArrowheads="1"/>
        </xdr:cNvSpPr>
      </xdr:nvSpPr>
      <xdr:spPr bwMode="auto">
        <a:xfrm>
          <a:off x="2255520" y="6667500"/>
          <a:ext cx="609600" cy="3962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BOM x 3</a:t>
          </a:r>
        </a:p>
      </xdr:txBody>
    </xdr:sp>
    <xdr:clientData/>
  </xdr:twoCellAnchor>
  <xdr:twoCellAnchor>
    <xdr:from>
      <xdr:col>7</xdr:col>
      <xdr:colOff>99060</xdr:colOff>
      <xdr:row>29</xdr:row>
      <xdr:rowOff>106680</xdr:rowOff>
    </xdr:from>
    <xdr:to>
      <xdr:col>10</xdr:col>
      <xdr:colOff>129540</xdr:colOff>
      <xdr:row>32</xdr:row>
      <xdr:rowOff>0</xdr:rowOff>
    </xdr:to>
    <xdr:sp macro="" textlink="">
      <xdr:nvSpPr>
        <xdr:cNvPr id="5128" name="Text Box 8">
          <a:extLst>
            <a:ext uri="{FF2B5EF4-FFF2-40B4-BE49-F238E27FC236}">
              <a16:creationId xmlns:a16="http://schemas.microsoft.com/office/drawing/2014/main" id="{DD393307-C269-5FEA-73BB-FFF2E2E70286}"/>
            </a:ext>
          </a:extLst>
        </xdr:cNvPr>
        <xdr:cNvSpPr txBox="1">
          <a:spLocks noChangeArrowheads="1"/>
        </xdr:cNvSpPr>
      </xdr:nvSpPr>
      <xdr:spPr bwMode="auto">
        <a:xfrm>
          <a:off x="3253740" y="6675120"/>
          <a:ext cx="670560" cy="3962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lnSpc>
              <a:spcPts val="1100"/>
            </a:lnSpc>
            <a:defRPr sz="1000"/>
          </a:pPr>
          <a:r>
            <a:rPr lang="en-US" sz="1000" b="0" i="0" u="none" strike="noStrike" baseline="0">
              <a:solidFill>
                <a:srgbClr val="000000"/>
              </a:solidFill>
              <a:latin typeface="Arial"/>
              <a:cs typeface="Arial"/>
            </a:rPr>
            <a:t>Allocate Inventory</a:t>
          </a:r>
        </a:p>
      </xdr:txBody>
    </xdr:sp>
    <xdr:clientData/>
  </xdr:twoCellAnchor>
  <xdr:twoCellAnchor>
    <xdr:from>
      <xdr:col>12</xdr:col>
      <xdr:colOff>182880</xdr:colOff>
      <xdr:row>29</xdr:row>
      <xdr:rowOff>22860</xdr:rowOff>
    </xdr:from>
    <xdr:to>
      <xdr:col>14</xdr:col>
      <xdr:colOff>419100</xdr:colOff>
      <xdr:row>32</xdr:row>
      <xdr:rowOff>38100</xdr:rowOff>
    </xdr:to>
    <xdr:sp macro="" textlink="">
      <xdr:nvSpPr>
        <xdr:cNvPr id="5129" name="Text Box 9">
          <a:extLst>
            <a:ext uri="{FF2B5EF4-FFF2-40B4-BE49-F238E27FC236}">
              <a16:creationId xmlns:a16="http://schemas.microsoft.com/office/drawing/2014/main" id="{73CEDE05-CC4B-A6B2-7473-EF89C301ECD4}"/>
            </a:ext>
          </a:extLst>
        </xdr:cNvPr>
        <xdr:cNvSpPr txBox="1">
          <a:spLocks noChangeArrowheads="1"/>
        </xdr:cNvSpPr>
      </xdr:nvSpPr>
      <xdr:spPr bwMode="auto">
        <a:xfrm>
          <a:off x="4404360" y="6591300"/>
          <a:ext cx="662940" cy="5181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Purchase Action Report</a:t>
          </a:r>
        </a:p>
      </xdr:txBody>
    </xdr:sp>
    <xdr:clientData/>
  </xdr:twoCellAnchor>
  <xdr:twoCellAnchor>
    <xdr:from>
      <xdr:col>0</xdr:col>
      <xdr:colOff>845820</xdr:colOff>
      <xdr:row>30</xdr:row>
      <xdr:rowOff>137160</xdr:rowOff>
    </xdr:from>
    <xdr:to>
      <xdr:col>0</xdr:col>
      <xdr:colOff>1188720</xdr:colOff>
      <xdr:row>30</xdr:row>
      <xdr:rowOff>137160</xdr:rowOff>
    </xdr:to>
    <xdr:sp macro="" textlink="">
      <xdr:nvSpPr>
        <xdr:cNvPr id="5130" name="Line 10">
          <a:extLst>
            <a:ext uri="{FF2B5EF4-FFF2-40B4-BE49-F238E27FC236}">
              <a16:creationId xmlns:a16="http://schemas.microsoft.com/office/drawing/2014/main" id="{BC1CA74B-234D-20FB-7170-64A19219654E}"/>
            </a:ext>
          </a:extLst>
        </xdr:cNvPr>
        <xdr:cNvSpPr>
          <a:spLocks noChangeShapeType="1"/>
        </xdr:cNvSpPr>
      </xdr:nvSpPr>
      <xdr:spPr bwMode="auto">
        <a:xfrm>
          <a:off x="845820" y="6873240"/>
          <a:ext cx="342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7620</xdr:colOff>
      <xdr:row>30</xdr:row>
      <xdr:rowOff>129540</xdr:rowOff>
    </xdr:from>
    <xdr:to>
      <xdr:col>2</xdr:col>
      <xdr:colOff>167640</xdr:colOff>
      <xdr:row>30</xdr:row>
      <xdr:rowOff>129540</xdr:rowOff>
    </xdr:to>
    <xdr:sp macro="" textlink="">
      <xdr:nvSpPr>
        <xdr:cNvPr id="5131" name="Line 11">
          <a:extLst>
            <a:ext uri="{FF2B5EF4-FFF2-40B4-BE49-F238E27FC236}">
              <a16:creationId xmlns:a16="http://schemas.microsoft.com/office/drawing/2014/main" id="{1003B317-E9B8-5EE1-0690-663F58C3572F}"/>
            </a:ext>
          </a:extLst>
        </xdr:cNvPr>
        <xdr:cNvSpPr>
          <a:spLocks noChangeShapeType="1"/>
        </xdr:cNvSpPr>
      </xdr:nvSpPr>
      <xdr:spPr bwMode="auto">
        <a:xfrm>
          <a:off x="1882140" y="6865620"/>
          <a:ext cx="3733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144780</xdr:colOff>
      <xdr:row>30</xdr:row>
      <xdr:rowOff>137160</xdr:rowOff>
    </xdr:from>
    <xdr:to>
      <xdr:col>7</xdr:col>
      <xdr:colOff>99060</xdr:colOff>
      <xdr:row>30</xdr:row>
      <xdr:rowOff>137160</xdr:rowOff>
    </xdr:to>
    <xdr:sp macro="" textlink="">
      <xdr:nvSpPr>
        <xdr:cNvPr id="5132" name="Line 12">
          <a:extLst>
            <a:ext uri="{FF2B5EF4-FFF2-40B4-BE49-F238E27FC236}">
              <a16:creationId xmlns:a16="http://schemas.microsoft.com/office/drawing/2014/main" id="{616EB67C-E46F-6DC7-BA50-73BE20FD6B53}"/>
            </a:ext>
          </a:extLst>
        </xdr:cNvPr>
        <xdr:cNvSpPr>
          <a:spLocks noChangeShapeType="1"/>
        </xdr:cNvSpPr>
      </xdr:nvSpPr>
      <xdr:spPr bwMode="auto">
        <a:xfrm>
          <a:off x="2872740" y="687324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144780</xdr:colOff>
      <xdr:row>30</xdr:row>
      <xdr:rowOff>129540</xdr:rowOff>
    </xdr:from>
    <xdr:to>
      <xdr:col>12</xdr:col>
      <xdr:colOff>182880</xdr:colOff>
      <xdr:row>30</xdr:row>
      <xdr:rowOff>129540</xdr:rowOff>
    </xdr:to>
    <xdr:sp macro="" textlink="">
      <xdr:nvSpPr>
        <xdr:cNvPr id="5133" name="Line 13">
          <a:extLst>
            <a:ext uri="{FF2B5EF4-FFF2-40B4-BE49-F238E27FC236}">
              <a16:creationId xmlns:a16="http://schemas.microsoft.com/office/drawing/2014/main" id="{C28477BD-9A79-8AEA-4D84-686B9F012693}"/>
            </a:ext>
          </a:extLst>
        </xdr:cNvPr>
        <xdr:cNvSpPr>
          <a:spLocks noChangeShapeType="1"/>
        </xdr:cNvSpPr>
      </xdr:nvSpPr>
      <xdr:spPr bwMode="auto">
        <a:xfrm>
          <a:off x="3939540" y="6865620"/>
          <a:ext cx="4648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175260</xdr:colOff>
      <xdr:row>32</xdr:row>
      <xdr:rowOff>99060</xdr:rowOff>
    </xdr:from>
    <xdr:to>
      <xdr:col>5</xdr:col>
      <xdr:colOff>144780</xdr:colOff>
      <xdr:row>34</xdr:row>
      <xdr:rowOff>160020</xdr:rowOff>
    </xdr:to>
    <xdr:sp macro="" textlink="">
      <xdr:nvSpPr>
        <xdr:cNvPr id="5134" name="Text Box 14">
          <a:extLst>
            <a:ext uri="{FF2B5EF4-FFF2-40B4-BE49-F238E27FC236}">
              <a16:creationId xmlns:a16="http://schemas.microsoft.com/office/drawing/2014/main" id="{BC259F13-BCD1-CF18-F79C-B192D07864A0}"/>
            </a:ext>
          </a:extLst>
        </xdr:cNvPr>
        <xdr:cNvSpPr txBox="1">
          <a:spLocks noChangeArrowheads="1"/>
        </xdr:cNvSpPr>
      </xdr:nvSpPr>
      <xdr:spPr bwMode="auto">
        <a:xfrm>
          <a:off x="2263140" y="7170420"/>
          <a:ext cx="609600" cy="3962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lnSpc>
              <a:spcPts val="1100"/>
            </a:lnSpc>
            <a:defRPr sz="1000"/>
          </a:pPr>
          <a:r>
            <a:rPr lang="en-US" sz="1000" b="0" i="0" u="none" strike="noStrike" baseline="0">
              <a:solidFill>
                <a:srgbClr val="000000"/>
              </a:solidFill>
              <a:latin typeface="Arial"/>
              <a:cs typeface="Arial"/>
            </a:rPr>
            <a:t>Purchase Orders</a:t>
          </a:r>
        </a:p>
      </xdr:txBody>
    </xdr:sp>
    <xdr:clientData/>
  </xdr:twoCellAnchor>
  <xdr:twoCellAnchor>
    <xdr:from>
      <xdr:col>5</xdr:col>
      <xdr:colOff>144780</xdr:colOff>
      <xdr:row>31</xdr:row>
      <xdr:rowOff>91440</xdr:rowOff>
    </xdr:from>
    <xdr:to>
      <xdr:col>7</xdr:col>
      <xdr:colOff>83820</xdr:colOff>
      <xdr:row>33</xdr:row>
      <xdr:rowOff>129540</xdr:rowOff>
    </xdr:to>
    <xdr:sp macro="" textlink="">
      <xdr:nvSpPr>
        <xdr:cNvPr id="5135" name="Line 15">
          <a:extLst>
            <a:ext uri="{FF2B5EF4-FFF2-40B4-BE49-F238E27FC236}">
              <a16:creationId xmlns:a16="http://schemas.microsoft.com/office/drawing/2014/main" id="{B6DA3C4B-543E-8F5F-E488-DDF00369AEF6}"/>
            </a:ext>
          </a:extLst>
        </xdr:cNvPr>
        <xdr:cNvSpPr>
          <a:spLocks noChangeShapeType="1"/>
        </xdr:cNvSpPr>
      </xdr:nvSpPr>
      <xdr:spPr bwMode="auto">
        <a:xfrm flipV="1">
          <a:off x="2872740" y="6995160"/>
          <a:ext cx="365760" cy="373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83820</xdr:colOff>
      <xdr:row>29</xdr:row>
      <xdr:rowOff>38100</xdr:rowOff>
    </xdr:from>
    <xdr:to>
      <xdr:col>2</xdr:col>
      <xdr:colOff>68580</xdr:colOff>
      <xdr:row>30</xdr:row>
      <xdr:rowOff>45720</xdr:rowOff>
    </xdr:to>
    <xdr:sp macro="" textlink="">
      <xdr:nvSpPr>
        <xdr:cNvPr id="5136" name="Text Box 16">
          <a:extLst>
            <a:ext uri="{FF2B5EF4-FFF2-40B4-BE49-F238E27FC236}">
              <a16:creationId xmlns:a16="http://schemas.microsoft.com/office/drawing/2014/main" id="{9E1DC102-882F-AF00-D46D-4212F3A7BDA6}"/>
            </a:ext>
          </a:extLst>
        </xdr:cNvPr>
        <xdr:cNvSpPr txBox="1">
          <a:spLocks noChangeArrowheads="1"/>
        </xdr:cNvSpPr>
      </xdr:nvSpPr>
      <xdr:spPr bwMode="auto">
        <a:xfrm>
          <a:off x="1958340" y="6606540"/>
          <a:ext cx="198120" cy="175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F</a:t>
          </a:r>
        </a:p>
      </xdr:txBody>
    </xdr:sp>
    <xdr:clientData/>
  </xdr:twoCellAnchor>
  <xdr:twoCellAnchor>
    <xdr:from>
      <xdr:col>0</xdr:col>
      <xdr:colOff>922020</xdr:colOff>
      <xdr:row>29</xdr:row>
      <xdr:rowOff>38100</xdr:rowOff>
    </xdr:from>
    <xdr:to>
      <xdr:col>0</xdr:col>
      <xdr:colOff>1120140</xdr:colOff>
      <xdr:row>30</xdr:row>
      <xdr:rowOff>45720</xdr:rowOff>
    </xdr:to>
    <xdr:sp macro="" textlink="">
      <xdr:nvSpPr>
        <xdr:cNvPr id="5137" name="Text Box 17">
          <a:extLst>
            <a:ext uri="{FF2B5EF4-FFF2-40B4-BE49-F238E27FC236}">
              <a16:creationId xmlns:a16="http://schemas.microsoft.com/office/drawing/2014/main" id="{B0571878-79F7-54B4-FF79-002B97160123}"/>
            </a:ext>
          </a:extLst>
        </xdr:cNvPr>
        <xdr:cNvSpPr txBox="1">
          <a:spLocks noChangeArrowheads="1"/>
        </xdr:cNvSpPr>
      </xdr:nvSpPr>
      <xdr:spPr bwMode="auto">
        <a:xfrm>
          <a:off x="922020" y="6606540"/>
          <a:ext cx="198120" cy="175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a:t>
          </a:r>
        </a:p>
      </xdr:txBody>
    </xdr:sp>
    <xdr:clientData/>
  </xdr:twoCellAnchor>
  <xdr:twoCellAnchor>
    <xdr:from>
      <xdr:col>6</xdr:col>
      <xdr:colOff>7620</xdr:colOff>
      <xdr:row>29</xdr:row>
      <xdr:rowOff>45720</xdr:rowOff>
    </xdr:from>
    <xdr:to>
      <xdr:col>6</xdr:col>
      <xdr:colOff>205740</xdr:colOff>
      <xdr:row>30</xdr:row>
      <xdr:rowOff>60960</xdr:rowOff>
    </xdr:to>
    <xdr:sp macro="" textlink="">
      <xdr:nvSpPr>
        <xdr:cNvPr id="5138" name="Text Box 18">
          <a:extLst>
            <a:ext uri="{FF2B5EF4-FFF2-40B4-BE49-F238E27FC236}">
              <a16:creationId xmlns:a16="http://schemas.microsoft.com/office/drawing/2014/main" id="{51492A67-4179-5842-9297-B7FE6003F919}"/>
            </a:ext>
          </a:extLst>
        </xdr:cNvPr>
        <xdr:cNvSpPr txBox="1">
          <a:spLocks noChangeArrowheads="1"/>
        </xdr:cNvSpPr>
      </xdr:nvSpPr>
      <xdr:spPr bwMode="auto">
        <a:xfrm>
          <a:off x="2948940" y="6614160"/>
          <a:ext cx="198120" cy="1828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a:t>
          </a:r>
        </a:p>
      </xdr:txBody>
    </xdr:sp>
    <xdr:clientData/>
  </xdr:twoCellAnchor>
  <xdr:twoCellAnchor>
    <xdr:from>
      <xdr:col>11</xdr:col>
      <xdr:colOff>45720</xdr:colOff>
      <xdr:row>29</xdr:row>
      <xdr:rowOff>38100</xdr:rowOff>
    </xdr:from>
    <xdr:to>
      <xdr:col>12</xdr:col>
      <xdr:colOff>30480</xdr:colOff>
      <xdr:row>30</xdr:row>
      <xdr:rowOff>45720</xdr:rowOff>
    </xdr:to>
    <xdr:sp macro="" textlink="">
      <xdr:nvSpPr>
        <xdr:cNvPr id="5139" name="Text Box 19">
          <a:extLst>
            <a:ext uri="{FF2B5EF4-FFF2-40B4-BE49-F238E27FC236}">
              <a16:creationId xmlns:a16="http://schemas.microsoft.com/office/drawing/2014/main" id="{A2C386E2-06FC-CC7D-2D2B-9C66D93FFA47}"/>
            </a:ext>
          </a:extLst>
        </xdr:cNvPr>
        <xdr:cNvSpPr txBox="1">
          <a:spLocks noChangeArrowheads="1"/>
        </xdr:cNvSpPr>
      </xdr:nvSpPr>
      <xdr:spPr bwMode="auto">
        <a:xfrm>
          <a:off x="4053840" y="6606540"/>
          <a:ext cx="198120" cy="175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a:t>
          </a:r>
        </a:p>
      </xdr:txBody>
    </xdr:sp>
    <xdr:clientData/>
  </xdr:twoCellAnchor>
  <xdr:twoCellAnchor>
    <xdr:from>
      <xdr:col>6</xdr:col>
      <xdr:colOff>38100</xdr:colOff>
      <xdr:row>32</xdr:row>
      <xdr:rowOff>129540</xdr:rowOff>
    </xdr:from>
    <xdr:to>
      <xdr:col>7</xdr:col>
      <xdr:colOff>22860</xdr:colOff>
      <xdr:row>33</xdr:row>
      <xdr:rowOff>137160</xdr:rowOff>
    </xdr:to>
    <xdr:sp macro="" textlink="">
      <xdr:nvSpPr>
        <xdr:cNvPr id="5140" name="Text Box 20">
          <a:extLst>
            <a:ext uri="{FF2B5EF4-FFF2-40B4-BE49-F238E27FC236}">
              <a16:creationId xmlns:a16="http://schemas.microsoft.com/office/drawing/2014/main" id="{57546946-8594-5E34-10E0-9C3E884F1A38}"/>
            </a:ext>
          </a:extLst>
        </xdr:cNvPr>
        <xdr:cNvSpPr txBox="1">
          <a:spLocks noChangeArrowheads="1"/>
        </xdr:cNvSpPr>
      </xdr:nvSpPr>
      <xdr:spPr bwMode="auto">
        <a:xfrm>
          <a:off x="2979420" y="7200900"/>
          <a:ext cx="198120" cy="175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F</a:t>
          </a:r>
        </a:p>
      </xdr:txBody>
    </xdr:sp>
    <xdr:clientData/>
  </xdr:twoCellAnchor>
  <mc:AlternateContent xmlns:mc="http://schemas.openxmlformats.org/markup-compatibility/2006">
    <mc:Choice xmlns:a14="http://schemas.microsoft.com/office/drawing/2010/main" Requires="a14">
      <xdr:twoCellAnchor editAs="oneCell">
        <xdr:from>
          <xdr:col>5</xdr:col>
          <xdr:colOff>175260</xdr:colOff>
          <xdr:row>38</xdr:row>
          <xdr:rowOff>22860</xdr:rowOff>
        </xdr:from>
        <xdr:to>
          <xdr:col>6</xdr:col>
          <xdr:colOff>137160</xdr:colOff>
          <xdr:row>39</xdr:row>
          <xdr:rowOff>30480</xdr:rowOff>
        </xdr:to>
        <xdr:sp macro="" textlink="">
          <xdr:nvSpPr>
            <xdr:cNvPr id="5141" name="Object 21" hidden="1">
              <a:extLst>
                <a:ext uri="{63B3BB69-23CF-44E3-9099-C40C66FF867C}">
                  <a14:compatExt spid="_x0000_s5141"/>
                </a:ext>
                <a:ext uri="{FF2B5EF4-FFF2-40B4-BE49-F238E27FC236}">
                  <a16:creationId xmlns:a16="http://schemas.microsoft.com/office/drawing/2014/main" id="{974CCE76-6863-EF60-38B8-801BB7BE51E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40</xdr:row>
      <xdr:rowOff>160020</xdr:rowOff>
    </xdr:from>
    <xdr:to>
      <xdr:col>23</xdr:col>
      <xdr:colOff>83820</xdr:colOff>
      <xdr:row>59</xdr:row>
      <xdr:rowOff>7620</xdr:rowOff>
    </xdr:to>
    <xdr:graphicFrame macro="">
      <xdr:nvGraphicFramePr>
        <xdr:cNvPr id="2049" name="Chart 1">
          <a:extLst>
            <a:ext uri="{FF2B5EF4-FFF2-40B4-BE49-F238E27FC236}">
              <a16:creationId xmlns:a16="http://schemas.microsoft.com/office/drawing/2014/main" id="{D25F2EEB-A7E2-2E63-964F-653060F6F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2628900</xdr:colOff>
          <xdr:row>38</xdr:row>
          <xdr:rowOff>0</xdr:rowOff>
        </xdr:from>
        <xdr:to>
          <xdr:col>1</xdr:col>
          <xdr:colOff>2804160</xdr:colOff>
          <xdr:row>39</xdr:row>
          <xdr:rowOff>7620</xdr:rowOff>
        </xdr:to>
        <xdr:sp macro="" textlink="">
          <xdr:nvSpPr>
            <xdr:cNvPr id="6145" name="Object 1" hidden="1">
              <a:extLst>
                <a:ext uri="{63B3BB69-23CF-44E3-9099-C40C66FF867C}">
                  <a14:compatExt spid="_x0000_s6145"/>
                </a:ext>
                <a:ext uri="{FF2B5EF4-FFF2-40B4-BE49-F238E27FC236}">
                  <a16:creationId xmlns:a16="http://schemas.microsoft.com/office/drawing/2014/main" id="{D60D9BFE-8C5C-F639-E0C2-F2AB5B6E10D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1</xdr:col>
      <xdr:colOff>701040</xdr:colOff>
      <xdr:row>25</xdr:row>
      <xdr:rowOff>106680</xdr:rowOff>
    </xdr:from>
    <xdr:to>
      <xdr:col>1</xdr:col>
      <xdr:colOff>1714500</xdr:colOff>
      <xdr:row>33</xdr:row>
      <xdr:rowOff>22860</xdr:rowOff>
    </xdr:to>
    <xdr:sp macro="" textlink="">
      <xdr:nvSpPr>
        <xdr:cNvPr id="6147" name="Text Box 3">
          <a:extLst>
            <a:ext uri="{FF2B5EF4-FFF2-40B4-BE49-F238E27FC236}">
              <a16:creationId xmlns:a16="http://schemas.microsoft.com/office/drawing/2014/main" id="{A34B2C26-9CA8-83DB-5583-DD1FB89824FD}"/>
            </a:ext>
          </a:extLst>
        </xdr:cNvPr>
        <xdr:cNvSpPr txBox="1">
          <a:spLocks noChangeArrowheads="1"/>
        </xdr:cNvSpPr>
      </xdr:nvSpPr>
      <xdr:spPr bwMode="auto">
        <a:xfrm>
          <a:off x="883920" y="6301740"/>
          <a:ext cx="1013460" cy="12573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Inventory Rationing Calculation</a:t>
          </a:r>
        </a:p>
      </xdr:txBody>
    </xdr:sp>
    <xdr:clientData/>
  </xdr:twoCellAnchor>
  <xdr:twoCellAnchor>
    <xdr:from>
      <xdr:col>1</xdr:col>
      <xdr:colOff>3413760</xdr:colOff>
      <xdr:row>25</xdr:row>
      <xdr:rowOff>7620</xdr:rowOff>
    </xdr:from>
    <xdr:to>
      <xdr:col>1</xdr:col>
      <xdr:colOff>4427220</xdr:colOff>
      <xdr:row>28</xdr:row>
      <xdr:rowOff>121920</xdr:rowOff>
    </xdr:to>
    <xdr:sp macro="" textlink="">
      <xdr:nvSpPr>
        <xdr:cNvPr id="6148" name="Text Box 4">
          <a:extLst>
            <a:ext uri="{FF2B5EF4-FFF2-40B4-BE49-F238E27FC236}">
              <a16:creationId xmlns:a16="http://schemas.microsoft.com/office/drawing/2014/main" id="{13330615-BFFB-D03C-C1CD-FD60703BED7D}"/>
            </a:ext>
          </a:extLst>
        </xdr:cNvPr>
        <xdr:cNvSpPr txBox="1">
          <a:spLocks noChangeArrowheads="1"/>
        </xdr:cNvSpPr>
      </xdr:nvSpPr>
      <xdr:spPr bwMode="auto">
        <a:xfrm>
          <a:off x="3596640" y="6202680"/>
          <a:ext cx="1013460" cy="6172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Components Pivot</a:t>
          </a:r>
        </a:p>
      </xdr:txBody>
    </xdr:sp>
    <xdr:clientData/>
  </xdr:twoCellAnchor>
  <xdr:twoCellAnchor>
    <xdr:from>
      <xdr:col>1</xdr:col>
      <xdr:colOff>3413760</xdr:colOff>
      <xdr:row>30</xdr:row>
      <xdr:rowOff>7620</xdr:rowOff>
    </xdr:from>
    <xdr:to>
      <xdr:col>1</xdr:col>
      <xdr:colOff>4427220</xdr:colOff>
      <xdr:row>33</xdr:row>
      <xdr:rowOff>129540</xdr:rowOff>
    </xdr:to>
    <xdr:sp macro="" textlink="">
      <xdr:nvSpPr>
        <xdr:cNvPr id="6149" name="Text Box 5">
          <a:extLst>
            <a:ext uri="{FF2B5EF4-FFF2-40B4-BE49-F238E27FC236}">
              <a16:creationId xmlns:a16="http://schemas.microsoft.com/office/drawing/2014/main" id="{4A04F109-E71A-A0CF-8C97-1ADC2399F900}"/>
            </a:ext>
          </a:extLst>
        </xdr:cNvPr>
        <xdr:cNvSpPr txBox="1">
          <a:spLocks noChangeArrowheads="1"/>
        </xdr:cNvSpPr>
      </xdr:nvSpPr>
      <xdr:spPr bwMode="auto">
        <a:xfrm>
          <a:off x="3596640" y="7040880"/>
          <a:ext cx="1013460" cy="624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Products Pivot</a:t>
          </a:r>
        </a:p>
      </xdr:txBody>
    </xdr:sp>
    <xdr:clientData/>
  </xdr:twoCellAnchor>
  <xdr:twoCellAnchor>
    <xdr:from>
      <xdr:col>1</xdr:col>
      <xdr:colOff>1729740</xdr:colOff>
      <xdr:row>28</xdr:row>
      <xdr:rowOff>30480</xdr:rowOff>
    </xdr:from>
    <xdr:to>
      <xdr:col>1</xdr:col>
      <xdr:colOff>3406140</xdr:colOff>
      <xdr:row>28</xdr:row>
      <xdr:rowOff>30480</xdr:rowOff>
    </xdr:to>
    <xdr:sp macro="" textlink="">
      <xdr:nvSpPr>
        <xdr:cNvPr id="6150" name="Line 6">
          <a:extLst>
            <a:ext uri="{FF2B5EF4-FFF2-40B4-BE49-F238E27FC236}">
              <a16:creationId xmlns:a16="http://schemas.microsoft.com/office/drawing/2014/main" id="{9A6633E1-BC61-3F9C-E8C1-4E8617D88BAE}"/>
            </a:ext>
          </a:extLst>
        </xdr:cNvPr>
        <xdr:cNvSpPr>
          <a:spLocks noChangeShapeType="1"/>
        </xdr:cNvSpPr>
      </xdr:nvSpPr>
      <xdr:spPr bwMode="auto">
        <a:xfrm>
          <a:off x="1912620" y="6728460"/>
          <a:ext cx="1676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1729740</xdr:colOff>
      <xdr:row>30</xdr:row>
      <xdr:rowOff>45720</xdr:rowOff>
    </xdr:from>
    <xdr:to>
      <xdr:col>1</xdr:col>
      <xdr:colOff>3406140</xdr:colOff>
      <xdr:row>30</xdr:row>
      <xdr:rowOff>45720</xdr:rowOff>
    </xdr:to>
    <xdr:sp macro="" textlink="">
      <xdr:nvSpPr>
        <xdr:cNvPr id="6151" name="Line 7">
          <a:extLst>
            <a:ext uri="{FF2B5EF4-FFF2-40B4-BE49-F238E27FC236}">
              <a16:creationId xmlns:a16="http://schemas.microsoft.com/office/drawing/2014/main" id="{DF1B3CE9-D685-DE60-EA84-9B2485429D40}"/>
            </a:ext>
          </a:extLst>
        </xdr:cNvPr>
        <xdr:cNvSpPr>
          <a:spLocks noChangeShapeType="1"/>
        </xdr:cNvSpPr>
      </xdr:nvSpPr>
      <xdr:spPr bwMode="auto">
        <a:xfrm>
          <a:off x="1912620" y="7078980"/>
          <a:ext cx="1676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1729740</xdr:colOff>
      <xdr:row>32</xdr:row>
      <xdr:rowOff>121920</xdr:rowOff>
    </xdr:from>
    <xdr:to>
      <xdr:col>1</xdr:col>
      <xdr:colOff>3413760</xdr:colOff>
      <xdr:row>32</xdr:row>
      <xdr:rowOff>121920</xdr:rowOff>
    </xdr:to>
    <xdr:sp macro="" textlink="">
      <xdr:nvSpPr>
        <xdr:cNvPr id="6152" name="Line 8">
          <a:extLst>
            <a:ext uri="{FF2B5EF4-FFF2-40B4-BE49-F238E27FC236}">
              <a16:creationId xmlns:a16="http://schemas.microsoft.com/office/drawing/2014/main" id="{A365DE97-4CD6-F543-549C-7A54CD3F3CBE}"/>
            </a:ext>
          </a:extLst>
        </xdr:cNvPr>
        <xdr:cNvSpPr>
          <a:spLocks noChangeShapeType="1"/>
        </xdr:cNvSpPr>
      </xdr:nvSpPr>
      <xdr:spPr bwMode="auto">
        <a:xfrm flipH="1">
          <a:off x="1912620" y="7490460"/>
          <a:ext cx="16840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1729740</xdr:colOff>
      <xdr:row>25</xdr:row>
      <xdr:rowOff>160020</xdr:rowOff>
    </xdr:from>
    <xdr:to>
      <xdr:col>1</xdr:col>
      <xdr:colOff>3413760</xdr:colOff>
      <xdr:row>25</xdr:row>
      <xdr:rowOff>160020</xdr:rowOff>
    </xdr:to>
    <xdr:sp macro="" textlink="">
      <xdr:nvSpPr>
        <xdr:cNvPr id="6153" name="Line 9">
          <a:extLst>
            <a:ext uri="{FF2B5EF4-FFF2-40B4-BE49-F238E27FC236}">
              <a16:creationId xmlns:a16="http://schemas.microsoft.com/office/drawing/2014/main" id="{DB610C5B-9241-B643-4095-4B92F1B1C7B7}"/>
            </a:ext>
          </a:extLst>
        </xdr:cNvPr>
        <xdr:cNvSpPr>
          <a:spLocks noChangeShapeType="1"/>
        </xdr:cNvSpPr>
      </xdr:nvSpPr>
      <xdr:spPr bwMode="auto">
        <a:xfrm flipH="1">
          <a:off x="1912620" y="6355080"/>
          <a:ext cx="16840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2438400</xdr:colOff>
      <xdr:row>24</xdr:row>
      <xdr:rowOff>91440</xdr:rowOff>
    </xdr:from>
    <xdr:to>
      <xdr:col>1</xdr:col>
      <xdr:colOff>2636520</xdr:colOff>
      <xdr:row>25</xdr:row>
      <xdr:rowOff>99060</xdr:rowOff>
    </xdr:to>
    <xdr:sp macro="" textlink="">
      <xdr:nvSpPr>
        <xdr:cNvPr id="6155" name="Text Box 11">
          <a:extLst>
            <a:ext uri="{FF2B5EF4-FFF2-40B4-BE49-F238E27FC236}">
              <a16:creationId xmlns:a16="http://schemas.microsoft.com/office/drawing/2014/main" id="{7EBCB408-C4C3-37E1-CA7D-AEE283B1065E}"/>
            </a:ext>
          </a:extLst>
        </xdr:cNvPr>
        <xdr:cNvSpPr txBox="1">
          <a:spLocks noChangeArrowheads="1"/>
        </xdr:cNvSpPr>
      </xdr:nvSpPr>
      <xdr:spPr bwMode="auto">
        <a:xfrm>
          <a:off x="2621280" y="6118860"/>
          <a:ext cx="198120" cy="175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F</a:t>
          </a:r>
        </a:p>
      </xdr:txBody>
    </xdr:sp>
    <xdr:clientData/>
  </xdr:twoCellAnchor>
  <xdr:twoCellAnchor>
    <xdr:from>
      <xdr:col>1</xdr:col>
      <xdr:colOff>2430780</xdr:colOff>
      <xdr:row>33</xdr:row>
      <xdr:rowOff>0</xdr:rowOff>
    </xdr:from>
    <xdr:to>
      <xdr:col>1</xdr:col>
      <xdr:colOff>2628900</xdr:colOff>
      <xdr:row>34</xdr:row>
      <xdr:rowOff>7620</xdr:rowOff>
    </xdr:to>
    <xdr:sp macro="" textlink="">
      <xdr:nvSpPr>
        <xdr:cNvPr id="6156" name="Text Box 12">
          <a:extLst>
            <a:ext uri="{FF2B5EF4-FFF2-40B4-BE49-F238E27FC236}">
              <a16:creationId xmlns:a16="http://schemas.microsoft.com/office/drawing/2014/main" id="{831CB241-FE09-E888-542D-412E1038B969}"/>
            </a:ext>
          </a:extLst>
        </xdr:cNvPr>
        <xdr:cNvSpPr txBox="1">
          <a:spLocks noChangeArrowheads="1"/>
        </xdr:cNvSpPr>
      </xdr:nvSpPr>
      <xdr:spPr bwMode="auto">
        <a:xfrm>
          <a:off x="2613660" y="7536180"/>
          <a:ext cx="198120" cy="175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F</a:t>
          </a:r>
        </a:p>
      </xdr:txBody>
    </xdr:sp>
    <xdr:clientData/>
  </xdr:twoCellAnchor>
  <xdr:twoCellAnchor>
    <xdr:from>
      <xdr:col>1</xdr:col>
      <xdr:colOff>2430780</xdr:colOff>
      <xdr:row>30</xdr:row>
      <xdr:rowOff>68580</xdr:rowOff>
    </xdr:from>
    <xdr:to>
      <xdr:col>1</xdr:col>
      <xdr:colOff>2628900</xdr:colOff>
      <xdr:row>31</xdr:row>
      <xdr:rowOff>76200</xdr:rowOff>
    </xdr:to>
    <xdr:sp macro="" textlink="">
      <xdr:nvSpPr>
        <xdr:cNvPr id="6157" name="Text Box 13">
          <a:extLst>
            <a:ext uri="{FF2B5EF4-FFF2-40B4-BE49-F238E27FC236}">
              <a16:creationId xmlns:a16="http://schemas.microsoft.com/office/drawing/2014/main" id="{4ADFC79B-FC31-9AA2-9C3C-4147DDF9F45C}"/>
            </a:ext>
          </a:extLst>
        </xdr:cNvPr>
        <xdr:cNvSpPr txBox="1">
          <a:spLocks noChangeArrowheads="1"/>
        </xdr:cNvSpPr>
      </xdr:nvSpPr>
      <xdr:spPr bwMode="auto">
        <a:xfrm>
          <a:off x="2613660" y="7101840"/>
          <a:ext cx="198120" cy="175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a:t>
          </a:r>
        </a:p>
      </xdr:txBody>
    </xdr:sp>
    <xdr:clientData/>
  </xdr:twoCellAnchor>
  <xdr:twoCellAnchor>
    <xdr:from>
      <xdr:col>1</xdr:col>
      <xdr:colOff>2438400</xdr:colOff>
      <xdr:row>26</xdr:row>
      <xdr:rowOff>144780</xdr:rowOff>
    </xdr:from>
    <xdr:to>
      <xdr:col>1</xdr:col>
      <xdr:colOff>2636520</xdr:colOff>
      <xdr:row>27</xdr:row>
      <xdr:rowOff>160020</xdr:rowOff>
    </xdr:to>
    <xdr:sp macro="" textlink="">
      <xdr:nvSpPr>
        <xdr:cNvPr id="6158" name="Text Box 14">
          <a:extLst>
            <a:ext uri="{FF2B5EF4-FFF2-40B4-BE49-F238E27FC236}">
              <a16:creationId xmlns:a16="http://schemas.microsoft.com/office/drawing/2014/main" id="{4A7CD68E-0AC1-DB62-5782-C6A08991FCCE}"/>
            </a:ext>
          </a:extLst>
        </xdr:cNvPr>
        <xdr:cNvSpPr txBox="1">
          <a:spLocks noChangeArrowheads="1"/>
        </xdr:cNvSpPr>
      </xdr:nvSpPr>
      <xdr:spPr bwMode="auto">
        <a:xfrm>
          <a:off x="2621280" y="6507480"/>
          <a:ext cx="198120" cy="1828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a:t>
          </a:r>
        </a:p>
      </xdr:txBody>
    </xdr:sp>
    <xdr:clientData/>
  </xdr:twoCellAnchor>
  <xdr:twoCellAnchor>
    <xdr:from>
      <xdr:col>1</xdr:col>
      <xdr:colOff>1089660</xdr:colOff>
      <xdr:row>34</xdr:row>
      <xdr:rowOff>160020</xdr:rowOff>
    </xdr:from>
    <xdr:to>
      <xdr:col>1</xdr:col>
      <xdr:colOff>1287780</xdr:colOff>
      <xdr:row>36</xdr:row>
      <xdr:rowOff>0</xdr:rowOff>
    </xdr:to>
    <xdr:sp macro="" textlink="">
      <xdr:nvSpPr>
        <xdr:cNvPr id="6159" name="Text Box 15">
          <a:extLst>
            <a:ext uri="{FF2B5EF4-FFF2-40B4-BE49-F238E27FC236}">
              <a16:creationId xmlns:a16="http://schemas.microsoft.com/office/drawing/2014/main" id="{22D0D8C9-4E4A-4DFE-BDE2-7B2D3F2C19AC}"/>
            </a:ext>
          </a:extLst>
        </xdr:cNvPr>
        <xdr:cNvSpPr txBox="1">
          <a:spLocks noChangeArrowheads="1"/>
        </xdr:cNvSpPr>
      </xdr:nvSpPr>
      <xdr:spPr bwMode="auto">
        <a:xfrm>
          <a:off x="1272540" y="7863840"/>
          <a:ext cx="198120" cy="175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F</a:t>
          </a:r>
        </a:p>
      </xdr:txBody>
    </xdr:sp>
    <xdr:clientData/>
  </xdr:twoCellAnchor>
  <xdr:twoCellAnchor>
    <xdr:from>
      <xdr:col>1</xdr:col>
      <xdr:colOff>1089660</xdr:colOff>
      <xdr:row>36</xdr:row>
      <xdr:rowOff>7620</xdr:rowOff>
    </xdr:from>
    <xdr:to>
      <xdr:col>1</xdr:col>
      <xdr:colOff>1287780</xdr:colOff>
      <xdr:row>37</xdr:row>
      <xdr:rowOff>22860</xdr:rowOff>
    </xdr:to>
    <xdr:sp macro="" textlink="">
      <xdr:nvSpPr>
        <xdr:cNvPr id="6160" name="Text Box 16">
          <a:extLst>
            <a:ext uri="{FF2B5EF4-FFF2-40B4-BE49-F238E27FC236}">
              <a16:creationId xmlns:a16="http://schemas.microsoft.com/office/drawing/2014/main" id="{C270411F-48F4-6CAA-C745-C535C02A2AC0}"/>
            </a:ext>
          </a:extLst>
        </xdr:cNvPr>
        <xdr:cNvSpPr txBox="1">
          <a:spLocks noChangeArrowheads="1"/>
        </xdr:cNvSpPr>
      </xdr:nvSpPr>
      <xdr:spPr bwMode="auto">
        <a:xfrm>
          <a:off x="1272540" y="8046720"/>
          <a:ext cx="198120" cy="1828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Tony Rice" refreshedDate="36802.515121643519" createdVersion="1" recordCount="25" upgradeOnRefresh="1">
  <cacheSource type="worksheet">
    <worksheetSource ref="A15:I40" sheet="Finite Schedule"/>
  </cacheSource>
  <cacheFields count="9">
    <cacheField name="Product" numFmtId="0">
      <sharedItems containsBlank="1" count="8">
        <m/>
        <s v="AB500"/>
        <s v="FL500"/>
        <s v="Idle"/>
        <s v="FL250"/>
        <s v="AB250"/>
        <s v="AB100"/>
        <s v="FL100"/>
      </sharedItems>
    </cacheField>
    <cacheField name="Force" numFmtId="0">
      <sharedItems containsString="0" containsBlank="1" count="1">
        <m/>
      </sharedItems>
    </cacheField>
    <cacheField name="Qty" numFmtId="0">
      <sharedItems containsString="0" containsBlank="1" containsNumber="1" containsInteger="1" minValue="0" maxValue="2580" count="11">
        <m/>
        <n v="110"/>
        <n v="2580"/>
        <n v="0"/>
        <n v="1234"/>
        <n v="1960"/>
        <n v="2383"/>
        <n v="1609"/>
        <n v="2538"/>
        <n v="304"/>
        <n v="2321"/>
      </sharedItems>
    </cacheField>
    <cacheField name="Force2" numFmtId="0">
      <sharedItems containsString="0" containsBlank="1" count="1">
        <m/>
      </sharedItems>
    </cacheField>
    <cacheField name="Idle hours" numFmtId="0">
      <sharedItems containsString="0" containsBlank="1" containsNumber="1" minValue="0" maxValue="101.1177048" count="13">
        <m/>
        <n v="0"/>
        <n v="22.4285712"/>
        <n v="31.868575199999999"/>
        <n v="101.1177048"/>
        <n v="21.469442399999998"/>
        <n v="15.1071312"/>
        <n v="21.928569600000003"/>
        <n v="21.725726400000003"/>
        <n v="4.8399959999999993"/>
        <n v="92.898287999999994"/>
        <n v="17.647425600000002"/>
        <n v="7.7571479999999999"/>
      </sharedItems>
    </cacheField>
    <cacheField name="Force3" numFmtId="0">
      <sharedItems containsBlank="1" count="2">
        <s v="Opening stock:"/>
        <m/>
      </sharedItems>
    </cacheField>
    <cacheField name="Run hours" numFmtId="0">
      <sharedItems containsString="0" containsBlank="1" containsNumber="1" minValue="0" maxValue="27.234285714285715" count="11">
        <m/>
        <n v="0.62857142857142856"/>
        <n v="14.742857142857142"/>
        <n v="0"/>
        <n v="7.0514285714285716"/>
        <n v="22.4"/>
        <n v="27.234285714285715"/>
        <n v="18.388571428571428"/>
        <n v="14.502857142857144"/>
        <n v="3.4742857142857142"/>
        <n v="26.525714285714287"/>
      </sharedItems>
    </cacheField>
    <cacheField name="Start" numFmtId="0">
      <sharedItems containsDate="1" containsString="0" containsBlank="1" minDate="2000-03-14T08:00:00" maxDate="2000-04-06T04:19:22" count="25">
        <m/>
        <d v="2000-03-14T08:00:00"/>
        <d v="2000-03-14T08:37:43"/>
        <d v="2000-03-14T23:22:17"/>
        <d v="2000-03-15T21:48:00"/>
        <d v="2000-03-16T04:51:05"/>
        <d v="2000-03-17T12:43:12"/>
        <d v="2000-03-18T11:07:12"/>
        <d v="2000-03-19T14:21:15"/>
        <d v="2000-03-23T19:28:19"/>
        <d v="2000-03-24T13:51:38"/>
        <d v="2000-03-25T11:19:48"/>
        <d v="2000-03-26T01:49:58"/>
        <d v="2000-03-26T16:56:24"/>
        <d v="2000-03-26T23:59:29"/>
        <d v="2000-03-27T21:55:12"/>
        <d v="2000-03-28T01:23:39"/>
        <d v="2000-03-28T23:07:12"/>
        <d v="2000-03-29T21:31:12"/>
        <d v="2000-03-30T02:21:36"/>
        <d v="2000-03-31T04:53:09"/>
        <d v="2000-04-04T01:47:02"/>
        <d v="2000-04-04T20:10:21"/>
        <d v="2000-04-05T13:49:12"/>
        <d v="2000-04-06T04:19:22"/>
      </sharedItems>
    </cacheField>
    <cacheField name="Stop" numFmtId="0">
      <sharedItems containsSemiMixedTypes="0" containsNonDate="0" containsDate="1" containsString="0" minDate="2000-03-14T08:00:00" maxDate="2000-04-06T12:04:48" count="25">
        <d v="2000-03-14T08:00:00"/>
        <d v="2000-03-14T08:37:43"/>
        <d v="2000-03-14T23:22:17"/>
        <d v="2000-03-15T21:48:00"/>
        <d v="2000-03-16T04:51:05"/>
        <d v="2000-03-17T12:43:12"/>
        <d v="2000-03-18T11:07:12"/>
        <d v="2000-03-19T14:21:15"/>
        <d v="2000-03-23T19:28:19"/>
        <d v="2000-03-24T13:51:38"/>
        <d v="2000-03-25T11:19:48"/>
        <d v="2000-03-26T01:49:58"/>
        <d v="2000-03-26T16:56:24"/>
        <d v="2000-03-26T23:59:29"/>
        <d v="2000-03-27T21:55:12"/>
        <d v="2000-03-28T01:23:39"/>
        <d v="2000-03-28T23:07:12"/>
        <d v="2000-03-29T21:31:12"/>
        <d v="2000-03-30T02:21:36"/>
        <d v="2000-03-31T04:53:09"/>
        <d v="2000-04-04T01:47:02"/>
        <d v="2000-04-04T20:10:21"/>
        <d v="2000-04-05T13:49:12"/>
        <d v="2000-04-06T04:19:22"/>
        <d v="2000-04-06T12:04:4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ony Rice" refreshedDate="36802.515121643519" createdVersion="1" recordCount="138" upgradeOnRefresh="1">
  <cacheSource type="worksheet">
    <worksheetSource ref="A4:G142" sheet="BOM x 3"/>
  </cacheSource>
  <cacheFields count="7">
    <cacheField name="Product/Run" numFmtId="0">
      <sharedItems count="21">
        <s v="AB100/1"/>
        <s v="AB250/1"/>
        <s v="AB500/1"/>
        <s v="FL100/1"/>
        <s v="FL250/1"/>
        <s v="FL500/1"/>
        <s v="/1"/>
        <s v="AB100/2"/>
        <s v="AB250/2"/>
        <s v="AB500/2"/>
        <s v="FL100/2"/>
        <s v="FL250/2"/>
        <s v="FL500/2"/>
        <s v="/2"/>
        <s v="AB100/3"/>
        <s v="AB250/3"/>
        <s v="AB500/3"/>
        <s v="FL100/3"/>
        <s v="FL250/3"/>
        <s v="FL500/3"/>
        <s v="/3"/>
      </sharedItems>
    </cacheField>
    <cacheField name="Component" numFmtId="0">
      <sharedItems containsMixedTypes="1" containsNumber="1" containsInteger="1" minValue="0" maxValue="0" count="17">
        <s v="BS01"/>
        <s v="BT100"/>
        <s v="CAPF"/>
        <s v="CARS"/>
        <s v="ESA"/>
        <s v="LAB10"/>
        <s v="BT250"/>
        <s v="CARL"/>
        <s v="LAB25"/>
        <s v="BT500"/>
        <s v="CAPS"/>
        <s v="LAB50"/>
        <s v="ESL"/>
        <s v="LFL10"/>
        <s v="LFL25"/>
        <s v="LFL50"/>
        <n v="0"/>
      </sharedItems>
    </cacheField>
    <cacheField name="Qty each" numFmtId="0">
      <sharedItems containsSemiMixedTypes="0" containsString="0" containsNumber="1" minValue="0" maxValue="50" count="10">
        <n v="4.8"/>
        <n v="48"/>
        <n v="1"/>
        <n v="4.8000000000000001E-2"/>
        <n v="50"/>
        <n v="12"/>
        <n v="0.12"/>
        <n v="24"/>
        <n v="26"/>
        <n v="0"/>
      </sharedItems>
    </cacheField>
    <cacheField name="Production Run Index" numFmtId="0">
      <sharedItems containsMixedTypes="1" containsNumber="1" containsInteger="1" minValue="6" maxValue="18" count="14">
        <n v="6"/>
        <n v="8"/>
        <n v="10"/>
        <n v="13"/>
        <n v="14"/>
        <n v="16"/>
        <e v="#N/A"/>
        <n v="7"/>
        <n v="9"/>
        <n v="11"/>
        <n v="15"/>
        <n v="17"/>
        <n v="12"/>
        <n v="18"/>
      </sharedItems>
    </cacheField>
    <cacheField name="Start Date" numFmtId="0">
      <sharedItems containsSemiMixedTypes="0" containsNonDate="0" containsDate="1" containsString="0" minDate="1899-12-30T00:00:00" maxDate="2000-04-06T00:00:00" count="13">
        <d v="2000-03-23T00:00:00"/>
        <d v="2000-03-18T00:00:00"/>
        <d v="2000-03-14T00:00:00"/>
        <d v="2000-03-27T00:00:00"/>
        <d v="2000-03-17T00:00:00"/>
        <d v="1899-12-30T00:00:00"/>
        <d v="2000-04-04T00:00:00"/>
        <d v="2000-03-30T00:00:00"/>
        <d v="2000-03-15T00:00:00"/>
        <d v="2000-03-28T00:00:00"/>
        <d v="2000-03-25T00:00:00"/>
        <d v="2000-03-26T00:00:00"/>
        <d v="2000-04-05T00:00:00"/>
      </sharedItems>
    </cacheField>
    <cacheField name="Production Qty" numFmtId="0">
      <sharedItems containsSemiMixedTypes="0" containsString="0" containsNumber="1" containsInteger="1" minValue="0" maxValue="2580" count="10">
        <n v="1609"/>
        <n v="2383"/>
        <n v="110"/>
        <n v="304"/>
        <n v="1960"/>
        <n v="2580"/>
        <n v="0"/>
        <n v="2321"/>
        <n v="1234"/>
        <n v="2538"/>
      </sharedItems>
    </cacheField>
    <cacheField name="Component Quantity Required" numFmtId="0">
      <sharedItems containsSemiMixedTypes="0" containsString="0" containsNumber="1" minValue="0" maxValue="11915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Tony Rice" refreshedDate="36805.31767592593" createdVersion="1" recordCount="193" upgradeOnRefresh="1">
  <cacheSource type="worksheet">
    <worksheetSource ref="C6:N199" sheet="Allocate Inventory"/>
  </cacheSource>
  <cacheFields count="12">
    <cacheField name="Product/Run" numFmtId="0">
      <sharedItems containsBlank="1" count="15">
        <s v="AB500/1"/>
        <s v="FL500/1"/>
        <s v="AB500/2"/>
        <s v="FL250/1"/>
        <s v="AB250/1"/>
        <s v="AB100/1"/>
        <s v="FL500/2"/>
        <s v="AB500/3"/>
        <s v="FL100/1"/>
        <s v="FL250/2"/>
        <s v="AB250/2"/>
        <s v="AB100/2"/>
        <s v="FL500/3"/>
        <m/>
        <s v=""/>
      </sharedItems>
    </cacheField>
    <cacheField name="Total" numFmtId="0">
      <sharedItems containsBlank="1" containsMixedTypes="1" containsNumber="1" minValue="13.2" maxValue="119150"/>
    </cacheField>
    <cacheField name="Component" numFmtId="0">
      <sharedItems containsMixedTypes="1" containsNumber="1" containsInteger="1" minValue="0" maxValue="0" count="18">
        <s v="BS01"/>
        <s v="BT100"/>
        <s v="BT250"/>
        <s v="BT500"/>
        <s v="CAPF"/>
        <s v="CAPS"/>
        <s v="CARL"/>
        <s v="CARS"/>
        <s v="ESA"/>
        <s v="ESL"/>
        <s v="LAB10"/>
        <s v="LAB25"/>
        <s v="LAB50"/>
        <s v="LFL10"/>
        <s v="LFL25"/>
        <s v="LFL50"/>
        <s v=""/>
        <n v="0"/>
      </sharedItems>
    </cacheField>
    <cacheField name="Start Date" numFmtId="0">
      <sharedItems containsDate="1" containsMixedTypes="1" minDate="1899-12-30T00:00:00" maxDate="2000-05-01T00:00:00" count="30">
        <d v="2000-03-14T00:00:00"/>
        <d v="2000-03-15T00:00:00"/>
        <d v="2000-03-17T00:00:00"/>
        <d v="2000-03-18T00:00:00"/>
        <d v="2000-03-23T00:00:00"/>
        <d v="2000-03-25T00:00:00"/>
        <d v="2000-03-26T00:00:00"/>
        <d v="2000-03-27T00:00:00"/>
        <d v="2000-03-28T00:00:00"/>
        <d v="2000-03-30T00:00:00"/>
        <d v="2000-04-04T00:00:00"/>
        <d v="2000-04-05T00:00:00"/>
        <s v=""/>
        <d v="2000-04-14T00:00:00"/>
        <d v="2000-04-01T00:00:00"/>
        <d v="2000-04-22T00:00:00"/>
        <d v="2000-03-16T00:00:00"/>
        <d v="2000-04-15T00:00:00"/>
        <d v="2000-04-07T00:00:00"/>
        <d v="2000-04-02T00:00:00"/>
        <d v="2000-04-26T00:00:00"/>
        <d v="2000-04-06T00:00:00"/>
        <d v="2000-04-03T00:00:00"/>
        <d v="2000-03-21T00:00:00"/>
        <d v="2000-04-16T00:00:00"/>
        <d v="2000-04-30T00:00:00"/>
        <d v="2000-04-28T00:00:00"/>
        <d v="2000-03-31T00:00:00"/>
        <d v="2000-04-13T00:00:00"/>
        <d v="1899-12-30T00:00:00"/>
      </sharedItems>
    </cacheField>
    <cacheField name="Item Index" numFmtId="0">
      <sharedItems containsBlank="1" containsMixedTypes="1" containsNumber="1" containsInteger="1" minValue="12" maxValue="27" count="18">
        <n v="12"/>
        <n v="15"/>
        <n v="16"/>
        <n v="17"/>
        <n v="18"/>
        <n v="19"/>
        <n v="27"/>
        <n v="26"/>
        <n v="13"/>
        <n v="14"/>
        <n v="20"/>
        <n v="21"/>
        <n v="22"/>
        <n v="23"/>
        <n v="24"/>
        <n v="25"/>
        <e v="#N/A"/>
        <m/>
      </sharedItems>
    </cacheField>
    <cacheField name="Description" numFmtId="0">
      <sharedItems containsMixedTypes="1" containsNumber="1" containsInteger="1" minValue="0" maxValue="0" count="18">
        <s v="Base Shampoo"/>
        <s v="Bottle 100ml"/>
        <s v="Bottle 250ml"/>
        <s v="Bottle 500ml"/>
        <s v="Flip cap"/>
        <s v="Screw cap"/>
        <s v="Carton large"/>
        <s v="Carton small"/>
        <s v="Apple essence"/>
        <s v="Lemon essence"/>
        <s v="Label Apple Blossom 100ml"/>
        <s v="Label Apple Blossom 250ml"/>
        <s v="Label Apple Blossom 500ml"/>
        <s v="Label Fragrant Lemon 100ml"/>
        <s v="Label Fragrant Lemon 250ml"/>
        <s v="Label Fragrant Lemon 500ml"/>
        <e v="#N/A"/>
        <n v="0"/>
      </sharedItems>
    </cacheField>
    <cacheField name="Supplier" numFmtId="0">
      <sharedItems containsMixedTypes="1" containsNumber="1" containsInteger="1" minValue="0" maxValue="0" count="7">
        <s v="AC01"/>
        <s v="BP01"/>
        <s v="EC01"/>
        <s v="CE01"/>
        <s v="DP01"/>
        <e v="#N/A"/>
        <n v="0"/>
      </sharedItems>
    </cacheField>
    <cacheField name="Supplier Name" numFmtId="0">
      <sharedItems containsMixedTypes="1" containsNumber="1" containsInteger="1" minValue="0" maxValue="0" count="7">
        <s v="Ace Chemicals"/>
        <s v="Best Plastics"/>
        <s v="Eduardo Corrugates"/>
        <s v="Chang Essences"/>
        <s v="Dave's Printing"/>
        <e v="#N/A"/>
        <n v="0"/>
      </sharedItems>
    </cacheField>
    <cacheField name="Inventory" numFmtId="0">
      <sharedItems containsBlank="1" containsMixedTypes="1" containsNumber="1" containsInteger="1" minValue="998" maxValue="266776" count="18">
        <n v="34276"/>
        <n v="122472"/>
        <n v="184968"/>
        <n v="36516"/>
        <n v="65738"/>
        <n v="37818"/>
        <n v="4368"/>
        <n v="998"/>
        <n v="1494"/>
        <n v="1002"/>
        <n v="211796"/>
        <n v="266776"/>
        <n v="24964"/>
        <n v="32140"/>
        <n v="83496"/>
        <n v="117354"/>
        <e v="#N/A"/>
        <m/>
      </sharedItems>
    </cacheField>
    <cacheField name="Balance Remaining" numFmtId="0">
      <sharedItems containsBlank="1" containsMixedTypes="1" containsNumber="1" minValue="-517270" maxValue="147626"/>
    </cacheField>
    <cacheField name="Get In" numFmtId="0">
      <sharedItems containsBlank="1" containsMixedTypes="1" containsNumber="1" minValue="0" maxValue="114384" count="40">
        <n v="0"/>
        <n v="12812"/>
        <n v="23520"/>
        <n v="28596"/>
        <n v="7723.2"/>
        <n v="30456"/>
        <n v="14808"/>
        <n v="1459.2"/>
        <n v="27852"/>
        <n v="46584"/>
        <n v="23496"/>
        <n v="94080"/>
        <n v="111408"/>
        <n v="28044"/>
        <n v="29616"/>
        <n v="60912"/>
        <n v="28342"/>
        <n v="114384"/>
        <n v="77232"/>
        <n v="14592"/>
        <n v="26742"/>
        <n v="1516"/>
        <n v="2383"/>
        <n v="2538"/>
        <n v="1234"/>
        <n v="1960"/>
        <n v="2321"/>
        <n v="611"/>
        <n v="304"/>
        <n v="1609"/>
        <n v="97.152000000000015"/>
        <n v="304.56"/>
        <n v="9980"/>
        <n v="32084"/>
        <n v="14504"/>
        <n v="98000"/>
        <n v="15714"/>
        <n v="65988"/>
        <e v="#N/A"/>
        <m/>
      </sharedItems>
    </cacheField>
    <cacheField name="On order" numFmtId="0">
      <sharedItems containsString="0" containsBlank="1" containsNumber="1" containsInteger="1" minValue="0" maxValue="300000" count="18">
        <m/>
        <n v="100000"/>
        <n v="40000"/>
        <n v="90000"/>
        <n v="50000"/>
        <n v="200000"/>
        <n v="300000"/>
        <n v="8000"/>
        <n v="5000"/>
        <n v="1000"/>
        <n v="60"/>
        <n v="100"/>
        <n v="350"/>
        <n v="70000"/>
        <n v="60000"/>
        <n v="20000"/>
        <n v="10000"/>
        <n v="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Tony Rice" refreshedDate="36805.317686689814" createdVersion="1" recordCount="36" upgradeOnRefresh="1">
  <cacheSource type="worksheet">
    <worksheetSource ref="A4:AI40" sheet="Inventory Rationing Calculation"/>
  </cacheSource>
  <cacheFields count="35">
    <cacheField name="Product" numFmtId="0">
      <sharedItems count="6">
        <s v="AB100"/>
        <s v="AB250"/>
        <s v="AB500"/>
        <s v="FL100"/>
        <s v="FL250"/>
        <s v="FL500"/>
      </sharedItems>
    </cacheField>
    <cacheField name="Component" numFmtId="0">
      <sharedItems count="16">
        <s v="BS01"/>
        <s v="BT100"/>
        <s v="CAPF"/>
        <s v="CARS"/>
        <s v="ESA"/>
        <s v="LAB10"/>
        <s v="BT250"/>
        <s v="CARL"/>
        <s v="LAB25"/>
        <s v="BT500"/>
        <s v="CAPS"/>
        <s v="LAB50"/>
        <s v="ESL"/>
        <s v="LFL10"/>
        <s v="LFL25"/>
        <s v="LFL50"/>
      </sharedItems>
    </cacheField>
    <cacheField name="Qty" numFmtId="0">
      <sharedItems containsSemiMixedTypes="0" containsString="0" containsNumber="1" minValue="4.8000000000000001E-2" maxValue="50" count="9">
        <n v="4.8"/>
        <n v="48"/>
        <n v="1"/>
        <n v="4.8000000000000001E-2"/>
        <n v="50"/>
        <n v="12"/>
        <n v="0.12"/>
        <n v="24"/>
        <n v="26"/>
      </sharedItems>
    </cacheField>
    <cacheField name="Component Description" numFmtId="0">
      <sharedItems count="16">
        <s v="Base Shampoo"/>
        <s v="Bottle 100ml"/>
        <s v="Flip cap"/>
        <s v="Carton small"/>
        <s v="Apple essence"/>
        <s v="Label Apple Blossom 100ml"/>
        <s v="Bottle 250ml"/>
        <s v="Carton large"/>
        <s v="Label Apple Blossom 250ml"/>
        <s v="Bottle 500ml"/>
        <s v="Screw cap"/>
        <s v="Label Apple Blossom 500ml"/>
        <s v="Lemon essence"/>
        <s v="Label Fragrant Lemon 100ml"/>
        <s v="Label Fragrant Lemon 250ml"/>
        <s v="Label Fragrant Lemon 500ml"/>
      </sharedItems>
    </cacheField>
    <cacheField name="Product Sales Forcast per Week" numFmtId="0">
      <sharedItems containsSemiMixedTypes="0" containsString="0" containsNumber="1" containsInteger="1" minValue="200" maxValue="1600" count="6">
        <n v="1000"/>
        <n v="1400"/>
        <n v="800"/>
        <n v="200"/>
        <n v="1200"/>
        <n v="1600"/>
      </sharedItems>
    </cacheField>
    <cacheField name="Product Inventory" numFmtId="0">
      <sharedItems containsSemiMixedTypes="0" containsString="0" containsNumber="1" containsInteger="1" minValue="470" maxValue="1854" count="6">
        <n v="1854"/>
        <n v="1470"/>
        <n v="470"/>
        <n v="488"/>
        <n v="1148"/>
        <n v="766"/>
      </sharedItems>
    </cacheField>
    <cacheField name="Product Inventory Cover Weeks" numFmtId="0">
      <sharedItems containsSemiMixedTypes="0" containsString="0" containsNumber="1" minValue="0.47875000000000001" maxValue="2.44" count="6">
        <n v="1.8540000000000001"/>
        <n v="1.05"/>
        <n v="0.58750000000000002"/>
        <n v="2.44"/>
        <n v="0.95666666666666667"/>
        <n v="0.47875000000000001"/>
      </sharedItems>
    </cacheField>
    <cacheField name="Component Sales Forcast per Week" numFmtId="0">
      <sharedItems containsSemiMixedTypes="0" containsString="0" containsNumber="1" minValue="0" maxValue="70000" count="26">
        <n v="0"/>
        <n v="48000"/>
        <n v="48"/>
        <n v="50000"/>
        <n v="16800"/>
        <n v="67200"/>
        <n v="1400"/>
        <n v="168"/>
        <n v="70000"/>
        <n v="9600"/>
        <n v="19200"/>
        <n v="800"/>
        <n v="96"/>
        <n v="20800"/>
        <n v="200"/>
        <n v="9.6"/>
        <n v="10000"/>
        <n v="14400"/>
        <n v="57600"/>
        <n v="1200"/>
        <n v="144"/>
        <n v="60000"/>
        <n v="38400"/>
        <n v="1600"/>
        <n v="192"/>
        <n v="41600"/>
      </sharedItems>
    </cacheField>
    <cacheField name="Total Component Sales Forecast" numFmtId="0">
      <sharedItems containsSemiMixedTypes="0" containsString="0" containsNumber="1" minValue="200" maxValue="124800" count="13">
        <n v="60000"/>
        <n v="57600"/>
        <n v="124800"/>
        <n v="1000"/>
        <n v="312"/>
        <n v="50000"/>
        <n v="5000"/>
        <n v="70000"/>
        <n v="20800"/>
        <n v="200"/>
        <n v="345.6"/>
        <n v="10000"/>
        <n v="41600"/>
      </sharedItems>
    </cacheField>
    <cacheField name="Components in Inventory" numFmtId="0">
      <sharedItems containsSemiMixedTypes="0" containsString="0" containsNumber="1" containsInteger="1" minValue="998" maxValue="266776" count="16">
        <n v="34276"/>
        <n v="122472"/>
        <n v="65738"/>
        <n v="998"/>
        <n v="1494"/>
        <n v="211796"/>
        <n v="184968"/>
        <n v="4368"/>
        <n v="266776"/>
        <n v="36516"/>
        <n v="37818"/>
        <n v="24964"/>
        <n v="1002"/>
        <n v="32140"/>
        <n v="83496"/>
        <n v="117354"/>
      </sharedItems>
    </cacheField>
    <cacheField name="Components in Product Inventory" numFmtId="0">
      <sharedItems containsSemiMixedTypes="0" containsString="0" containsNumber="1" minValue="0" maxValue="92700" count="28">
        <n v="0"/>
        <n v="88992"/>
        <n v="88.992000000000004"/>
        <n v="92700"/>
        <n v="17640"/>
        <n v="70560"/>
        <n v="1470"/>
        <n v="176.4"/>
        <n v="73500"/>
        <n v="5640"/>
        <n v="11280"/>
        <n v="470"/>
        <n v="56.4"/>
        <n v="12220"/>
        <n v="23424"/>
        <n v="488"/>
        <n v="23.423999999999999"/>
        <n v="24400"/>
        <n v="13776"/>
        <n v="55104"/>
        <n v="1148"/>
        <n v="137.76"/>
        <n v="57400"/>
        <n v="9192"/>
        <n v="18384"/>
        <n v="766"/>
        <n v="91.92"/>
        <n v="19916"/>
      </sharedItems>
    </cacheField>
    <cacheField name="Total Components in Product Inventory" numFmtId="0">
      <sharedItems containsSemiMixedTypes="0" containsString="0" containsNumber="1" minValue="253.10399999999998" maxValue="125664" count="14">
        <n v="46248"/>
        <n v="112416"/>
        <n v="125664"/>
        <n v="488"/>
        <n v="321.79199999999997"/>
        <n v="92700"/>
        <n v="3854"/>
        <n v="73500"/>
        <n v="29664"/>
        <n v="12220"/>
        <n v="253.10399999999998"/>
        <n v="24400"/>
        <n v="57400"/>
        <n v="19916"/>
      </sharedItems>
    </cacheField>
    <cacheField name="Total Average Inventory Cover" numFmtId="0">
      <sharedItems containsSemiMixedTypes="0" containsString="0" containsNumber="1" minValue="1.1489583333333333" maxValue="7.43" count="17">
        <n v="1.3420666666666667"/>
        <n v="4.0779166666666669"/>
        <n v="1.5336698717948718"/>
        <n v="1.486"/>
        <n v="5.8198461538461537"/>
        <n v="6.0899200000000002"/>
        <n v="2.4890384615384615"/>
        <n v="1.6444000000000001"/>
        <n v="4.8610857142857142"/>
        <n v="1.1489583333333333"/>
        <n v="1.1715625000000001"/>
        <n v="1.7876923076923077"/>
        <n v="7.43"/>
        <n v="3.6316666666666664"/>
        <n v="5.6539999999999999"/>
        <n v="2.3482666666666665"/>
        <n v="3.2997596153846156"/>
      </sharedItems>
    </cacheField>
    <cacheField name="Product Cover Below Average" numFmtId="0">
      <sharedItems count="2">
        <b v="0"/>
        <b v="1"/>
      </sharedItems>
    </cacheField>
    <cacheField name="Min Average Cover" numFmtId="0">
      <sharedItems containsSemiMixedTypes="0" containsString="0" containsNumber="1" minValue="1.1489583333333333" maxValue="1.3420666666666667" count="2">
        <n v="1.3420666666666667"/>
        <n v="1.1489583333333333"/>
      </sharedItems>
    </cacheField>
    <cacheField name="Make Weeks" numFmtId="0">
      <sharedItems containsSemiMixedTypes="0" containsString="0" containsNumber="1" minValue="0" maxValue="0.67020833333333329" count="5">
        <n v="0"/>
        <n v="0.2920666666666667"/>
        <n v="0.56145833333333328"/>
        <n v="0.38540000000000008"/>
        <n v="0.67020833333333329"/>
      </sharedItems>
    </cacheField>
    <cacheField name="Make Product" numFmtId="0">
      <sharedItems containsSemiMixedTypes="0" containsString="0" containsNumber="1" minValue="0" maxValue="1072.3333333333333" count="5">
        <n v="0"/>
        <n v="408.89333333333337"/>
        <n v="449.16666666666663"/>
        <n v="462.48000000000008"/>
        <n v="1072.3333333333333"/>
      </sharedItems>
    </cacheField>
    <cacheField name="Use Component" numFmtId="0">
      <sharedItems containsSemiMixedTypes="0" containsString="0" containsNumber="1" minValue="0" maxValue="27880.666666666664" count="21">
        <n v="0"/>
        <n v="4906.72"/>
        <n v="19626.88"/>
        <n v="408.89333333333337"/>
        <n v="49.0672"/>
        <n v="20444.666666666668"/>
        <n v="5390"/>
        <n v="10780"/>
        <n v="449.16666666666663"/>
        <n v="53.899999999999991"/>
        <n v="11678.333333333332"/>
        <n v="5549.7600000000011"/>
        <n v="22199.040000000005"/>
        <n v="462.48000000000008"/>
        <n v="55.497600000000006"/>
        <n v="23124.000000000004"/>
        <n v="12868"/>
        <n v="25736"/>
        <n v="1072.3333333333333"/>
        <n v="128.67999999999998"/>
        <n v="27880.666666666664"/>
      </sharedItems>
    </cacheField>
    <cacheField name="Total Use Component" numFmtId="0">
      <sharedItems containsSemiMixedTypes="0" containsString="0" containsNumber="1" minValue="0" maxValue="41825.919999999998" count="11">
        <n v="28714.48"/>
        <n v="0"/>
        <n v="41825.919999999998"/>
        <n v="102.96719999999999"/>
        <n v="2392.873333333333"/>
        <n v="20444.666666666668"/>
        <n v="36516"/>
        <n v="11678.333333333332"/>
        <n v="184.17759999999998"/>
        <n v="23124"/>
        <n v="27880.666666666664"/>
      </sharedItems>
    </cacheField>
    <cacheField name="Product Inventory 2" numFmtId="0">
      <sharedItems containsSemiMixedTypes="0" containsString="0" containsNumber="1" minValue="488" maxValue="1878.8933333333334" count="6">
        <n v="1854"/>
        <n v="1878.8933333333334"/>
        <n v="919.16666666666663"/>
        <n v="488"/>
        <n v="1610.48"/>
        <n v="1838.3333333333333"/>
      </sharedItems>
    </cacheField>
    <cacheField name="Product Inventory Cover Weeks 2" numFmtId="0">
      <sharedItems containsSemiMixedTypes="0" containsString="0" containsNumber="1" minValue="1.1489583333333333" maxValue="2.44" count="4">
        <n v="1.8540000000000001"/>
        <n v="1.3420666666666667"/>
        <n v="1.1489583333333333"/>
        <n v="2.44"/>
      </sharedItems>
    </cacheField>
    <cacheField name="Component Sales Forcast per Week 2" numFmtId="0">
      <sharedItems containsSemiMixedTypes="0" containsString="0" containsNumber="1" minValue="0" maxValue="10000" count="6">
        <n v="0"/>
        <n v="960"/>
        <n v="9600"/>
        <n v="200"/>
        <n v="9.6"/>
        <n v="10000"/>
      </sharedItems>
    </cacheField>
    <cacheField name="Total Component Sales Forecast 2" numFmtId="0">
      <sharedItems containsSemiMixedTypes="0" containsString="0" containsNumber="1" minValue="9.6" maxValue="70000" count="28">
        <n v="4800"/>
        <n v="48000"/>
        <n v="1000"/>
        <n v="48"/>
        <n v="50000"/>
        <n v="16800"/>
        <n v="67200"/>
        <n v="1400"/>
        <n v="168"/>
        <n v="70000"/>
        <n v="9600"/>
        <n v="19200"/>
        <n v="800"/>
        <n v="96"/>
        <n v="20800"/>
        <n v="960"/>
        <n v="200"/>
        <n v="9.6"/>
        <n v="10000"/>
        <n v="14400"/>
        <n v="57600"/>
        <n v="1200"/>
        <n v="144"/>
        <n v="60000"/>
        <n v="38400"/>
        <n v="1600"/>
        <n v="192"/>
        <n v="41600"/>
      </sharedItems>
    </cacheField>
    <cacheField name="Components in Inventory 2" numFmtId="0">
      <sharedItems containsSemiMixedTypes="0" containsString="0" containsNumber="1" minValue="0" maxValue="246331.33333333334" count="16">
        <n v="5561.52"/>
        <n v="122472"/>
        <n v="23912.080000000002"/>
        <n v="998"/>
        <n v="1391.0328"/>
        <n v="211796"/>
        <n v="143142.08000000002"/>
        <n v="1975.126666666667"/>
        <n v="246331.33333333334"/>
        <n v="0"/>
        <n v="1302"/>
        <n v="13285.666666666668"/>
        <n v="817.82240000000002"/>
        <n v="32140"/>
        <n v="60372"/>
        <n v="89473.333333333343"/>
      </sharedItems>
    </cacheField>
    <cacheField name="Components in Product Inventory 2" numFmtId="0">
      <sharedItems containsSemiMixedTypes="0" containsString="0" containsNumber="1" minValue="0" maxValue="24400" count="6">
        <n v="0"/>
        <n v="2342.4"/>
        <n v="23424"/>
        <n v="488"/>
        <n v="23.423999999999999"/>
        <n v="24400"/>
      </sharedItems>
    </cacheField>
    <cacheField name="Total Components in Product Inventory 2" numFmtId="0">
      <sharedItems containsSemiMixedTypes="0" containsString="0" containsNumber="1" minValue="0" maxValue="24400" count="6">
        <n v="2342.4"/>
        <n v="23424"/>
        <n v="488"/>
        <n v="0"/>
        <n v="23.423999999999999"/>
        <n v="24400"/>
      </sharedItems>
    </cacheField>
    <cacheField name="Total Average Inventory Cover 2" numFmtId="0">
      <sharedItems containsSemiMixedTypes="0" containsString="0" containsNumber="1" minValue="0" maxValue="87.629833333333337"/>
    </cacheField>
    <cacheField name="Product Cover Below Average 2" numFmtId="0">
      <sharedItems count="2">
        <b v="0"/>
        <b v="1"/>
      </sharedItems>
    </cacheField>
    <cacheField name="Min Average Cover 2" numFmtId="0">
      <sharedItems containsSemiMixedTypes="0" containsString="0" containsNumber="1" minValue="0" maxValue="4.9308416666666668" count="5">
        <n v="0.98616833333333342"/>
        <n v="0.4704714285714286"/>
        <n v="0"/>
        <n v="4.9308416666666668"/>
        <n v="0.54888333333333339"/>
      </sharedItems>
    </cacheField>
    <cacheField name="Make Weeks 2" numFmtId="0">
      <sharedItems containsSemiMixedTypes="0" containsString="0" containsNumber="1" minValue="0" maxValue="2.4908416666666668" count="2">
        <n v="0"/>
        <n v="2.4908416666666668"/>
      </sharedItems>
    </cacheField>
    <cacheField name="Make Product 2" numFmtId="0">
      <sharedItems containsSemiMixedTypes="0" containsString="0" containsNumber="1" minValue="0" maxValue="498.16833333333335" count="2">
        <n v="0"/>
        <n v="498.16833333333335"/>
      </sharedItems>
    </cacheField>
    <cacheField name="Use Component 2" numFmtId="0">
      <sharedItems containsSemiMixedTypes="0" containsString="0" containsNumber="1" minValue="0" maxValue="24908.416666666668" count="6">
        <n v="0"/>
        <n v="2391.2080000000001"/>
        <n v="23912.080000000002"/>
        <n v="498.16833333333335"/>
        <n v="23.912080000000003"/>
        <n v="24908.416666666668"/>
      </sharedItems>
    </cacheField>
    <cacheField name="Total Use Component 2" numFmtId="0">
      <sharedItems containsSemiMixedTypes="0" containsString="0" containsNumber="1" minValue="0" maxValue="24908.416666666668" count="6">
        <n v="2391.2080000000001"/>
        <n v="23912.080000000002"/>
        <n v="498.16833333333335"/>
        <n v="0"/>
        <n v="23.912080000000003"/>
        <n v="24908.416666666668"/>
      </sharedItems>
    </cacheField>
    <cacheField name="Components in Inventory 3" numFmtId="0">
      <sharedItems containsSemiMixedTypes="0" containsString="0" containsNumber="1" minValue="0" maxValue="246331.33333333334" count="15">
        <n v="3170.3120000000004"/>
        <n v="98559.92"/>
        <n v="0"/>
        <n v="499.83166666666665"/>
        <n v="1391.0328"/>
        <n v="211796"/>
        <n v="143142.08000000002"/>
        <n v="1975.126666666667"/>
        <n v="246331.33333333334"/>
        <n v="1302"/>
        <n v="13285.666666666668"/>
        <n v="793.91031999999996"/>
        <n v="7231.5833333333321"/>
        <n v="60372"/>
        <n v="89473.333333333343"/>
      </sharedItems>
    </cacheField>
    <cacheField name="Make Product 1+2" numFmtId="0">
      <sharedItems containsSemiMixedTypes="0" containsString="0" containsNumber="1" containsInteger="1" minValue="0" maxValue="1072" count="6">
        <n v="0"/>
        <n v="409"/>
        <n v="449"/>
        <n v="498"/>
        <n v="462"/>
        <n v="107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
  <r>
    <x v="0"/>
    <x v="0"/>
    <x v="0"/>
    <x v="0"/>
    <x v="0"/>
    <x v="0"/>
    <x v="0"/>
    <x v="0"/>
    <x v="0"/>
  </r>
  <r>
    <x v="1"/>
    <x v="0"/>
    <x v="1"/>
    <x v="0"/>
    <x v="1"/>
    <x v="1"/>
    <x v="1"/>
    <x v="1"/>
    <x v="1"/>
  </r>
  <r>
    <x v="2"/>
    <x v="0"/>
    <x v="2"/>
    <x v="0"/>
    <x v="1"/>
    <x v="1"/>
    <x v="2"/>
    <x v="2"/>
    <x v="2"/>
  </r>
  <r>
    <x v="3"/>
    <x v="0"/>
    <x v="3"/>
    <x v="0"/>
    <x v="2"/>
    <x v="1"/>
    <x v="3"/>
    <x v="3"/>
    <x v="3"/>
  </r>
  <r>
    <x v="1"/>
    <x v="0"/>
    <x v="4"/>
    <x v="0"/>
    <x v="1"/>
    <x v="1"/>
    <x v="4"/>
    <x v="4"/>
    <x v="4"/>
  </r>
  <r>
    <x v="3"/>
    <x v="0"/>
    <x v="3"/>
    <x v="0"/>
    <x v="3"/>
    <x v="1"/>
    <x v="3"/>
    <x v="5"/>
    <x v="5"/>
  </r>
  <r>
    <x v="4"/>
    <x v="0"/>
    <x v="5"/>
    <x v="0"/>
    <x v="1"/>
    <x v="1"/>
    <x v="5"/>
    <x v="6"/>
    <x v="6"/>
  </r>
  <r>
    <x v="5"/>
    <x v="0"/>
    <x v="6"/>
    <x v="0"/>
    <x v="1"/>
    <x v="1"/>
    <x v="6"/>
    <x v="7"/>
    <x v="7"/>
  </r>
  <r>
    <x v="3"/>
    <x v="0"/>
    <x v="3"/>
    <x v="0"/>
    <x v="4"/>
    <x v="1"/>
    <x v="3"/>
    <x v="8"/>
    <x v="8"/>
  </r>
  <r>
    <x v="6"/>
    <x v="0"/>
    <x v="7"/>
    <x v="0"/>
    <x v="1"/>
    <x v="1"/>
    <x v="7"/>
    <x v="9"/>
    <x v="9"/>
  </r>
  <r>
    <x v="3"/>
    <x v="0"/>
    <x v="3"/>
    <x v="0"/>
    <x v="5"/>
    <x v="1"/>
    <x v="3"/>
    <x v="10"/>
    <x v="10"/>
  </r>
  <r>
    <x v="2"/>
    <x v="0"/>
    <x v="8"/>
    <x v="0"/>
    <x v="1"/>
    <x v="1"/>
    <x v="8"/>
    <x v="11"/>
    <x v="11"/>
  </r>
  <r>
    <x v="3"/>
    <x v="0"/>
    <x v="3"/>
    <x v="0"/>
    <x v="6"/>
    <x v="1"/>
    <x v="3"/>
    <x v="12"/>
    <x v="12"/>
  </r>
  <r>
    <x v="1"/>
    <x v="0"/>
    <x v="4"/>
    <x v="0"/>
    <x v="1"/>
    <x v="1"/>
    <x v="4"/>
    <x v="13"/>
    <x v="13"/>
  </r>
  <r>
    <x v="3"/>
    <x v="0"/>
    <x v="3"/>
    <x v="0"/>
    <x v="7"/>
    <x v="1"/>
    <x v="3"/>
    <x v="14"/>
    <x v="14"/>
  </r>
  <r>
    <x v="7"/>
    <x v="0"/>
    <x v="9"/>
    <x v="0"/>
    <x v="1"/>
    <x v="1"/>
    <x v="9"/>
    <x v="15"/>
    <x v="15"/>
  </r>
  <r>
    <x v="3"/>
    <x v="0"/>
    <x v="3"/>
    <x v="0"/>
    <x v="8"/>
    <x v="1"/>
    <x v="3"/>
    <x v="16"/>
    <x v="16"/>
  </r>
  <r>
    <x v="4"/>
    <x v="0"/>
    <x v="5"/>
    <x v="0"/>
    <x v="1"/>
    <x v="1"/>
    <x v="5"/>
    <x v="17"/>
    <x v="17"/>
  </r>
  <r>
    <x v="3"/>
    <x v="0"/>
    <x v="3"/>
    <x v="0"/>
    <x v="9"/>
    <x v="1"/>
    <x v="3"/>
    <x v="18"/>
    <x v="18"/>
  </r>
  <r>
    <x v="5"/>
    <x v="0"/>
    <x v="10"/>
    <x v="0"/>
    <x v="1"/>
    <x v="1"/>
    <x v="10"/>
    <x v="19"/>
    <x v="19"/>
  </r>
  <r>
    <x v="3"/>
    <x v="0"/>
    <x v="3"/>
    <x v="0"/>
    <x v="10"/>
    <x v="1"/>
    <x v="3"/>
    <x v="20"/>
    <x v="20"/>
  </r>
  <r>
    <x v="6"/>
    <x v="0"/>
    <x v="7"/>
    <x v="0"/>
    <x v="1"/>
    <x v="1"/>
    <x v="7"/>
    <x v="21"/>
    <x v="21"/>
  </r>
  <r>
    <x v="3"/>
    <x v="0"/>
    <x v="3"/>
    <x v="0"/>
    <x v="11"/>
    <x v="1"/>
    <x v="3"/>
    <x v="22"/>
    <x v="22"/>
  </r>
  <r>
    <x v="2"/>
    <x v="0"/>
    <x v="8"/>
    <x v="0"/>
    <x v="1"/>
    <x v="1"/>
    <x v="8"/>
    <x v="23"/>
    <x v="23"/>
  </r>
  <r>
    <x v="3"/>
    <x v="0"/>
    <x v="3"/>
    <x v="0"/>
    <x v="12"/>
    <x v="1"/>
    <x v="3"/>
    <x v="24"/>
    <x v="24"/>
  </r>
</pivotCacheRecords>
</file>

<file path=xl/pivotCache/pivotCacheRecords2.xml><?xml version="1.0" encoding="utf-8"?>
<pivotCacheRecords xmlns="http://schemas.openxmlformats.org/spreadsheetml/2006/main" xmlns:r="http://schemas.openxmlformats.org/officeDocument/2006/relationships" count="138">
  <r>
    <x v="0"/>
    <x v="0"/>
    <x v="0"/>
    <x v="0"/>
    <x v="0"/>
    <x v="0"/>
    <n v="7723.2"/>
  </r>
  <r>
    <x v="0"/>
    <x v="1"/>
    <x v="1"/>
    <x v="0"/>
    <x v="0"/>
    <x v="0"/>
    <n v="77232"/>
  </r>
  <r>
    <x v="0"/>
    <x v="2"/>
    <x v="1"/>
    <x v="0"/>
    <x v="0"/>
    <x v="0"/>
    <n v="77232"/>
  </r>
  <r>
    <x v="0"/>
    <x v="3"/>
    <x v="2"/>
    <x v="0"/>
    <x v="0"/>
    <x v="0"/>
    <n v="1609"/>
  </r>
  <r>
    <x v="0"/>
    <x v="4"/>
    <x v="3"/>
    <x v="0"/>
    <x v="0"/>
    <x v="0"/>
    <n v="77.231999999999999"/>
  </r>
  <r>
    <x v="0"/>
    <x v="5"/>
    <x v="4"/>
    <x v="0"/>
    <x v="0"/>
    <x v="0"/>
    <n v="80450"/>
  </r>
  <r>
    <x v="1"/>
    <x v="0"/>
    <x v="5"/>
    <x v="1"/>
    <x v="1"/>
    <x v="1"/>
    <n v="28596"/>
  </r>
  <r>
    <x v="1"/>
    <x v="6"/>
    <x v="1"/>
    <x v="1"/>
    <x v="1"/>
    <x v="1"/>
    <n v="114384"/>
  </r>
  <r>
    <x v="1"/>
    <x v="2"/>
    <x v="1"/>
    <x v="1"/>
    <x v="1"/>
    <x v="1"/>
    <n v="114384"/>
  </r>
  <r>
    <x v="1"/>
    <x v="7"/>
    <x v="2"/>
    <x v="1"/>
    <x v="1"/>
    <x v="1"/>
    <n v="2383"/>
  </r>
  <r>
    <x v="1"/>
    <x v="4"/>
    <x v="6"/>
    <x v="1"/>
    <x v="1"/>
    <x v="1"/>
    <n v="285.95999999999998"/>
  </r>
  <r>
    <x v="1"/>
    <x v="8"/>
    <x v="4"/>
    <x v="1"/>
    <x v="1"/>
    <x v="1"/>
    <n v="119150"/>
  </r>
  <r>
    <x v="2"/>
    <x v="0"/>
    <x v="5"/>
    <x v="2"/>
    <x v="2"/>
    <x v="2"/>
    <n v="1320"/>
  </r>
  <r>
    <x v="2"/>
    <x v="9"/>
    <x v="7"/>
    <x v="2"/>
    <x v="2"/>
    <x v="2"/>
    <n v="2640"/>
  </r>
  <r>
    <x v="2"/>
    <x v="10"/>
    <x v="7"/>
    <x v="2"/>
    <x v="2"/>
    <x v="2"/>
    <n v="2640"/>
  </r>
  <r>
    <x v="2"/>
    <x v="7"/>
    <x v="2"/>
    <x v="2"/>
    <x v="2"/>
    <x v="2"/>
    <n v="110"/>
  </r>
  <r>
    <x v="2"/>
    <x v="4"/>
    <x v="6"/>
    <x v="2"/>
    <x v="2"/>
    <x v="2"/>
    <n v="13.2"/>
  </r>
  <r>
    <x v="2"/>
    <x v="11"/>
    <x v="8"/>
    <x v="2"/>
    <x v="2"/>
    <x v="2"/>
    <n v="2860"/>
  </r>
  <r>
    <x v="3"/>
    <x v="0"/>
    <x v="0"/>
    <x v="3"/>
    <x v="3"/>
    <x v="3"/>
    <n v="1459.2"/>
  </r>
  <r>
    <x v="3"/>
    <x v="1"/>
    <x v="1"/>
    <x v="3"/>
    <x v="3"/>
    <x v="3"/>
    <n v="14592"/>
  </r>
  <r>
    <x v="3"/>
    <x v="2"/>
    <x v="1"/>
    <x v="3"/>
    <x v="3"/>
    <x v="3"/>
    <n v="14592"/>
  </r>
  <r>
    <x v="3"/>
    <x v="3"/>
    <x v="2"/>
    <x v="3"/>
    <x v="3"/>
    <x v="3"/>
    <n v="304"/>
  </r>
  <r>
    <x v="3"/>
    <x v="12"/>
    <x v="3"/>
    <x v="3"/>
    <x v="3"/>
    <x v="3"/>
    <n v="14.592000000000001"/>
  </r>
  <r>
    <x v="3"/>
    <x v="13"/>
    <x v="4"/>
    <x v="3"/>
    <x v="3"/>
    <x v="3"/>
    <n v="15200"/>
  </r>
  <r>
    <x v="4"/>
    <x v="0"/>
    <x v="5"/>
    <x v="4"/>
    <x v="4"/>
    <x v="4"/>
    <n v="23520"/>
  </r>
  <r>
    <x v="4"/>
    <x v="6"/>
    <x v="1"/>
    <x v="4"/>
    <x v="4"/>
    <x v="4"/>
    <n v="94080"/>
  </r>
  <r>
    <x v="4"/>
    <x v="2"/>
    <x v="1"/>
    <x v="4"/>
    <x v="4"/>
    <x v="4"/>
    <n v="94080"/>
  </r>
  <r>
    <x v="4"/>
    <x v="7"/>
    <x v="2"/>
    <x v="4"/>
    <x v="4"/>
    <x v="4"/>
    <n v="1960"/>
  </r>
  <r>
    <x v="4"/>
    <x v="12"/>
    <x v="6"/>
    <x v="4"/>
    <x v="4"/>
    <x v="4"/>
    <n v="235.2"/>
  </r>
  <r>
    <x v="4"/>
    <x v="14"/>
    <x v="4"/>
    <x v="4"/>
    <x v="4"/>
    <x v="4"/>
    <n v="98000"/>
  </r>
  <r>
    <x v="5"/>
    <x v="0"/>
    <x v="5"/>
    <x v="5"/>
    <x v="2"/>
    <x v="5"/>
    <n v="30960"/>
  </r>
  <r>
    <x v="5"/>
    <x v="9"/>
    <x v="7"/>
    <x v="5"/>
    <x v="2"/>
    <x v="5"/>
    <n v="61920"/>
  </r>
  <r>
    <x v="5"/>
    <x v="10"/>
    <x v="7"/>
    <x v="5"/>
    <x v="2"/>
    <x v="5"/>
    <n v="61920"/>
  </r>
  <r>
    <x v="5"/>
    <x v="7"/>
    <x v="2"/>
    <x v="5"/>
    <x v="2"/>
    <x v="5"/>
    <n v="2580"/>
  </r>
  <r>
    <x v="5"/>
    <x v="12"/>
    <x v="6"/>
    <x v="5"/>
    <x v="2"/>
    <x v="5"/>
    <n v="309.59999999999997"/>
  </r>
  <r>
    <x v="5"/>
    <x v="15"/>
    <x v="8"/>
    <x v="5"/>
    <x v="2"/>
    <x v="5"/>
    <n v="67080"/>
  </r>
  <r>
    <x v="6"/>
    <x v="16"/>
    <x v="9"/>
    <x v="6"/>
    <x v="5"/>
    <x v="6"/>
    <n v="0"/>
  </r>
  <r>
    <x v="6"/>
    <x v="16"/>
    <x v="9"/>
    <x v="6"/>
    <x v="5"/>
    <x v="6"/>
    <n v="0"/>
  </r>
  <r>
    <x v="6"/>
    <x v="16"/>
    <x v="9"/>
    <x v="6"/>
    <x v="5"/>
    <x v="6"/>
    <n v="0"/>
  </r>
  <r>
    <x v="6"/>
    <x v="16"/>
    <x v="9"/>
    <x v="6"/>
    <x v="5"/>
    <x v="6"/>
    <n v="0"/>
  </r>
  <r>
    <x v="6"/>
    <x v="16"/>
    <x v="9"/>
    <x v="6"/>
    <x v="5"/>
    <x v="6"/>
    <n v="0"/>
  </r>
  <r>
    <x v="6"/>
    <x v="16"/>
    <x v="9"/>
    <x v="6"/>
    <x v="5"/>
    <x v="6"/>
    <n v="0"/>
  </r>
  <r>
    <x v="6"/>
    <x v="16"/>
    <x v="9"/>
    <x v="6"/>
    <x v="5"/>
    <x v="6"/>
    <n v="0"/>
  </r>
  <r>
    <x v="6"/>
    <x v="16"/>
    <x v="9"/>
    <x v="6"/>
    <x v="5"/>
    <x v="6"/>
    <n v="0"/>
  </r>
  <r>
    <x v="6"/>
    <x v="16"/>
    <x v="9"/>
    <x v="6"/>
    <x v="5"/>
    <x v="6"/>
    <n v="0"/>
  </r>
  <r>
    <x v="6"/>
    <x v="16"/>
    <x v="9"/>
    <x v="6"/>
    <x v="5"/>
    <x v="6"/>
    <n v="0"/>
  </r>
  <r>
    <x v="7"/>
    <x v="0"/>
    <x v="0"/>
    <x v="7"/>
    <x v="6"/>
    <x v="0"/>
    <n v="7723.2"/>
  </r>
  <r>
    <x v="7"/>
    <x v="1"/>
    <x v="1"/>
    <x v="7"/>
    <x v="6"/>
    <x v="0"/>
    <n v="77232"/>
  </r>
  <r>
    <x v="7"/>
    <x v="2"/>
    <x v="1"/>
    <x v="7"/>
    <x v="6"/>
    <x v="0"/>
    <n v="77232"/>
  </r>
  <r>
    <x v="7"/>
    <x v="3"/>
    <x v="2"/>
    <x v="7"/>
    <x v="6"/>
    <x v="0"/>
    <n v="1609"/>
  </r>
  <r>
    <x v="7"/>
    <x v="4"/>
    <x v="3"/>
    <x v="7"/>
    <x v="6"/>
    <x v="0"/>
    <n v="77.231999999999999"/>
  </r>
  <r>
    <x v="7"/>
    <x v="5"/>
    <x v="4"/>
    <x v="7"/>
    <x v="6"/>
    <x v="0"/>
    <n v="80450"/>
  </r>
  <r>
    <x v="8"/>
    <x v="0"/>
    <x v="5"/>
    <x v="8"/>
    <x v="7"/>
    <x v="7"/>
    <n v="27852"/>
  </r>
  <r>
    <x v="8"/>
    <x v="6"/>
    <x v="1"/>
    <x v="8"/>
    <x v="7"/>
    <x v="7"/>
    <n v="111408"/>
  </r>
  <r>
    <x v="8"/>
    <x v="2"/>
    <x v="1"/>
    <x v="8"/>
    <x v="7"/>
    <x v="7"/>
    <n v="111408"/>
  </r>
  <r>
    <x v="8"/>
    <x v="7"/>
    <x v="2"/>
    <x v="8"/>
    <x v="7"/>
    <x v="7"/>
    <n v="2321"/>
  </r>
  <r>
    <x v="8"/>
    <x v="4"/>
    <x v="6"/>
    <x v="8"/>
    <x v="7"/>
    <x v="7"/>
    <n v="278.52"/>
  </r>
  <r>
    <x v="8"/>
    <x v="8"/>
    <x v="4"/>
    <x v="8"/>
    <x v="7"/>
    <x v="7"/>
    <n v="116050"/>
  </r>
  <r>
    <x v="9"/>
    <x v="0"/>
    <x v="5"/>
    <x v="9"/>
    <x v="8"/>
    <x v="8"/>
    <n v="14808"/>
  </r>
  <r>
    <x v="9"/>
    <x v="9"/>
    <x v="7"/>
    <x v="9"/>
    <x v="8"/>
    <x v="8"/>
    <n v="29616"/>
  </r>
  <r>
    <x v="9"/>
    <x v="10"/>
    <x v="7"/>
    <x v="9"/>
    <x v="8"/>
    <x v="8"/>
    <n v="29616"/>
  </r>
  <r>
    <x v="9"/>
    <x v="7"/>
    <x v="2"/>
    <x v="9"/>
    <x v="8"/>
    <x v="8"/>
    <n v="1234"/>
  </r>
  <r>
    <x v="9"/>
    <x v="4"/>
    <x v="6"/>
    <x v="9"/>
    <x v="8"/>
    <x v="8"/>
    <n v="148.08000000000001"/>
  </r>
  <r>
    <x v="9"/>
    <x v="11"/>
    <x v="8"/>
    <x v="9"/>
    <x v="8"/>
    <x v="8"/>
    <n v="32084"/>
  </r>
  <r>
    <x v="10"/>
    <x v="0"/>
    <x v="0"/>
    <x v="6"/>
    <x v="5"/>
    <x v="6"/>
    <n v="0"/>
  </r>
  <r>
    <x v="10"/>
    <x v="1"/>
    <x v="1"/>
    <x v="6"/>
    <x v="5"/>
    <x v="6"/>
    <n v="0"/>
  </r>
  <r>
    <x v="10"/>
    <x v="2"/>
    <x v="1"/>
    <x v="6"/>
    <x v="5"/>
    <x v="6"/>
    <n v="0"/>
  </r>
  <r>
    <x v="10"/>
    <x v="3"/>
    <x v="2"/>
    <x v="6"/>
    <x v="5"/>
    <x v="6"/>
    <n v="0"/>
  </r>
  <r>
    <x v="10"/>
    <x v="12"/>
    <x v="3"/>
    <x v="6"/>
    <x v="5"/>
    <x v="6"/>
    <n v="0"/>
  </r>
  <r>
    <x v="10"/>
    <x v="13"/>
    <x v="4"/>
    <x v="6"/>
    <x v="5"/>
    <x v="6"/>
    <n v="0"/>
  </r>
  <r>
    <x v="11"/>
    <x v="0"/>
    <x v="5"/>
    <x v="10"/>
    <x v="9"/>
    <x v="4"/>
    <n v="23520"/>
  </r>
  <r>
    <x v="11"/>
    <x v="6"/>
    <x v="1"/>
    <x v="10"/>
    <x v="9"/>
    <x v="4"/>
    <n v="94080"/>
  </r>
  <r>
    <x v="11"/>
    <x v="2"/>
    <x v="1"/>
    <x v="10"/>
    <x v="9"/>
    <x v="4"/>
    <n v="94080"/>
  </r>
  <r>
    <x v="11"/>
    <x v="7"/>
    <x v="2"/>
    <x v="10"/>
    <x v="9"/>
    <x v="4"/>
    <n v="1960"/>
  </r>
  <r>
    <x v="11"/>
    <x v="12"/>
    <x v="6"/>
    <x v="10"/>
    <x v="9"/>
    <x v="4"/>
    <n v="235.2"/>
  </r>
  <r>
    <x v="11"/>
    <x v="14"/>
    <x v="4"/>
    <x v="10"/>
    <x v="9"/>
    <x v="4"/>
    <n v="98000"/>
  </r>
  <r>
    <x v="12"/>
    <x v="0"/>
    <x v="5"/>
    <x v="11"/>
    <x v="10"/>
    <x v="9"/>
    <n v="30456"/>
  </r>
  <r>
    <x v="12"/>
    <x v="9"/>
    <x v="7"/>
    <x v="11"/>
    <x v="10"/>
    <x v="9"/>
    <n v="60912"/>
  </r>
  <r>
    <x v="12"/>
    <x v="10"/>
    <x v="7"/>
    <x v="11"/>
    <x v="10"/>
    <x v="9"/>
    <n v="60912"/>
  </r>
  <r>
    <x v="12"/>
    <x v="7"/>
    <x v="2"/>
    <x v="11"/>
    <x v="10"/>
    <x v="9"/>
    <n v="2538"/>
  </r>
  <r>
    <x v="12"/>
    <x v="12"/>
    <x v="6"/>
    <x v="11"/>
    <x v="10"/>
    <x v="9"/>
    <n v="304.56"/>
  </r>
  <r>
    <x v="12"/>
    <x v="15"/>
    <x v="8"/>
    <x v="11"/>
    <x v="10"/>
    <x v="9"/>
    <n v="65988"/>
  </r>
  <r>
    <x v="13"/>
    <x v="16"/>
    <x v="9"/>
    <x v="6"/>
    <x v="5"/>
    <x v="6"/>
    <n v="0"/>
  </r>
  <r>
    <x v="13"/>
    <x v="16"/>
    <x v="9"/>
    <x v="6"/>
    <x v="5"/>
    <x v="6"/>
    <n v="0"/>
  </r>
  <r>
    <x v="13"/>
    <x v="16"/>
    <x v="9"/>
    <x v="6"/>
    <x v="5"/>
    <x v="6"/>
    <n v="0"/>
  </r>
  <r>
    <x v="13"/>
    <x v="16"/>
    <x v="9"/>
    <x v="6"/>
    <x v="5"/>
    <x v="6"/>
    <n v="0"/>
  </r>
  <r>
    <x v="13"/>
    <x v="16"/>
    <x v="9"/>
    <x v="6"/>
    <x v="5"/>
    <x v="6"/>
    <n v="0"/>
  </r>
  <r>
    <x v="13"/>
    <x v="16"/>
    <x v="9"/>
    <x v="6"/>
    <x v="5"/>
    <x v="6"/>
    <n v="0"/>
  </r>
  <r>
    <x v="13"/>
    <x v="16"/>
    <x v="9"/>
    <x v="6"/>
    <x v="5"/>
    <x v="6"/>
    <n v="0"/>
  </r>
  <r>
    <x v="13"/>
    <x v="16"/>
    <x v="9"/>
    <x v="6"/>
    <x v="5"/>
    <x v="6"/>
    <n v="0"/>
  </r>
  <r>
    <x v="13"/>
    <x v="16"/>
    <x v="9"/>
    <x v="6"/>
    <x v="5"/>
    <x v="6"/>
    <n v="0"/>
  </r>
  <r>
    <x v="13"/>
    <x v="16"/>
    <x v="9"/>
    <x v="6"/>
    <x v="5"/>
    <x v="6"/>
    <n v="0"/>
  </r>
  <r>
    <x v="14"/>
    <x v="0"/>
    <x v="0"/>
    <x v="6"/>
    <x v="5"/>
    <x v="6"/>
    <n v="0"/>
  </r>
  <r>
    <x v="14"/>
    <x v="1"/>
    <x v="1"/>
    <x v="6"/>
    <x v="5"/>
    <x v="6"/>
    <n v="0"/>
  </r>
  <r>
    <x v="14"/>
    <x v="2"/>
    <x v="1"/>
    <x v="6"/>
    <x v="5"/>
    <x v="6"/>
    <n v="0"/>
  </r>
  <r>
    <x v="14"/>
    <x v="3"/>
    <x v="2"/>
    <x v="6"/>
    <x v="5"/>
    <x v="6"/>
    <n v="0"/>
  </r>
  <r>
    <x v="14"/>
    <x v="4"/>
    <x v="3"/>
    <x v="6"/>
    <x v="5"/>
    <x v="6"/>
    <n v="0"/>
  </r>
  <r>
    <x v="14"/>
    <x v="5"/>
    <x v="4"/>
    <x v="6"/>
    <x v="5"/>
    <x v="6"/>
    <n v="0"/>
  </r>
  <r>
    <x v="15"/>
    <x v="0"/>
    <x v="5"/>
    <x v="6"/>
    <x v="5"/>
    <x v="6"/>
    <n v="0"/>
  </r>
  <r>
    <x v="15"/>
    <x v="6"/>
    <x v="1"/>
    <x v="6"/>
    <x v="5"/>
    <x v="6"/>
    <n v="0"/>
  </r>
  <r>
    <x v="15"/>
    <x v="2"/>
    <x v="1"/>
    <x v="6"/>
    <x v="5"/>
    <x v="6"/>
    <n v="0"/>
  </r>
  <r>
    <x v="15"/>
    <x v="7"/>
    <x v="2"/>
    <x v="6"/>
    <x v="5"/>
    <x v="6"/>
    <n v="0"/>
  </r>
  <r>
    <x v="15"/>
    <x v="4"/>
    <x v="6"/>
    <x v="6"/>
    <x v="5"/>
    <x v="6"/>
    <n v="0"/>
  </r>
  <r>
    <x v="15"/>
    <x v="8"/>
    <x v="4"/>
    <x v="6"/>
    <x v="5"/>
    <x v="6"/>
    <n v="0"/>
  </r>
  <r>
    <x v="16"/>
    <x v="0"/>
    <x v="5"/>
    <x v="12"/>
    <x v="11"/>
    <x v="8"/>
    <n v="14808"/>
  </r>
  <r>
    <x v="16"/>
    <x v="9"/>
    <x v="7"/>
    <x v="12"/>
    <x v="11"/>
    <x v="8"/>
    <n v="29616"/>
  </r>
  <r>
    <x v="16"/>
    <x v="10"/>
    <x v="7"/>
    <x v="12"/>
    <x v="11"/>
    <x v="8"/>
    <n v="29616"/>
  </r>
  <r>
    <x v="16"/>
    <x v="7"/>
    <x v="2"/>
    <x v="12"/>
    <x v="11"/>
    <x v="8"/>
    <n v="1234"/>
  </r>
  <r>
    <x v="16"/>
    <x v="4"/>
    <x v="6"/>
    <x v="12"/>
    <x v="11"/>
    <x v="8"/>
    <n v="148.08000000000001"/>
  </r>
  <r>
    <x v="16"/>
    <x v="11"/>
    <x v="8"/>
    <x v="12"/>
    <x v="11"/>
    <x v="8"/>
    <n v="32084"/>
  </r>
  <r>
    <x v="17"/>
    <x v="0"/>
    <x v="0"/>
    <x v="6"/>
    <x v="5"/>
    <x v="6"/>
    <n v="0"/>
  </r>
  <r>
    <x v="17"/>
    <x v="1"/>
    <x v="1"/>
    <x v="6"/>
    <x v="5"/>
    <x v="6"/>
    <n v="0"/>
  </r>
  <r>
    <x v="17"/>
    <x v="2"/>
    <x v="1"/>
    <x v="6"/>
    <x v="5"/>
    <x v="6"/>
    <n v="0"/>
  </r>
  <r>
    <x v="17"/>
    <x v="3"/>
    <x v="2"/>
    <x v="6"/>
    <x v="5"/>
    <x v="6"/>
    <n v="0"/>
  </r>
  <r>
    <x v="17"/>
    <x v="12"/>
    <x v="3"/>
    <x v="6"/>
    <x v="5"/>
    <x v="6"/>
    <n v="0"/>
  </r>
  <r>
    <x v="17"/>
    <x v="13"/>
    <x v="4"/>
    <x v="6"/>
    <x v="5"/>
    <x v="6"/>
    <n v="0"/>
  </r>
  <r>
    <x v="18"/>
    <x v="0"/>
    <x v="5"/>
    <x v="6"/>
    <x v="5"/>
    <x v="6"/>
    <n v="0"/>
  </r>
  <r>
    <x v="18"/>
    <x v="6"/>
    <x v="1"/>
    <x v="6"/>
    <x v="5"/>
    <x v="6"/>
    <n v="0"/>
  </r>
  <r>
    <x v="18"/>
    <x v="2"/>
    <x v="1"/>
    <x v="6"/>
    <x v="5"/>
    <x v="6"/>
    <n v="0"/>
  </r>
  <r>
    <x v="18"/>
    <x v="7"/>
    <x v="2"/>
    <x v="6"/>
    <x v="5"/>
    <x v="6"/>
    <n v="0"/>
  </r>
  <r>
    <x v="18"/>
    <x v="12"/>
    <x v="6"/>
    <x v="6"/>
    <x v="5"/>
    <x v="6"/>
    <n v="0"/>
  </r>
  <r>
    <x v="18"/>
    <x v="14"/>
    <x v="4"/>
    <x v="6"/>
    <x v="5"/>
    <x v="6"/>
    <n v="0"/>
  </r>
  <r>
    <x v="19"/>
    <x v="0"/>
    <x v="5"/>
    <x v="13"/>
    <x v="12"/>
    <x v="9"/>
    <n v="30456"/>
  </r>
  <r>
    <x v="19"/>
    <x v="9"/>
    <x v="7"/>
    <x v="13"/>
    <x v="12"/>
    <x v="9"/>
    <n v="60912"/>
  </r>
  <r>
    <x v="19"/>
    <x v="10"/>
    <x v="7"/>
    <x v="13"/>
    <x v="12"/>
    <x v="9"/>
    <n v="60912"/>
  </r>
  <r>
    <x v="19"/>
    <x v="7"/>
    <x v="2"/>
    <x v="13"/>
    <x v="12"/>
    <x v="9"/>
    <n v="2538"/>
  </r>
  <r>
    <x v="19"/>
    <x v="12"/>
    <x v="6"/>
    <x v="13"/>
    <x v="12"/>
    <x v="9"/>
    <n v="304.56"/>
  </r>
  <r>
    <x v="19"/>
    <x v="15"/>
    <x v="8"/>
    <x v="13"/>
    <x v="12"/>
    <x v="9"/>
    <n v="65988"/>
  </r>
  <r>
    <x v="20"/>
    <x v="16"/>
    <x v="9"/>
    <x v="6"/>
    <x v="5"/>
    <x v="6"/>
    <n v="0"/>
  </r>
  <r>
    <x v="20"/>
    <x v="16"/>
    <x v="9"/>
    <x v="6"/>
    <x v="5"/>
    <x v="6"/>
    <n v="0"/>
  </r>
  <r>
    <x v="20"/>
    <x v="16"/>
    <x v="9"/>
    <x v="6"/>
    <x v="5"/>
    <x v="6"/>
    <n v="0"/>
  </r>
  <r>
    <x v="20"/>
    <x v="16"/>
    <x v="9"/>
    <x v="6"/>
    <x v="5"/>
    <x v="6"/>
    <n v="0"/>
  </r>
  <r>
    <x v="20"/>
    <x v="16"/>
    <x v="9"/>
    <x v="6"/>
    <x v="5"/>
    <x v="6"/>
    <n v="0"/>
  </r>
  <r>
    <x v="20"/>
    <x v="16"/>
    <x v="9"/>
    <x v="6"/>
    <x v="5"/>
    <x v="6"/>
    <n v="0"/>
  </r>
  <r>
    <x v="20"/>
    <x v="16"/>
    <x v="9"/>
    <x v="6"/>
    <x v="5"/>
    <x v="6"/>
    <n v="0"/>
  </r>
  <r>
    <x v="20"/>
    <x v="16"/>
    <x v="9"/>
    <x v="6"/>
    <x v="5"/>
    <x v="6"/>
    <n v="0"/>
  </r>
  <r>
    <x v="20"/>
    <x v="16"/>
    <x v="9"/>
    <x v="6"/>
    <x v="5"/>
    <x v="6"/>
    <n v="0"/>
  </r>
  <r>
    <x v="20"/>
    <x v="16"/>
    <x v="9"/>
    <x v="6"/>
    <x v="5"/>
    <x v="6"/>
    <n v="0"/>
  </r>
</pivotCacheRecords>
</file>

<file path=xl/pivotCache/pivotCacheRecords3.xml><?xml version="1.0" encoding="utf-8"?>
<pivotCacheRecords xmlns="http://schemas.openxmlformats.org/spreadsheetml/2006/main" xmlns:r="http://schemas.openxmlformats.org/officeDocument/2006/relationships" count="193">
  <r>
    <x v="0"/>
    <n v="1320"/>
    <x v="0"/>
    <x v="0"/>
    <x v="0"/>
    <x v="0"/>
    <x v="0"/>
    <x v="0"/>
    <x v="0"/>
    <n v="32956"/>
    <x v="0"/>
    <x v="0"/>
  </r>
  <r>
    <x v="1"/>
    <n v="30960"/>
    <x v="0"/>
    <x v="0"/>
    <x v="0"/>
    <x v="0"/>
    <x v="0"/>
    <x v="0"/>
    <x v="0"/>
    <n v="1996"/>
    <x v="0"/>
    <x v="0"/>
  </r>
  <r>
    <x v="2"/>
    <n v="14808"/>
    <x v="0"/>
    <x v="1"/>
    <x v="0"/>
    <x v="0"/>
    <x v="0"/>
    <x v="0"/>
    <x v="0"/>
    <n v="-12812"/>
    <x v="1"/>
    <x v="0"/>
  </r>
  <r>
    <x v="3"/>
    <n v="23520"/>
    <x v="0"/>
    <x v="2"/>
    <x v="0"/>
    <x v="0"/>
    <x v="0"/>
    <x v="0"/>
    <x v="0"/>
    <n v="-36332"/>
    <x v="2"/>
    <x v="0"/>
  </r>
  <r>
    <x v="4"/>
    <n v="28596"/>
    <x v="0"/>
    <x v="3"/>
    <x v="0"/>
    <x v="0"/>
    <x v="0"/>
    <x v="0"/>
    <x v="0"/>
    <n v="-64928"/>
    <x v="3"/>
    <x v="0"/>
  </r>
  <r>
    <x v="5"/>
    <n v="7723.2"/>
    <x v="0"/>
    <x v="4"/>
    <x v="0"/>
    <x v="0"/>
    <x v="0"/>
    <x v="0"/>
    <x v="0"/>
    <n v="-72651.199999999997"/>
    <x v="4"/>
    <x v="0"/>
  </r>
  <r>
    <x v="6"/>
    <n v="30456"/>
    <x v="0"/>
    <x v="5"/>
    <x v="0"/>
    <x v="0"/>
    <x v="0"/>
    <x v="0"/>
    <x v="0"/>
    <n v="-103107.2"/>
    <x v="5"/>
    <x v="0"/>
  </r>
  <r>
    <x v="7"/>
    <n v="14808"/>
    <x v="0"/>
    <x v="6"/>
    <x v="0"/>
    <x v="0"/>
    <x v="0"/>
    <x v="0"/>
    <x v="0"/>
    <n v="-117915.2"/>
    <x v="6"/>
    <x v="0"/>
  </r>
  <r>
    <x v="8"/>
    <n v="1459.2"/>
    <x v="0"/>
    <x v="7"/>
    <x v="0"/>
    <x v="0"/>
    <x v="0"/>
    <x v="0"/>
    <x v="0"/>
    <n v="-119374.39999999999"/>
    <x v="7"/>
    <x v="0"/>
  </r>
  <r>
    <x v="9"/>
    <n v="23520"/>
    <x v="0"/>
    <x v="8"/>
    <x v="0"/>
    <x v="0"/>
    <x v="0"/>
    <x v="0"/>
    <x v="0"/>
    <n v="-142894.39999999999"/>
    <x v="2"/>
    <x v="0"/>
  </r>
  <r>
    <x v="10"/>
    <n v="27852"/>
    <x v="0"/>
    <x v="9"/>
    <x v="0"/>
    <x v="0"/>
    <x v="0"/>
    <x v="0"/>
    <x v="0"/>
    <n v="-170746.4"/>
    <x v="8"/>
    <x v="0"/>
  </r>
  <r>
    <x v="11"/>
    <n v="7723.2"/>
    <x v="0"/>
    <x v="10"/>
    <x v="0"/>
    <x v="0"/>
    <x v="0"/>
    <x v="0"/>
    <x v="0"/>
    <n v="-178469.6"/>
    <x v="4"/>
    <x v="0"/>
  </r>
  <r>
    <x v="12"/>
    <n v="30456"/>
    <x v="0"/>
    <x v="11"/>
    <x v="0"/>
    <x v="0"/>
    <x v="0"/>
    <x v="0"/>
    <x v="0"/>
    <n v="-208925.6"/>
    <x v="5"/>
    <x v="0"/>
  </r>
  <r>
    <x v="5"/>
    <n v="77232"/>
    <x v="1"/>
    <x v="4"/>
    <x v="1"/>
    <x v="1"/>
    <x v="1"/>
    <x v="1"/>
    <x v="1"/>
    <n v="45240"/>
    <x v="0"/>
    <x v="0"/>
  </r>
  <r>
    <x v="8"/>
    <n v="14592"/>
    <x v="1"/>
    <x v="7"/>
    <x v="1"/>
    <x v="1"/>
    <x v="1"/>
    <x v="1"/>
    <x v="1"/>
    <n v="30648"/>
    <x v="0"/>
    <x v="0"/>
  </r>
  <r>
    <x v="11"/>
    <n v="77232"/>
    <x v="1"/>
    <x v="10"/>
    <x v="1"/>
    <x v="1"/>
    <x v="1"/>
    <x v="1"/>
    <x v="1"/>
    <n v="-46584"/>
    <x v="9"/>
    <x v="0"/>
  </r>
  <r>
    <x v="3"/>
    <n v="94080"/>
    <x v="2"/>
    <x v="2"/>
    <x v="2"/>
    <x v="2"/>
    <x v="1"/>
    <x v="1"/>
    <x v="2"/>
    <n v="90888"/>
    <x v="0"/>
    <x v="0"/>
  </r>
  <r>
    <x v="4"/>
    <n v="114384"/>
    <x v="2"/>
    <x v="3"/>
    <x v="2"/>
    <x v="2"/>
    <x v="1"/>
    <x v="1"/>
    <x v="2"/>
    <n v="-23496"/>
    <x v="10"/>
    <x v="0"/>
  </r>
  <r>
    <x v="9"/>
    <n v="94080"/>
    <x v="2"/>
    <x v="8"/>
    <x v="2"/>
    <x v="2"/>
    <x v="1"/>
    <x v="1"/>
    <x v="2"/>
    <n v="-117576"/>
    <x v="11"/>
    <x v="0"/>
  </r>
  <r>
    <x v="10"/>
    <n v="111408"/>
    <x v="2"/>
    <x v="9"/>
    <x v="2"/>
    <x v="2"/>
    <x v="1"/>
    <x v="1"/>
    <x v="2"/>
    <n v="-228984"/>
    <x v="12"/>
    <x v="0"/>
  </r>
  <r>
    <x v="0"/>
    <n v="2640"/>
    <x v="3"/>
    <x v="0"/>
    <x v="3"/>
    <x v="3"/>
    <x v="1"/>
    <x v="1"/>
    <x v="3"/>
    <n v="33876"/>
    <x v="0"/>
    <x v="0"/>
  </r>
  <r>
    <x v="1"/>
    <n v="61920"/>
    <x v="3"/>
    <x v="0"/>
    <x v="3"/>
    <x v="3"/>
    <x v="1"/>
    <x v="1"/>
    <x v="3"/>
    <n v="-28044"/>
    <x v="13"/>
    <x v="0"/>
  </r>
  <r>
    <x v="2"/>
    <n v="29616"/>
    <x v="3"/>
    <x v="1"/>
    <x v="3"/>
    <x v="3"/>
    <x v="1"/>
    <x v="1"/>
    <x v="3"/>
    <n v="-57660"/>
    <x v="14"/>
    <x v="0"/>
  </r>
  <r>
    <x v="6"/>
    <n v="60912"/>
    <x v="3"/>
    <x v="5"/>
    <x v="3"/>
    <x v="3"/>
    <x v="1"/>
    <x v="1"/>
    <x v="3"/>
    <n v="-118572"/>
    <x v="15"/>
    <x v="0"/>
  </r>
  <r>
    <x v="7"/>
    <n v="29616"/>
    <x v="3"/>
    <x v="6"/>
    <x v="3"/>
    <x v="3"/>
    <x v="1"/>
    <x v="1"/>
    <x v="3"/>
    <n v="-148188"/>
    <x v="14"/>
    <x v="0"/>
  </r>
  <r>
    <x v="12"/>
    <n v="60912"/>
    <x v="3"/>
    <x v="11"/>
    <x v="3"/>
    <x v="3"/>
    <x v="1"/>
    <x v="1"/>
    <x v="3"/>
    <n v="-209100"/>
    <x v="15"/>
    <x v="0"/>
  </r>
  <r>
    <x v="3"/>
    <n v="94080"/>
    <x v="4"/>
    <x v="2"/>
    <x v="4"/>
    <x v="4"/>
    <x v="1"/>
    <x v="1"/>
    <x v="4"/>
    <n v="-28342"/>
    <x v="16"/>
    <x v="0"/>
  </r>
  <r>
    <x v="4"/>
    <n v="114384"/>
    <x v="4"/>
    <x v="3"/>
    <x v="4"/>
    <x v="4"/>
    <x v="1"/>
    <x v="1"/>
    <x v="4"/>
    <n v="-142726"/>
    <x v="17"/>
    <x v="0"/>
  </r>
  <r>
    <x v="5"/>
    <n v="77232"/>
    <x v="4"/>
    <x v="4"/>
    <x v="4"/>
    <x v="4"/>
    <x v="1"/>
    <x v="1"/>
    <x v="4"/>
    <n v="-219958"/>
    <x v="18"/>
    <x v="0"/>
  </r>
  <r>
    <x v="8"/>
    <n v="14592"/>
    <x v="4"/>
    <x v="7"/>
    <x v="4"/>
    <x v="4"/>
    <x v="1"/>
    <x v="1"/>
    <x v="4"/>
    <n v="-234550"/>
    <x v="19"/>
    <x v="0"/>
  </r>
  <r>
    <x v="9"/>
    <n v="94080"/>
    <x v="4"/>
    <x v="8"/>
    <x v="4"/>
    <x v="4"/>
    <x v="1"/>
    <x v="1"/>
    <x v="4"/>
    <n v="-328630"/>
    <x v="11"/>
    <x v="0"/>
  </r>
  <r>
    <x v="10"/>
    <n v="111408"/>
    <x v="4"/>
    <x v="9"/>
    <x v="4"/>
    <x v="4"/>
    <x v="1"/>
    <x v="1"/>
    <x v="4"/>
    <n v="-440038"/>
    <x v="12"/>
    <x v="0"/>
  </r>
  <r>
    <x v="11"/>
    <n v="77232"/>
    <x v="4"/>
    <x v="10"/>
    <x v="4"/>
    <x v="4"/>
    <x v="1"/>
    <x v="1"/>
    <x v="4"/>
    <n v="-517270"/>
    <x v="18"/>
    <x v="0"/>
  </r>
  <r>
    <x v="0"/>
    <n v="2640"/>
    <x v="5"/>
    <x v="0"/>
    <x v="5"/>
    <x v="5"/>
    <x v="1"/>
    <x v="1"/>
    <x v="5"/>
    <n v="35178"/>
    <x v="0"/>
    <x v="0"/>
  </r>
  <r>
    <x v="1"/>
    <n v="61920"/>
    <x v="5"/>
    <x v="0"/>
    <x v="5"/>
    <x v="5"/>
    <x v="1"/>
    <x v="1"/>
    <x v="5"/>
    <n v="-26742"/>
    <x v="20"/>
    <x v="0"/>
  </r>
  <r>
    <x v="2"/>
    <n v="29616"/>
    <x v="5"/>
    <x v="1"/>
    <x v="5"/>
    <x v="5"/>
    <x v="1"/>
    <x v="1"/>
    <x v="5"/>
    <n v="-56358"/>
    <x v="14"/>
    <x v="0"/>
  </r>
  <r>
    <x v="6"/>
    <n v="60912"/>
    <x v="5"/>
    <x v="5"/>
    <x v="5"/>
    <x v="5"/>
    <x v="1"/>
    <x v="1"/>
    <x v="5"/>
    <n v="-117270"/>
    <x v="15"/>
    <x v="0"/>
  </r>
  <r>
    <x v="7"/>
    <n v="29616"/>
    <x v="5"/>
    <x v="6"/>
    <x v="5"/>
    <x v="5"/>
    <x v="1"/>
    <x v="1"/>
    <x v="5"/>
    <n v="-146886"/>
    <x v="14"/>
    <x v="0"/>
  </r>
  <r>
    <x v="12"/>
    <n v="60912"/>
    <x v="5"/>
    <x v="11"/>
    <x v="5"/>
    <x v="5"/>
    <x v="1"/>
    <x v="1"/>
    <x v="5"/>
    <n v="-207798"/>
    <x v="15"/>
    <x v="0"/>
  </r>
  <r>
    <x v="0"/>
    <n v="110"/>
    <x v="6"/>
    <x v="0"/>
    <x v="6"/>
    <x v="6"/>
    <x v="2"/>
    <x v="2"/>
    <x v="6"/>
    <n v="4258"/>
    <x v="0"/>
    <x v="0"/>
  </r>
  <r>
    <x v="1"/>
    <n v="2580"/>
    <x v="6"/>
    <x v="0"/>
    <x v="6"/>
    <x v="6"/>
    <x v="2"/>
    <x v="2"/>
    <x v="6"/>
    <n v="1678"/>
    <x v="0"/>
    <x v="0"/>
  </r>
  <r>
    <x v="2"/>
    <n v="1234"/>
    <x v="6"/>
    <x v="1"/>
    <x v="6"/>
    <x v="6"/>
    <x v="2"/>
    <x v="2"/>
    <x v="6"/>
    <n v="444"/>
    <x v="0"/>
    <x v="0"/>
  </r>
  <r>
    <x v="3"/>
    <n v="1960"/>
    <x v="6"/>
    <x v="2"/>
    <x v="6"/>
    <x v="6"/>
    <x v="2"/>
    <x v="2"/>
    <x v="6"/>
    <n v="-1516"/>
    <x v="21"/>
    <x v="0"/>
  </r>
  <r>
    <x v="4"/>
    <n v="2383"/>
    <x v="6"/>
    <x v="3"/>
    <x v="6"/>
    <x v="6"/>
    <x v="2"/>
    <x v="2"/>
    <x v="6"/>
    <n v="-3899"/>
    <x v="22"/>
    <x v="0"/>
  </r>
  <r>
    <x v="6"/>
    <n v="2538"/>
    <x v="6"/>
    <x v="5"/>
    <x v="6"/>
    <x v="6"/>
    <x v="2"/>
    <x v="2"/>
    <x v="6"/>
    <n v="-6437"/>
    <x v="23"/>
    <x v="0"/>
  </r>
  <r>
    <x v="7"/>
    <n v="1234"/>
    <x v="6"/>
    <x v="6"/>
    <x v="6"/>
    <x v="6"/>
    <x v="2"/>
    <x v="2"/>
    <x v="6"/>
    <n v="-7671"/>
    <x v="24"/>
    <x v="0"/>
  </r>
  <r>
    <x v="9"/>
    <n v="1960"/>
    <x v="6"/>
    <x v="8"/>
    <x v="6"/>
    <x v="6"/>
    <x v="2"/>
    <x v="2"/>
    <x v="6"/>
    <n v="-9631"/>
    <x v="25"/>
    <x v="0"/>
  </r>
  <r>
    <x v="10"/>
    <n v="2321"/>
    <x v="6"/>
    <x v="9"/>
    <x v="6"/>
    <x v="6"/>
    <x v="2"/>
    <x v="2"/>
    <x v="6"/>
    <n v="-11952"/>
    <x v="26"/>
    <x v="0"/>
  </r>
  <r>
    <x v="12"/>
    <n v="2538"/>
    <x v="6"/>
    <x v="11"/>
    <x v="6"/>
    <x v="6"/>
    <x v="2"/>
    <x v="2"/>
    <x v="6"/>
    <n v="-14490"/>
    <x v="23"/>
    <x v="0"/>
  </r>
  <r>
    <x v="5"/>
    <n v="1609"/>
    <x v="7"/>
    <x v="4"/>
    <x v="7"/>
    <x v="7"/>
    <x v="2"/>
    <x v="2"/>
    <x v="7"/>
    <n v="-611"/>
    <x v="27"/>
    <x v="0"/>
  </r>
  <r>
    <x v="8"/>
    <n v="304"/>
    <x v="7"/>
    <x v="7"/>
    <x v="7"/>
    <x v="7"/>
    <x v="2"/>
    <x v="2"/>
    <x v="7"/>
    <n v="-915"/>
    <x v="28"/>
    <x v="0"/>
  </r>
  <r>
    <x v="11"/>
    <n v="1609"/>
    <x v="7"/>
    <x v="10"/>
    <x v="7"/>
    <x v="7"/>
    <x v="2"/>
    <x v="2"/>
    <x v="7"/>
    <n v="-2524"/>
    <x v="29"/>
    <x v="0"/>
  </r>
  <r>
    <x v="0"/>
    <n v="13.2"/>
    <x v="8"/>
    <x v="0"/>
    <x v="8"/>
    <x v="8"/>
    <x v="3"/>
    <x v="3"/>
    <x v="8"/>
    <n v="1480.8"/>
    <x v="0"/>
    <x v="0"/>
  </r>
  <r>
    <x v="2"/>
    <n v="148.08000000000001"/>
    <x v="8"/>
    <x v="1"/>
    <x v="8"/>
    <x v="8"/>
    <x v="3"/>
    <x v="3"/>
    <x v="8"/>
    <n v="1332.72"/>
    <x v="0"/>
    <x v="0"/>
  </r>
  <r>
    <x v="4"/>
    <n v="285.95999999999998"/>
    <x v="8"/>
    <x v="3"/>
    <x v="8"/>
    <x v="8"/>
    <x v="3"/>
    <x v="3"/>
    <x v="8"/>
    <n v="1046.76"/>
    <x v="0"/>
    <x v="0"/>
  </r>
  <r>
    <x v="5"/>
    <n v="77.231999999999999"/>
    <x v="8"/>
    <x v="4"/>
    <x v="8"/>
    <x v="8"/>
    <x v="3"/>
    <x v="3"/>
    <x v="8"/>
    <n v="969.52800000000002"/>
    <x v="0"/>
    <x v="0"/>
  </r>
  <r>
    <x v="7"/>
    <n v="148.08000000000001"/>
    <x v="8"/>
    <x v="6"/>
    <x v="8"/>
    <x v="8"/>
    <x v="3"/>
    <x v="3"/>
    <x v="8"/>
    <n v="821.44799999999998"/>
    <x v="0"/>
    <x v="0"/>
  </r>
  <r>
    <x v="10"/>
    <n v="278.52"/>
    <x v="8"/>
    <x v="9"/>
    <x v="8"/>
    <x v="8"/>
    <x v="3"/>
    <x v="3"/>
    <x v="8"/>
    <n v="542.928"/>
    <x v="0"/>
    <x v="0"/>
  </r>
  <r>
    <x v="11"/>
    <n v="77.231999999999999"/>
    <x v="8"/>
    <x v="10"/>
    <x v="8"/>
    <x v="8"/>
    <x v="3"/>
    <x v="3"/>
    <x v="8"/>
    <n v="465.69600000000003"/>
    <x v="0"/>
    <x v="0"/>
  </r>
  <r>
    <x v="1"/>
    <n v="309.60000000000002"/>
    <x v="9"/>
    <x v="0"/>
    <x v="9"/>
    <x v="9"/>
    <x v="3"/>
    <x v="3"/>
    <x v="9"/>
    <n v="692.4"/>
    <x v="0"/>
    <x v="0"/>
  </r>
  <r>
    <x v="3"/>
    <n v="235.2"/>
    <x v="9"/>
    <x v="2"/>
    <x v="9"/>
    <x v="9"/>
    <x v="3"/>
    <x v="3"/>
    <x v="9"/>
    <n v="457.2"/>
    <x v="0"/>
    <x v="0"/>
  </r>
  <r>
    <x v="6"/>
    <n v="304.56"/>
    <x v="9"/>
    <x v="5"/>
    <x v="9"/>
    <x v="9"/>
    <x v="3"/>
    <x v="3"/>
    <x v="9"/>
    <n v="152.63999999999999"/>
    <x v="0"/>
    <x v="0"/>
  </r>
  <r>
    <x v="8"/>
    <n v="14.592000000000001"/>
    <x v="9"/>
    <x v="7"/>
    <x v="9"/>
    <x v="9"/>
    <x v="3"/>
    <x v="3"/>
    <x v="9"/>
    <n v="138.04799999999997"/>
    <x v="0"/>
    <x v="0"/>
  </r>
  <r>
    <x v="9"/>
    <n v="235.2"/>
    <x v="9"/>
    <x v="8"/>
    <x v="9"/>
    <x v="9"/>
    <x v="3"/>
    <x v="3"/>
    <x v="9"/>
    <n v="-97.152000000000015"/>
    <x v="30"/>
    <x v="0"/>
  </r>
  <r>
    <x v="12"/>
    <n v="304.56"/>
    <x v="9"/>
    <x v="11"/>
    <x v="9"/>
    <x v="9"/>
    <x v="3"/>
    <x v="3"/>
    <x v="9"/>
    <n v="-401.71199999999999"/>
    <x v="31"/>
    <x v="0"/>
  </r>
  <r>
    <x v="5"/>
    <n v="80450"/>
    <x v="10"/>
    <x v="4"/>
    <x v="10"/>
    <x v="10"/>
    <x v="4"/>
    <x v="4"/>
    <x v="10"/>
    <n v="131346"/>
    <x v="0"/>
    <x v="0"/>
  </r>
  <r>
    <x v="11"/>
    <n v="80450"/>
    <x v="10"/>
    <x v="10"/>
    <x v="10"/>
    <x v="10"/>
    <x v="4"/>
    <x v="4"/>
    <x v="10"/>
    <n v="50896"/>
    <x v="0"/>
    <x v="0"/>
  </r>
  <r>
    <x v="4"/>
    <n v="119150"/>
    <x v="11"/>
    <x v="3"/>
    <x v="11"/>
    <x v="11"/>
    <x v="4"/>
    <x v="4"/>
    <x v="11"/>
    <n v="147626"/>
    <x v="0"/>
    <x v="0"/>
  </r>
  <r>
    <x v="10"/>
    <n v="116050"/>
    <x v="11"/>
    <x v="9"/>
    <x v="11"/>
    <x v="11"/>
    <x v="4"/>
    <x v="4"/>
    <x v="11"/>
    <n v="31576"/>
    <x v="0"/>
    <x v="0"/>
  </r>
  <r>
    <x v="0"/>
    <n v="2860"/>
    <x v="12"/>
    <x v="0"/>
    <x v="12"/>
    <x v="12"/>
    <x v="4"/>
    <x v="4"/>
    <x v="12"/>
    <n v="22104"/>
    <x v="0"/>
    <x v="0"/>
  </r>
  <r>
    <x v="2"/>
    <n v="32084"/>
    <x v="12"/>
    <x v="1"/>
    <x v="12"/>
    <x v="12"/>
    <x v="4"/>
    <x v="4"/>
    <x v="12"/>
    <n v="-9980"/>
    <x v="32"/>
    <x v="0"/>
  </r>
  <r>
    <x v="7"/>
    <n v="32084"/>
    <x v="12"/>
    <x v="6"/>
    <x v="12"/>
    <x v="12"/>
    <x v="4"/>
    <x v="4"/>
    <x v="12"/>
    <n v="-42064"/>
    <x v="33"/>
    <x v="0"/>
  </r>
  <r>
    <x v="8"/>
    <n v="15200"/>
    <x v="13"/>
    <x v="7"/>
    <x v="13"/>
    <x v="13"/>
    <x v="4"/>
    <x v="4"/>
    <x v="13"/>
    <n v="16940"/>
    <x v="0"/>
    <x v="0"/>
  </r>
  <r>
    <x v="3"/>
    <n v="98000"/>
    <x v="14"/>
    <x v="2"/>
    <x v="14"/>
    <x v="14"/>
    <x v="4"/>
    <x v="4"/>
    <x v="14"/>
    <n v="-14504"/>
    <x v="34"/>
    <x v="0"/>
  </r>
  <r>
    <x v="9"/>
    <n v="98000"/>
    <x v="14"/>
    <x v="8"/>
    <x v="14"/>
    <x v="14"/>
    <x v="4"/>
    <x v="4"/>
    <x v="14"/>
    <n v="-112504"/>
    <x v="35"/>
    <x v="0"/>
  </r>
  <r>
    <x v="1"/>
    <n v="67080"/>
    <x v="15"/>
    <x v="0"/>
    <x v="15"/>
    <x v="15"/>
    <x v="4"/>
    <x v="4"/>
    <x v="15"/>
    <n v="50274"/>
    <x v="0"/>
    <x v="0"/>
  </r>
  <r>
    <x v="6"/>
    <n v="65988"/>
    <x v="15"/>
    <x v="5"/>
    <x v="15"/>
    <x v="15"/>
    <x v="4"/>
    <x v="4"/>
    <x v="15"/>
    <n v="-15714"/>
    <x v="36"/>
    <x v="0"/>
  </r>
  <r>
    <x v="12"/>
    <n v="65988"/>
    <x v="15"/>
    <x v="11"/>
    <x v="15"/>
    <x v="15"/>
    <x v="4"/>
    <x v="4"/>
    <x v="15"/>
    <n v="-81702"/>
    <x v="37"/>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3"/>
    <m/>
    <x v="16"/>
    <x v="12"/>
    <x v="16"/>
    <x v="16"/>
    <x v="5"/>
    <x v="5"/>
    <x v="16"/>
    <e v="#N/A"/>
    <x v="38"/>
    <x v="0"/>
  </r>
  <r>
    <x v="14"/>
    <s v=""/>
    <x v="0"/>
    <x v="3"/>
    <x v="17"/>
    <x v="0"/>
    <x v="0"/>
    <x v="0"/>
    <x v="17"/>
    <m/>
    <x v="39"/>
    <x v="1"/>
  </r>
  <r>
    <x v="14"/>
    <s v=""/>
    <x v="0"/>
    <x v="9"/>
    <x v="17"/>
    <x v="0"/>
    <x v="0"/>
    <x v="0"/>
    <x v="17"/>
    <m/>
    <x v="39"/>
    <x v="1"/>
  </r>
  <r>
    <x v="14"/>
    <s v=""/>
    <x v="1"/>
    <x v="13"/>
    <x v="17"/>
    <x v="1"/>
    <x v="1"/>
    <x v="1"/>
    <x v="17"/>
    <m/>
    <x v="39"/>
    <x v="2"/>
  </r>
  <r>
    <x v="14"/>
    <s v=""/>
    <x v="2"/>
    <x v="3"/>
    <x v="17"/>
    <x v="2"/>
    <x v="1"/>
    <x v="1"/>
    <x v="17"/>
    <m/>
    <x v="39"/>
    <x v="3"/>
  </r>
  <r>
    <x v="14"/>
    <s v=""/>
    <x v="2"/>
    <x v="14"/>
    <x v="17"/>
    <x v="2"/>
    <x v="1"/>
    <x v="1"/>
    <x v="17"/>
    <m/>
    <x v="39"/>
    <x v="2"/>
  </r>
  <r>
    <x v="14"/>
    <s v=""/>
    <x v="2"/>
    <x v="15"/>
    <x v="17"/>
    <x v="2"/>
    <x v="1"/>
    <x v="1"/>
    <x v="17"/>
    <m/>
    <x v="39"/>
    <x v="4"/>
  </r>
  <r>
    <x v="14"/>
    <s v=""/>
    <x v="3"/>
    <x v="16"/>
    <x v="17"/>
    <x v="3"/>
    <x v="1"/>
    <x v="1"/>
    <x v="17"/>
    <m/>
    <x v="39"/>
    <x v="1"/>
  </r>
  <r>
    <x v="14"/>
    <s v=""/>
    <x v="3"/>
    <x v="14"/>
    <x v="17"/>
    <x v="3"/>
    <x v="1"/>
    <x v="1"/>
    <x v="17"/>
    <m/>
    <x v="39"/>
    <x v="4"/>
  </r>
  <r>
    <x v="14"/>
    <s v=""/>
    <x v="3"/>
    <x v="17"/>
    <x v="17"/>
    <x v="3"/>
    <x v="1"/>
    <x v="1"/>
    <x v="17"/>
    <m/>
    <x v="39"/>
    <x v="4"/>
  </r>
  <r>
    <x v="14"/>
    <s v=""/>
    <x v="4"/>
    <x v="16"/>
    <x v="17"/>
    <x v="4"/>
    <x v="1"/>
    <x v="1"/>
    <x v="17"/>
    <m/>
    <x v="39"/>
    <x v="5"/>
  </r>
  <r>
    <x v="14"/>
    <s v=""/>
    <x v="4"/>
    <x v="18"/>
    <x v="17"/>
    <x v="4"/>
    <x v="1"/>
    <x v="1"/>
    <x v="17"/>
    <m/>
    <x v="39"/>
    <x v="6"/>
  </r>
  <r>
    <x v="14"/>
    <s v=""/>
    <x v="5"/>
    <x v="2"/>
    <x v="17"/>
    <x v="5"/>
    <x v="1"/>
    <x v="1"/>
    <x v="17"/>
    <m/>
    <x v="39"/>
    <x v="1"/>
  </r>
  <r>
    <x v="14"/>
    <s v=""/>
    <x v="5"/>
    <x v="19"/>
    <x v="17"/>
    <x v="5"/>
    <x v="1"/>
    <x v="1"/>
    <x v="17"/>
    <m/>
    <x v="39"/>
    <x v="1"/>
  </r>
  <r>
    <x v="14"/>
    <s v=""/>
    <x v="6"/>
    <x v="0"/>
    <x v="17"/>
    <x v="6"/>
    <x v="2"/>
    <x v="2"/>
    <x v="17"/>
    <m/>
    <x v="39"/>
    <x v="7"/>
  </r>
  <r>
    <x v="14"/>
    <s v=""/>
    <x v="6"/>
    <x v="10"/>
    <x v="17"/>
    <x v="6"/>
    <x v="2"/>
    <x v="2"/>
    <x v="17"/>
    <m/>
    <x v="39"/>
    <x v="8"/>
  </r>
  <r>
    <x v="14"/>
    <s v=""/>
    <x v="7"/>
    <x v="3"/>
    <x v="17"/>
    <x v="7"/>
    <x v="2"/>
    <x v="2"/>
    <x v="17"/>
    <m/>
    <x v="39"/>
    <x v="9"/>
  </r>
  <r>
    <x v="14"/>
    <s v=""/>
    <x v="7"/>
    <x v="20"/>
    <x v="17"/>
    <x v="7"/>
    <x v="2"/>
    <x v="2"/>
    <x v="17"/>
    <m/>
    <x v="39"/>
    <x v="9"/>
  </r>
  <r>
    <x v="14"/>
    <s v=""/>
    <x v="8"/>
    <x v="4"/>
    <x v="17"/>
    <x v="8"/>
    <x v="3"/>
    <x v="3"/>
    <x v="17"/>
    <m/>
    <x v="39"/>
    <x v="10"/>
  </r>
  <r>
    <x v="14"/>
    <s v=""/>
    <x v="8"/>
    <x v="21"/>
    <x v="17"/>
    <x v="8"/>
    <x v="3"/>
    <x v="3"/>
    <x v="17"/>
    <m/>
    <x v="39"/>
    <x v="11"/>
  </r>
  <r>
    <x v="14"/>
    <s v=""/>
    <x v="9"/>
    <x v="22"/>
    <x v="17"/>
    <x v="9"/>
    <x v="3"/>
    <x v="3"/>
    <x v="17"/>
    <m/>
    <x v="39"/>
    <x v="12"/>
  </r>
  <r>
    <x v="14"/>
    <s v=""/>
    <x v="10"/>
    <x v="18"/>
    <x v="17"/>
    <x v="10"/>
    <x v="4"/>
    <x v="4"/>
    <x v="17"/>
    <m/>
    <x v="39"/>
    <x v="4"/>
  </r>
  <r>
    <x v="14"/>
    <s v=""/>
    <x v="11"/>
    <x v="0"/>
    <x v="17"/>
    <x v="11"/>
    <x v="4"/>
    <x v="4"/>
    <x v="17"/>
    <m/>
    <x v="39"/>
    <x v="13"/>
  </r>
  <r>
    <x v="14"/>
    <s v=""/>
    <x v="11"/>
    <x v="23"/>
    <x v="17"/>
    <x v="11"/>
    <x v="4"/>
    <x v="4"/>
    <x v="17"/>
    <m/>
    <x v="39"/>
    <x v="14"/>
  </r>
  <r>
    <x v="14"/>
    <s v=""/>
    <x v="12"/>
    <x v="19"/>
    <x v="17"/>
    <x v="12"/>
    <x v="4"/>
    <x v="4"/>
    <x v="17"/>
    <m/>
    <x v="39"/>
    <x v="15"/>
  </r>
  <r>
    <x v="14"/>
    <s v=""/>
    <x v="12"/>
    <x v="24"/>
    <x v="17"/>
    <x v="12"/>
    <x v="4"/>
    <x v="4"/>
    <x v="17"/>
    <m/>
    <x v="39"/>
    <x v="15"/>
  </r>
  <r>
    <x v="14"/>
    <s v=""/>
    <x v="12"/>
    <x v="25"/>
    <x v="17"/>
    <x v="12"/>
    <x v="4"/>
    <x v="4"/>
    <x v="17"/>
    <m/>
    <x v="39"/>
    <x v="15"/>
  </r>
  <r>
    <x v="14"/>
    <s v=""/>
    <x v="13"/>
    <x v="13"/>
    <x v="17"/>
    <x v="13"/>
    <x v="4"/>
    <x v="4"/>
    <x v="17"/>
    <m/>
    <x v="39"/>
    <x v="16"/>
  </r>
  <r>
    <x v="14"/>
    <s v=""/>
    <x v="13"/>
    <x v="26"/>
    <x v="17"/>
    <x v="13"/>
    <x v="4"/>
    <x v="4"/>
    <x v="17"/>
    <m/>
    <x v="39"/>
    <x v="16"/>
  </r>
  <r>
    <x v="14"/>
    <s v=""/>
    <x v="14"/>
    <x v="2"/>
    <x v="17"/>
    <x v="14"/>
    <x v="4"/>
    <x v="4"/>
    <x v="17"/>
    <m/>
    <x v="39"/>
    <x v="14"/>
  </r>
  <r>
    <x v="14"/>
    <s v=""/>
    <x v="14"/>
    <x v="27"/>
    <x v="17"/>
    <x v="14"/>
    <x v="4"/>
    <x v="4"/>
    <x v="17"/>
    <m/>
    <x v="39"/>
    <x v="14"/>
  </r>
  <r>
    <x v="14"/>
    <s v=""/>
    <x v="15"/>
    <x v="9"/>
    <x v="17"/>
    <x v="15"/>
    <x v="4"/>
    <x v="4"/>
    <x v="17"/>
    <m/>
    <x v="39"/>
    <x v="2"/>
  </r>
  <r>
    <x v="14"/>
    <s v=""/>
    <x v="15"/>
    <x v="28"/>
    <x v="17"/>
    <x v="15"/>
    <x v="4"/>
    <x v="4"/>
    <x v="17"/>
    <m/>
    <x v="39"/>
    <x v="2"/>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r>
    <x v="14"/>
    <s v=""/>
    <x v="17"/>
    <x v="29"/>
    <x v="17"/>
    <x v="17"/>
    <x v="6"/>
    <x v="6"/>
    <x v="17"/>
    <m/>
    <x v="39"/>
    <x v="17"/>
  </r>
</pivotCacheRecords>
</file>

<file path=xl/pivotCache/pivotCacheRecords4.xml><?xml version="1.0" encoding="utf-8"?>
<pivotCacheRecords xmlns="http://schemas.openxmlformats.org/spreadsheetml/2006/main" xmlns:r="http://schemas.openxmlformats.org/officeDocument/2006/relationships" count="36">
  <r>
    <x v="0"/>
    <x v="0"/>
    <x v="0"/>
    <x v="0"/>
    <x v="0"/>
    <x v="0"/>
    <x v="0"/>
    <x v="0"/>
    <x v="0"/>
    <x v="0"/>
    <x v="0"/>
    <x v="0"/>
    <x v="0"/>
    <x v="0"/>
    <x v="0"/>
    <x v="0"/>
    <x v="0"/>
    <x v="0"/>
    <x v="0"/>
    <x v="0"/>
    <x v="0"/>
    <x v="0"/>
    <x v="0"/>
    <x v="0"/>
    <x v="0"/>
    <x v="0"/>
    <n v="1.6466499999999999"/>
    <x v="0"/>
    <x v="0"/>
    <x v="0"/>
    <x v="0"/>
    <x v="0"/>
    <x v="0"/>
    <x v="0"/>
    <x v="0"/>
  </r>
  <r>
    <x v="0"/>
    <x v="1"/>
    <x v="1"/>
    <x v="1"/>
    <x v="0"/>
    <x v="0"/>
    <x v="0"/>
    <x v="1"/>
    <x v="1"/>
    <x v="1"/>
    <x v="1"/>
    <x v="1"/>
    <x v="1"/>
    <x v="1"/>
    <x v="0"/>
    <x v="0"/>
    <x v="0"/>
    <x v="0"/>
    <x v="1"/>
    <x v="0"/>
    <x v="0"/>
    <x v="0"/>
    <x v="1"/>
    <x v="1"/>
    <x v="0"/>
    <x v="1"/>
    <n v="3.0394999999999999"/>
    <x v="0"/>
    <x v="0"/>
    <x v="0"/>
    <x v="0"/>
    <x v="0"/>
    <x v="1"/>
    <x v="1"/>
    <x v="0"/>
  </r>
  <r>
    <x v="0"/>
    <x v="2"/>
    <x v="1"/>
    <x v="2"/>
    <x v="0"/>
    <x v="0"/>
    <x v="0"/>
    <x v="0"/>
    <x v="2"/>
    <x v="2"/>
    <x v="0"/>
    <x v="2"/>
    <x v="2"/>
    <x v="0"/>
    <x v="0"/>
    <x v="0"/>
    <x v="0"/>
    <x v="0"/>
    <x v="2"/>
    <x v="0"/>
    <x v="0"/>
    <x v="0"/>
    <x v="1"/>
    <x v="2"/>
    <x v="0"/>
    <x v="1"/>
    <n v="0.98616833333333342"/>
    <x v="0"/>
    <x v="0"/>
    <x v="0"/>
    <x v="0"/>
    <x v="0"/>
    <x v="1"/>
    <x v="2"/>
    <x v="0"/>
  </r>
  <r>
    <x v="0"/>
    <x v="3"/>
    <x v="2"/>
    <x v="3"/>
    <x v="0"/>
    <x v="0"/>
    <x v="0"/>
    <x v="0"/>
    <x v="3"/>
    <x v="3"/>
    <x v="0"/>
    <x v="3"/>
    <x v="3"/>
    <x v="0"/>
    <x v="0"/>
    <x v="0"/>
    <x v="0"/>
    <x v="0"/>
    <x v="1"/>
    <x v="0"/>
    <x v="0"/>
    <x v="0"/>
    <x v="2"/>
    <x v="3"/>
    <x v="0"/>
    <x v="2"/>
    <n v="1.486"/>
    <x v="0"/>
    <x v="0"/>
    <x v="0"/>
    <x v="0"/>
    <x v="0"/>
    <x v="2"/>
    <x v="3"/>
    <x v="0"/>
  </r>
  <r>
    <x v="0"/>
    <x v="4"/>
    <x v="3"/>
    <x v="4"/>
    <x v="0"/>
    <x v="0"/>
    <x v="0"/>
    <x v="2"/>
    <x v="4"/>
    <x v="4"/>
    <x v="2"/>
    <x v="4"/>
    <x v="4"/>
    <x v="1"/>
    <x v="0"/>
    <x v="0"/>
    <x v="0"/>
    <x v="0"/>
    <x v="3"/>
    <x v="0"/>
    <x v="0"/>
    <x v="0"/>
    <x v="3"/>
    <x v="4"/>
    <x v="0"/>
    <x v="3"/>
    <n v="28.979849999999999"/>
    <x v="0"/>
    <x v="0"/>
    <x v="0"/>
    <x v="0"/>
    <x v="0"/>
    <x v="3"/>
    <x v="4"/>
    <x v="0"/>
  </r>
  <r>
    <x v="0"/>
    <x v="5"/>
    <x v="4"/>
    <x v="5"/>
    <x v="0"/>
    <x v="0"/>
    <x v="0"/>
    <x v="3"/>
    <x v="5"/>
    <x v="5"/>
    <x v="3"/>
    <x v="5"/>
    <x v="5"/>
    <x v="1"/>
    <x v="0"/>
    <x v="0"/>
    <x v="0"/>
    <x v="0"/>
    <x v="1"/>
    <x v="0"/>
    <x v="0"/>
    <x v="0"/>
    <x v="4"/>
    <x v="5"/>
    <x v="0"/>
    <x v="3"/>
    <n v="4.2359200000000001"/>
    <x v="0"/>
    <x v="0"/>
    <x v="0"/>
    <x v="0"/>
    <x v="0"/>
    <x v="3"/>
    <x v="5"/>
    <x v="0"/>
  </r>
  <r>
    <x v="1"/>
    <x v="0"/>
    <x v="5"/>
    <x v="0"/>
    <x v="1"/>
    <x v="1"/>
    <x v="1"/>
    <x v="4"/>
    <x v="0"/>
    <x v="0"/>
    <x v="4"/>
    <x v="0"/>
    <x v="0"/>
    <x v="1"/>
    <x v="0"/>
    <x v="1"/>
    <x v="1"/>
    <x v="1"/>
    <x v="0"/>
    <x v="1"/>
    <x v="1"/>
    <x v="0"/>
    <x v="5"/>
    <x v="0"/>
    <x v="0"/>
    <x v="0"/>
    <n v="0.4704714285714286"/>
    <x v="0"/>
    <x v="1"/>
    <x v="0"/>
    <x v="0"/>
    <x v="0"/>
    <x v="0"/>
    <x v="0"/>
    <x v="1"/>
  </r>
  <r>
    <x v="1"/>
    <x v="6"/>
    <x v="1"/>
    <x v="6"/>
    <x v="1"/>
    <x v="1"/>
    <x v="1"/>
    <x v="5"/>
    <x v="2"/>
    <x v="6"/>
    <x v="5"/>
    <x v="2"/>
    <x v="6"/>
    <x v="1"/>
    <x v="0"/>
    <x v="1"/>
    <x v="1"/>
    <x v="2"/>
    <x v="2"/>
    <x v="1"/>
    <x v="1"/>
    <x v="0"/>
    <x v="6"/>
    <x v="6"/>
    <x v="0"/>
    <x v="3"/>
    <n v="2.1300904761904764"/>
    <x v="0"/>
    <x v="1"/>
    <x v="0"/>
    <x v="0"/>
    <x v="0"/>
    <x v="3"/>
    <x v="6"/>
    <x v="1"/>
  </r>
  <r>
    <x v="1"/>
    <x v="2"/>
    <x v="1"/>
    <x v="2"/>
    <x v="1"/>
    <x v="1"/>
    <x v="1"/>
    <x v="5"/>
    <x v="2"/>
    <x v="2"/>
    <x v="5"/>
    <x v="2"/>
    <x v="2"/>
    <x v="1"/>
    <x v="0"/>
    <x v="1"/>
    <x v="1"/>
    <x v="2"/>
    <x v="2"/>
    <x v="1"/>
    <x v="1"/>
    <x v="0"/>
    <x v="6"/>
    <x v="2"/>
    <x v="0"/>
    <x v="1"/>
    <n v="0.70440595238095238"/>
    <x v="0"/>
    <x v="1"/>
    <x v="0"/>
    <x v="0"/>
    <x v="0"/>
    <x v="1"/>
    <x v="2"/>
    <x v="1"/>
  </r>
  <r>
    <x v="1"/>
    <x v="7"/>
    <x v="2"/>
    <x v="7"/>
    <x v="1"/>
    <x v="1"/>
    <x v="1"/>
    <x v="6"/>
    <x v="6"/>
    <x v="7"/>
    <x v="6"/>
    <x v="6"/>
    <x v="7"/>
    <x v="1"/>
    <x v="0"/>
    <x v="1"/>
    <x v="1"/>
    <x v="3"/>
    <x v="4"/>
    <x v="1"/>
    <x v="1"/>
    <x v="0"/>
    <x v="7"/>
    <x v="7"/>
    <x v="0"/>
    <x v="3"/>
    <n v="1.4108047619047621"/>
    <x v="0"/>
    <x v="1"/>
    <x v="0"/>
    <x v="0"/>
    <x v="0"/>
    <x v="3"/>
    <x v="7"/>
    <x v="1"/>
  </r>
  <r>
    <x v="1"/>
    <x v="4"/>
    <x v="6"/>
    <x v="4"/>
    <x v="1"/>
    <x v="1"/>
    <x v="1"/>
    <x v="7"/>
    <x v="4"/>
    <x v="4"/>
    <x v="7"/>
    <x v="4"/>
    <x v="4"/>
    <x v="1"/>
    <x v="0"/>
    <x v="1"/>
    <x v="1"/>
    <x v="4"/>
    <x v="3"/>
    <x v="1"/>
    <x v="1"/>
    <x v="0"/>
    <x v="8"/>
    <x v="4"/>
    <x v="0"/>
    <x v="3"/>
    <n v="8.2799571428571426"/>
    <x v="0"/>
    <x v="1"/>
    <x v="0"/>
    <x v="0"/>
    <x v="0"/>
    <x v="3"/>
    <x v="4"/>
    <x v="1"/>
  </r>
  <r>
    <x v="1"/>
    <x v="8"/>
    <x v="4"/>
    <x v="8"/>
    <x v="1"/>
    <x v="1"/>
    <x v="1"/>
    <x v="8"/>
    <x v="7"/>
    <x v="8"/>
    <x v="8"/>
    <x v="7"/>
    <x v="8"/>
    <x v="1"/>
    <x v="0"/>
    <x v="1"/>
    <x v="1"/>
    <x v="5"/>
    <x v="5"/>
    <x v="1"/>
    <x v="1"/>
    <x v="0"/>
    <x v="9"/>
    <x v="8"/>
    <x v="0"/>
    <x v="3"/>
    <n v="3.5190190476190479"/>
    <x v="0"/>
    <x v="1"/>
    <x v="0"/>
    <x v="0"/>
    <x v="0"/>
    <x v="3"/>
    <x v="8"/>
    <x v="1"/>
  </r>
  <r>
    <x v="2"/>
    <x v="0"/>
    <x v="5"/>
    <x v="0"/>
    <x v="2"/>
    <x v="2"/>
    <x v="2"/>
    <x v="9"/>
    <x v="0"/>
    <x v="0"/>
    <x v="9"/>
    <x v="0"/>
    <x v="0"/>
    <x v="1"/>
    <x v="1"/>
    <x v="2"/>
    <x v="2"/>
    <x v="6"/>
    <x v="0"/>
    <x v="2"/>
    <x v="2"/>
    <x v="0"/>
    <x v="10"/>
    <x v="0"/>
    <x v="0"/>
    <x v="0"/>
    <n v="0.82332499999999997"/>
    <x v="0"/>
    <x v="2"/>
    <x v="0"/>
    <x v="0"/>
    <x v="0"/>
    <x v="0"/>
    <x v="0"/>
    <x v="2"/>
  </r>
  <r>
    <x v="2"/>
    <x v="9"/>
    <x v="7"/>
    <x v="9"/>
    <x v="2"/>
    <x v="2"/>
    <x v="2"/>
    <x v="10"/>
    <x v="1"/>
    <x v="9"/>
    <x v="10"/>
    <x v="8"/>
    <x v="9"/>
    <x v="1"/>
    <x v="1"/>
    <x v="2"/>
    <x v="2"/>
    <x v="7"/>
    <x v="6"/>
    <x v="2"/>
    <x v="2"/>
    <x v="0"/>
    <x v="11"/>
    <x v="9"/>
    <x v="0"/>
    <x v="3"/>
    <n v="0"/>
    <x v="0"/>
    <x v="2"/>
    <x v="0"/>
    <x v="0"/>
    <x v="0"/>
    <x v="3"/>
    <x v="2"/>
    <x v="2"/>
  </r>
  <r>
    <x v="2"/>
    <x v="10"/>
    <x v="7"/>
    <x v="10"/>
    <x v="2"/>
    <x v="2"/>
    <x v="2"/>
    <x v="10"/>
    <x v="1"/>
    <x v="10"/>
    <x v="10"/>
    <x v="8"/>
    <x v="10"/>
    <x v="1"/>
    <x v="1"/>
    <x v="2"/>
    <x v="2"/>
    <x v="7"/>
    <x v="6"/>
    <x v="2"/>
    <x v="2"/>
    <x v="0"/>
    <x v="11"/>
    <x v="10"/>
    <x v="0"/>
    <x v="3"/>
    <n v="6.7812499999999998E-2"/>
    <x v="0"/>
    <x v="2"/>
    <x v="0"/>
    <x v="0"/>
    <x v="0"/>
    <x v="3"/>
    <x v="9"/>
    <x v="2"/>
  </r>
  <r>
    <x v="2"/>
    <x v="7"/>
    <x v="2"/>
    <x v="7"/>
    <x v="2"/>
    <x v="2"/>
    <x v="2"/>
    <x v="11"/>
    <x v="6"/>
    <x v="7"/>
    <x v="11"/>
    <x v="6"/>
    <x v="7"/>
    <x v="1"/>
    <x v="1"/>
    <x v="2"/>
    <x v="2"/>
    <x v="8"/>
    <x v="4"/>
    <x v="2"/>
    <x v="2"/>
    <x v="0"/>
    <x v="12"/>
    <x v="7"/>
    <x v="0"/>
    <x v="3"/>
    <n v="2.4689083333333337"/>
    <x v="0"/>
    <x v="2"/>
    <x v="0"/>
    <x v="0"/>
    <x v="0"/>
    <x v="3"/>
    <x v="7"/>
    <x v="2"/>
  </r>
  <r>
    <x v="2"/>
    <x v="4"/>
    <x v="6"/>
    <x v="4"/>
    <x v="2"/>
    <x v="2"/>
    <x v="2"/>
    <x v="12"/>
    <x v="4"/>
    <x v="4"/>
    <x v="12"/>
    <x v="4"/>
    <x v="4"/>
    <x v="1"/>
    <x v="1"/>
    <x v="2"/>
    <x v="2"/>
    <x v="9"/>
    <x v="3"/>
    <x v="2"/>
    <x v="2"/>
    <x v="0"/>
    <x v="13"/>
    <x v="4"/>
    <x v="0"/>
    <x v="3"/>
    <n v="14.489924999999999"/>
    <x v="0"/>
    <x v="2"/>
    <x v="0"/>
    <x v="0"/>
    <x v="0"/>
    <x v="3"/>
    <x v="4"/>
    <x v="2"/>
  </r>
  <r>
    <x v="2"/>
    <x v="11"/>
    <x v="8"/>
    <x v="11"/>
    <x v="2"/>
    <x v="2"/>
    <x v="2"/>
    <x v="13"/>
    <x v="8"/>
    <x v="11"/>
    <x v="13"/>
    <x v="9"/>
    <x v="11"/>
    <x v="1"/>
    <x v="1"/>
    <x v="2"/>
    <x v="2"/>
    <x v="10"/>
    <x v="7"/>
    <x v="2"/>
    <x v="2"/>
    <x v="0"/>
    <x v="14"/>
    <x v="11"/>
    <x v="0"/>
    <x v="3"/>
    <n v="0.63873397435897439"/>
    <x v="0"/>
    <x v="2"/>
    <x v="0"/>
    <x v="0"/>
    <x v="0"/>
    <x v="3"/>
    <x v="10"/>
    <x v="2"/>
  </r>
  <r>
    <x v="3"/>
    <x v="0"/>
    <x v="0"/>
    <x v="0"/>
    <x v="3"/>
    <x v="3"/>
    <x v="3"/>
    <x v="0"/>
    <x v="0"/>
    <x v="0"/>
    <x v="0"/>
    <x v="0"/>
    <x v="0"/>
    <x v="0"/>
    <x v="0"/>
    <x v="0"/>
    <x v="0"/>
    <x v="0"/>
    <x v="0"/>
    <x v="3"/>
    <x v="3"/>
    <x v="1"/>
    <x v="15"/>
    <x v="0"/>
    <x v="1"/>
    <x v="0"/>
    <n v="8.23325"/>
    <x v="1"/>
    <x v="3"/>
    <x v="1"/>
    <x v="1"/>
    <x v="1"/>
    <x v="0"/>
    <x v="0"/>
    <x v="3"/>
  </r>
  <r>
    <x v="3"/>
    <x v="1"/>
    <x v="1"/>
    <x v="1"/>
    <x v="3"/>
    <x v="3"/>
    <x v="3"/>
    <x v="9"/>
    <x v="1"/>
    <x v="1"/>
    <x v="14"/>
    <x v="1"/>
    <x v="1"/>
    <x v="1"/>
    <x v="0"/>
    <x v="0"/>
    <x v="0"/>
    <x v="0"/>
    <x v="1"/>
    <x v="3"/>
    <x v="3"/>
    <x v="2"/>
    <x v="10"/>
    <x v="1"/>
    <x v="2"/>
    <x v="1"/>
    <n v="15.1975"/>
    <x v="1"/>
    <x v="3"/>
    <x v="1"/>
    <x v="1"/>
    <x v="2"/>
    <x v="1"/>
    <x v="1"/>
    <x v="3"/>
  </r>
  <r>
    <x v="3"/>
    <x v="2"/>
    <x v="1"/>
    <x v="2"/>
    <x v="3"/>
    <x v="3"/>
    <x v="3"/>
    <x v="0"/>
    <x v="2"/>
    <x v="2"/>
    <x v="0"/>
    <x v="2"/>
    <x v="2"/>
    <x v="0"/>
    <x v="0"/>
    <x v="0"/>
    <x v="0"/>
    <x v="0"/>
    <x v="2"/>
    <x v="3"/>
    <x v="3"/>
    <x v="2"/>
    <x v="10"/>
    <x v="2"/>
    <x v="2"/>
    <x v="1"/>
    <n v="4.9308416666666668"/>
    <x v="1"/>
    <x v="3"/>
    <x v="1"/>
    <x v="1"/>
    <x v="2"/>
    <x v="1"/>
    <x v="2"/>
    <x v="3"/>
  </r>
  <r>
    <x v="3"/>
    <x v="3"/>
    <x v="2"/>
    <x v="3"/>
    <x v="3"/>
    <x v="3"/>
    <x v="3"/>
    <x v="14"/>
    <x v="9"/>
    <x v="3"/>
    <x v="15"/>
    <x v="3"/>
    <x v="12"/>
    <x v="1"/>
    <x v="0"/>
    <x v="0"/>
    <x v="0"/>
    <x v="0"/>
    <x v="1"/>
    <x v="3"/>
    <x v="3"/>
    <x v="3"/>
    <x v="16"/>
    <x v="3"/>
    <x v="3"/>
    <x v="2"/>
    <n v="7.43"/>
    <x v="1"/>
    <x v="3"/>
    <x v="1"/>
    <x v="1"/>
    <x v="3"/>
    <x v="2"/>
    <x v="3"/>
    <x v="3"/>
  </r>
  <r>
    <x v="3"/>
    <x v="12"/>
    <x v="3"/>
    <x v="12"/>
    <x v="3"/>
    <x v="3"/>
    <x v="3"/>
    <x v="15"/>
    <x v="10"/>
    <x v="12"/>
    <x v="16"/>
    <x v="10"/>
    <x v="13"/>
    <x v="1"/>
    <x v="0"/>
    <x v="0"/>
    <x v="0"/>
    <x v="0"/>
    <x v="8"/>
    <x v="3"/>
    <x v="3"/>
    <x v="4"/>
    <x v="17"/>
    <x v="12"/>
    <x v="4"/>
    <x v="4"/>
    <n v="87.629833333333337"/>
    <x v="1"/>
    <x v="3"/>
    <x v="1"/>
    <x v="1"/>
    <x v="4"/>
    <x v="4"/>
    <x v="11"/>
    <x v="3"/>
  </r>
  <r>
    <x v="3"/>
    <x v="13"/>
    <x v="4"/>
    <x v="13"/>
    <x v="3"/>
    <x v="3"/>
    <x v="3"/>
    <x v="16"/>
    <x v="11"/>
    <x v="13"/>
    <x v="17"/>
    <x v="11"/>
    <x v="14"/>
    <x v="1"/>
    <x v="0"/>
    <x v="0"/>
    <x v="0"/>
    <x v="0"/>
    <x v="1"/>
    <x v="3"/>
    <x v="3"/>
    <x v="5"/>
    <x v="18"/>
    <x v="13"/>
    <x v="5"/>
    <x v="5"/>
    <n v="5.6539999999999999"/>
    <x v="1"/>
    <x v="3"/>
    <x v="1"/>
    <x v="1"/>
    <x v="5"/>
    <x v="5"/>
    <x v="12"/>
    <x v="3"/>
  </r>
  <r>
    <x v="4"/>
    <x v="0"/>
    <x v="5"/>
    <x v="0"/>
    <x v="4"/>
    <x v="4"/>
    <x v="4"/>
    <x v="17"/>
    <x v="0"/>
    <x v="0"/>
    <x v="18"/>
    <x v="0"/>
    <x v="0"/>
    <x v="1"/>
    <x v="0"/>
    <x v="3"/>
    <x v="3"/>
    <x v="11"/>
    <x v="0"/>
    <x v="4"/>
    <x v="1"/>
    <x v="0"/>
    <x v="19"/>
    <x v="0"/>
    <x v="0"/>
    <x v="0"/>
    <n v="0.54888333333333339"/>
    <x v="0"/>
    <x v="4"/>
    <x v="0"/>
    <x v="0"/>
    <x v="0"/>
    <x v="0"/>
    <x v="0"/>
    <x v="4"/>
  </r>
  <r>
    <x v="4"/>
    <x v="6"/>
    <x v="1"/>
    <x v="6"/>
    <x v="4"/>
    <x v="4"/>
    <x v="4"/>
    <x v="18"/>
    <x v="2"/>
    <x v="6"/>
    <x v="19"/>
    <x v="2"/>
    <x v="6"/>
    <x v="1"/>
    <x v="0"/>
    <x v="3"/>
    <x v="3"/>
    <x v="12"/>
    <x v="2"/>
    <x v="4"/>
    <x v="1"/>
    <x v="0"/>
    <x v="20"/>
    <x v="6"/>
    <x v="0"/>
    <x v="3"/>
    <n v="2.4851055555555557"/>
    <x v="0"/>
    <x v="4"/>
    <x v="0"/>
    <x v="0"/>
    <x v="0"/>
    <x v="3"/>
    <x v="6"/>
    <x v="4"/>
  </r>
  <r>
    <x v="4"/>
    <x v="2"/>
    <x v="1"/>
    <x v="2"/>
    <x v="4"/>
    <x v="4"/>
    <x v="4"/>
    <x v="18"/>
    <x v="2"/>
    <x v="2"/>
    <x v="19"/>
    <x v="2"/>
    <x v="2"/>
    <x v="1"/>
    <x v="0"/>
    <x v="3"/>
    <x v="3"/>
    <x v="12"/>
    <x v="2"/>
    <x v="4"/>
    <x v="1"/>
    <x v="0"/>
    <x v="20"/>
    <x v="2"/>
    <x v="0"/>
    <x v="1"/>
    <n v="0.82180694444444446"/>
    <x v="0"/>
    <x v="4"/>
    <x v="0"/>
    <x v="0"/>
    <x v="0"/>
    <x v="1"/>
    <x v="2"/>
    <x v="4"/>
  </r>
  <r>
    <x v="4"/>
    <x v="7"/>
    <x v="2"/>
    <x v="7"/>
    <x v="4"/>
    <x v="4"/>
    <x v="4"/>
    <x v="19"/>
    <x v="6"/>
    <x v="7"/>
    <x v="20"/>
    <x v="6"/>
    <x v="7"/>
    <x v="1"/>
    <x v="0"/>
    <x v="3"/>
    <x v="3"/>
    <x v="13"/>
    <x v="4"/>
    <x v="4"/>
    <x v="1"/>
    <x v="0"/>
    <x v="21"/>
    <x v="7"/>
    <x v="0"/>
    <x v="3"/>
    <n v="1.6459388888888891"/>
    <x v="0"/>
    <x v="4"/>
    <x v="0"/>
    <x v="0"/>
    <x v="0"/>
    <x v="3"/>
    <x v="7"/>
    <x v="4"/>
  </r>
  <r>
    <x v="4"/>
    <x v="12"/>
    <x v="6"/>
    <x v="12"/>
    <x v="4"/>
    <x v="4"/>
    <x v="4"/>
    <x v="20"/>
    <x v="10"/>
    <x v="12"/>
    <x v="21"/>
    <x v="10"/>
    <x v="13"/>
    <x v="1"/>
    <x v="0"/>
    <x v="3"/>
    <x v="3"/>
    <x v="14"/>
    <x v="8"/>
    <x v="4"/>
    <x v="1"/>
    <x v="0"/>
    <x v="22"/>
    <x v="12"/>
    <x v="0"/>
    <x v="4"/>
    <n v="5.8419888888888885"/>
    <x v="0"/>
    <x v="4"/>
    <x v="0"/>
    <x v="0"/>
    <x v="0"/>
    <x v="4"/>
    <x v="11"/>
    <x v="4"/>
  </r>
  <r>
    <x v="4"/>
    <x v="14"/>
    <x v="4"/>
    <x v="14"/>
    <x v="4"/>
    <x v="4"/>
    <x v="4"/>
    <x v="21"/>
    <x v="0"/>
    <x v="14"/>
    <x v="22"/>
    <x v="12"/>
    <x v="15"/>
    <x v="1"/>
    <x v="0"/>
    <x v="3"/>
    <x v="3"/>
    <x v="15"/>
    <x v="9"/>
    <x v="4"/>
    <x v="1"/>
    <x v="0"/>
    <x v="23"/>
    <x v="14"/>
    <x v="0"/>
    <x v="3"/>
    <n v="1.0062"/>
    <x v="0"/>
    <x v="4"/>
    <x v="0"/>
    <x v="0"/>
    <x v="0"/>
    <x v="3"/>
    <x v="13"/>
    <x v="4"/>
  </r>
  <r>
    <x v="5"/>
    <x v="0"/>
    <x v="5"/>
    <x v="0"/>
    <x v="5"/>
    <x v="5"/>
    <x v="5"/>
    <x v="10"/>
    <x v="0"/>
    <x v="0"/>
    <x v="23"/>
    <x v="0"/>
    <x v="0"/>
    <x v="1"/>
    <x v="1"/>
    <x v="4"/>
    <x v="4"/>
    <x v="16"/>
    <x v="0"/>
    <x v="5"/>
    <x v="2"/>
    <x v="0"/>
    <x v="11"/>
    <x v="0"/>
    <x v="0"/>
    <x v="0"/>
    <n v="0.41166249999999999"/>
    <x v="0"/>
    <x v="2"/>
    <x v="0"/>
    <x v="0"/>
    <x v="0"/>
    <x v="0"/>
    <x v="0"/>
    <x v="5"/>
  </r>
  <r>
    <x v="5"/>
    <x v="9"/>
    <x v="7"/>
    <x v="9"/>
    <x v="5"/>
    <x v="5"/>
    <x v="5"/>
    <x v="22"/>
    <x v="1"/>
    <x v="9"/>
    <x v="24"/>
    <x v="8"/>
    <x v="9"/>
    <x v="1"/>
    <x v="1"/>
    <x v="4"/>
    <x v="4"/>
    <x v="17"/>
    <x v="6"/>
    <x v="5"/>
    <x v="2"/>
    <x v="0"/>
    <x v="24"/>
    <x v="9"/>
    <x v="0"/>
    <x v="3"/>
    <n v="0"/>
    <x v="0"/>
    <x v="2"/>
    <x v="0"/>
    <x v="0"/>
    <x v="0"/>
    <x v="3"/>
    <x v="2"/>
    <x v="5"/>
  </r>
  <r>
    <x v="5"/>
    <x v="10"/>
    <x v="7"/>
    <x v="10"/>
    <x v="5"/>
    <x v="5"/>
    <x v="5"/>
    <x v="22"/>
    <x v="1"/>
    <x v="10"/>
    <x v="24"/>
    <x v="8"/>
    <x v="10"/>
    <x v="1"/>
    <x v="1"/>
    <x v="4"/>
    <x v="4"/>
    <x v="17"/>
    <x v="6"/>
    <x v="5"/>
    <x v="2"/>
    <x v="0"/>
    <x v="24"/>
    <x v="10"/>
    <x v="0"/>
    <x v="3"/>
    <n v="3.3906249999999999E-2"/>
    <x v="0"/>
    <x v="2"/>
    <x v="0"/>
    <x v="0"/>
    <x v="0"/>
    <x v="3"/>
    <x v="9"/>
    <x v="5"/>
  </r>
  <r>
    <x v="5"/>
    <x v="7"/>
    <x v="2"/>
    <x v="7"/>
    <x v="5"/>
    <x v="5"/>
    <x v="5"/>
    <x v="23"/>
    <x v="6"/>
    <x v="7"/>
    <x v="25"/>
    <x v="6"/>
    <x v="7"/>
    <x v="1"/>
    <x v="1"/>
    <x v="4"/>
    <x v="4"/>
    <x v="18"/>
    <x v="4"/>
    <x v="5"/>
    <x v="2"/>
    <x v="0"/>
    <x v="25"/>
    <x v="7"/>
    <x v="0"/>
    <x v="3"/>
    <n v="1.2344541666666669"/>
    <x v="0"/>
    <x v="2"/>
    <x v="0"/>
    <x v="0"/>
    <x v="0"/>
    <x v="3"/>
    <x v="7"/>
    <x v="5"/>
  </r>
  <r>
    <x v="5"/>
    <x v="12"/>
    <x v="6"/>
    <x v="12"/>
    <x v="5"/>
    <x v="5"/>
    <x v="5"/>
    <x v="24"/>
    <x v="10"/>
    <x v="12"/>
    <x v="26"/>
    <x v="10"/>
    <x v="13"/>
    <x v="1"/>
    <x v="1"/>
    <x v="4"/>
    <x v="4"/>
    <x v="19"/>
    <x v="8"/>
    <x v="5"/>
    <x v="2"/>
    <x v="0"/>
    <x v="26"/>
    <x v="12"/>
    <x v="0"/>
    <x v="4"/>
    <n v="4.3814916666666663"/>
    <x v="0"/>
    <x v="2"/>
    <x v="0"/>
    <x v="0"/>
    <x v="0"/>
    <x v="4"/>
    <x v="11"/>
    <x v="5"/>
  </r>
  <r>
    <x v="5"/>
    <x v="15"/>
    <x v="8"/>
    <x v="15"/>
    <x v="5"/>
    <x v="5"/>
    <x v="5"/>
    <x v="25"/>
    <x v="12"/>
    <x v="15"/>
    <x v="27"/>
    <x v="13"/>
    <x v="16"/>
    <x v="1"/>
    <x v="1"/>
    <x v="4"/>
    <x v="4"/>
    <x v="20"/>
    <x v="10"/>
    <x v="5"/>
    <x v="2"/>
    <x v="0"/>
    <x v="27"/>
    <x v="15"/>
    <x v="0"/>
    <x v="3"/>
    <n v="2.1508012820512823"/>
    <x v="0"/>
    <x v="2"/>
    <x v="0"/>
    <x v="0"/>
    <x v="0"/>
    <x v="3"/>
    <x v="1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C4:E19" firstHeaderRow="2" firstDataRow="2" firstDataCol="2"/>
  <pivotFields count="9">
    <pivotField axis="axisRow" compact="0" outline="0" subtotalTop="0" showAll="0" includeNewItemsInFilter="1" defaultSubtotal="0">
      <items count="8">
        <item x="6"/>
        <item x="5"/>
        <item x="1"/>
        <item x="7"/>
        <item x="4"/>
        <item x="2"/>
        <item h="1" x="3"/>
        <item h="1" x="0"/>
      </items>
    </pivotField>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26">
        <item x="1"/>
        <item x="2"/>
        <item x="3"/>
        <item x="4"/>
        <item x="5"/>
        <item x="6"/>
        <item x="7"/>
        <item x="8"/>
        <item x="9"/>
        <item x="10"/>
        <item x="11"/>
        <item x="12"/>
        <item x="13"/>
        <item x="14"/>
        <item x="15"/>
        <item x="16"/>
        <item x="17"/>
        <item x="18"/>
        <item x="19"/>
        <item x="20"/>
        <item x="21"/>
        <item x="22"/>
        <item x="23"/>
        <item x="24"/>
        <item x="0"/>
        <item t="default"/>
      </items>
    </pivotField>
    <pivotField compact="0" numFmtId="189" outline="0" subtotalTop="0" showAll="0" includeNewItemsInFilter="1"/>
  </pivotFields>
  <rowFields count="2">
    <field x="0"/>
    <field x="7"/>
  </rowFields>
  <rowItems count="14">
    <i>
      <x/>
      <x v="8"/>
    </i>
    <i r="1">
      <x v="20"/>
    </i>
    <i>
      <x v="1"/>
      <x v="6"/>
    </i>
    <i r="1">
      <x v="18"/>
    </i>
    <i>
      <x v="2"/>
      <x/>
    </i>
    <i r="1">
      <x v="3"/>
    </i>
    <i r="1">
      <x v="12"/>
    </i>
    <i>
      <x v="3"/>
      <x v="14"/>
    </i>
    <i>
      <x v="4"/>
      <x v="5"/>
    </i>
    <i r="1">
      <x v="16"/>
    </i>
    <i>
      <x v="5"/>
      <x v="1"/>
    </i>
    <i r="1">
      <x v="10"/>
    </i>
    <i r="1">
      <x v="22"/>
    </i>
    <i t="grand">
      <x/>
    </i>
  </rowItems>
  <colItems count="1">
    <i/>
  </colItems>
  <dataFields count="1">
    <dataField name="Sum of Qty" fld="2"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2" dataOnRows="1" applyNumberFormats="0" applyBorderFormats="0" applyFontFormats="0" applyPatternFormats="0" applyAlignmentFormats="0" applyWidthHeightFormats="1" dataCaption="Data" showItems="0" showMultipleLabel="0" showMemberPropertyTips="0" useAutoFormatting="1" rowGrandTotals="0" itemPrintTitles="1" indent="0" compact="0" compactData="0" gridDropZones="1">
  <location ref="A5:D84" firstHeaderRow="2" firstDataRow="2" firstDataCol="3"/>
  <pivotFields count="7">
    <pivotField axis="axisRow" compact="0" outline="0" subtotalTop="0" showAll="0" includeNewItemsInFilter="1" sortType="ascending" rankBy="0" defaultSubtotal="0">
      <items count="21">
        <item h="1" x="6"/>
        <item h="1" x="13"/>
        <item h="1" x="20"/>
        <item x="0"/>
        <item x="7"/>
        <item x="14"/>
        <item x="1"/>
        <item x="8"/>
        <item x="15"/>
        <item x="2"/>
        <item x="9"/>
        <item x="16"/>
        <item x="3"/>
        <item x="10"/>
        <item x="17"/>
        <item x="4"/>
        <item x="11"/>
        <item x="18"/>
        <item x="5"/>
        <item x="12"/>
        <item x="19"/>
      </items>
    </pivotField>
    <pivotField axis="axisRow" compact="0" outline="0" subtotalTop="0" showAll="0" includeNewItemsInFilter="1" sortType="ascending" rankBy="0" defaultSubtotal="0">
      <items count="17">
        <item h="1" x="16"/>
        <item x="0"/>
        <item x="1"/>
        <item x="6"/>
        <item x="9"/>
        <item x="2"/>
        <item x="10"/>
        <item x="7"/>
        <item x="3"/>
        <item x="4"/>
        <item x="12"/>
        <item x="5"/>
        <item x="8"/>
        <item x="11"/>
        <item x="13"/>
        <item x="14"/>
        <item x="15"/>
      </items>
    </pivotField>
    <pivotField compact="0" outline="0" subtotalTop="0" showAll="0" includeNewItemsInFilter="1"/>
    <pivotField compact="0" outline="0" subtotalTop="0" showAll="0" includeNewItemsInFilter="1"/>
    <pivotField axis="axisRow" compact="0" numFmtId="15" outline="0" subtotalTop="0" showAll="0" includeNewItemsInFilter="1" sortType="ascending" rankBy="0" defaultSubtotal="0">
      <items count="13">
        <item h="1" x="5"/>
        <item x="2"/>
        <item x="8"/>
        <item x="4"/>
        <item x="1"/>
        <item x="0"/>
        <item x="10"/>
        <item x="11"/>
        <item x="3"/>
        <item x="9"/>
        <item x="7"/>
        <item x="6"/>
        <item x="12"/>
      </items>
    </pivotField>
    <pivotField compact="0" outline="0" subtotalTop="0" showAll="0" includeNewItemsInFilter="1"/>
    <pivotField dataField="1" compact="0" outline="0" subtotalTop="0" showAll="0" includeNewItemsInFilter="1"/>
  </pivotFields>
  <rowFields count="3">
    <field x="1"/>
    <field x="4"/>
    <field x="0"/>
  </rowFields>
  <rowItems count="78">
    <i>
      <x v="1"/>
      <x v="1"/>
      <x v="9"/>
    </i>
    <i r="2">
      <x v="18"/>
    </i>
    <i r="1">
      <x v="2"/>
      <x v="10"/>
    </i>
    <i r="1">
      <x v="3"/>
      <x v="15"/>
    </i>
    <i r="1">
      <x v="4"/>
      <x v="6"/>
    </i>
    <i r="1">
      <x v="5"/>
      <x v="3"/>
    </i>
    <i r="1">
      <x v="6"/>
      <x v="19"/>
    </i>
    <i r="1">
      <x v="7"/>
      <x v="11"/>
    </i>
    <i r="1">
      <x v="8"/>
      <x v="12"/>
    </i>
    <i r="1">
      <x v="9"/>
      <x v="16"/>
    </i>
    <i r="1">
      <x v="10"/>
      <x v="7"/>
    </i>
    <i r="1">
      <x v="11"/>
      <x v="4"/>
    </i>
    <i r="1">
      <x v="12"/>
      <x v="20"/>
    </i>
    <i>
      <x v="2"/>
      <x v="5"/>
      <x v="3"/>
    </i>
    <i r="1">
      <x v="8"/>
      <x v="12"/>
    </i>
    <i r="1">
      <x v="11"/>
      <x v="4"/>
    </i>
    <i>
      <x v="3"/>
      <x v="3"/>
      <x v="15"/>
    </i>
    <i r="1">
      <x v="4"/>
      <x v="6"/>
    </i>
    <i r="1">
      <x v="9"/>
      <x v="16"/>
    </i>
    <i r="1">
      <x v="10"/>
      <x v="7"/>
    </i>
    <i>
      <x v="4"/>
      <x v="1"/>
      <x v="9"/>
    </i>
    <i r="2">
      <x v="18"/>
    </i>
    <i r="1">
      <x v="2"/>
      <x v="10"/>
    </i>
    <i r="1">
      <x v="6"/>
      <x v="19"/>
    </i>
    <i r="1">
      <x v="7"/>
      <x v="11"/>
    </i>
    <i r="1">
      <x v="12"/>
      <x v="20"/>
    </i>
    <i>
      <x v="5"/>
      <x v="3"/>
      <x v="15"/>
    </i>
    <i r="1">
      <x v="4"/>
      <x v="6"/>
    </i>
    <i r="1">
      <x v="5"/>
      <x v="3"/>
    </i>
    <i r="1">
      <x v="8"/>
      <x v="12"/>
    </i>
    <i r="1">
      <x v="9"/>
      <x v="16"/>
    </i>
    <i r="1">
      <x v="10"/>
      <x v="7"/>
    </i>
    <i r="1">
      <x v="11"/>
      <x v="4"/>
    </i>
    <i>
      <x v="6"/>
      <x v="1"/>
      <x v="9"/>
    </i>
    <i r="2">
      <x v="18"/>
    </i>
    <i r="1">
      <x v="2"/>
      <x v="10"/>
    </i>
    <i r="1">
      <x v="6"/>
      <x v="19"/>
    </i>
    <i r="1">
      <x v="7"/>
      <x v="11"/>
    </i>
    <i r="1">
      <x v="12"/>
      <x v="20"/>
    </i>
    <i>
      <x v="7"/>
      <x v="1"/>
      <x v="9"/>
    </i>
    <i r="2">
      <x v="18"/>
    </i>
    <i r="1">
      <x v="2"/>
      <x v="10"/>
    </i>
    <i r="1">
      <x v="3"/>
      <x v="15"/>
    </i>
    <i r="1">
      <x v="4"/>
      <x v="6"/>
    </i>
    <i r="1">
      <x v="6"/>
      <x v="19"/>
    </i>
    <i r="1">
      <x v="7"/>
      <x v="11"/>
    </i>
    <i r="1">
      <x v="9"/>
      <x v="16"/>
    </i>
    <i r="1">
      <x v="10"/>
      <x v="7"/>
    </i>
    <i r="1">
      <x v="12"/>
      <x v="20"/>
    </i>
    <i>
      <x v="8"/>
      <x v="5"/>
      <x v="3"/>
    </i>
    <i r="1">
      <x v="8"/>
      <x v="12"/>
    </i>
    <i r="1">
      <x v="11"/>
      <x v="4"/>
    </i>
    <i>
      <x v="9"/>
      <x v="1"/>
      <x v="9"/>
    </i>
    <i r="1">
      <x v="2"/>
      <x v="10"/>
    </i>
    <i r="1">
      <x v="4"/>
      <x v="6"/>
    </i>
    <i r="1">
      <x v="5"/>
      <x v="3"/>
    </i>
    <i r="1">
      <x v="7"/>
      <x v="11"/>
    </i>
    <i r="1">
      <x v="10"/>
      <x v="7"/>
    </i>
    <i r="1">
      <x v="11"/>
      <x v="4"/>
    </i>
    <i>
      <x v="10"/>
      <x v="1"/>
      <x v="18"/>
    </i>
    <i r="1">
      <x v="3"/>
      <x v="15"/>
    </i>
    <i r="1">
      <x v="6"/>
      <x v="19"/>
    </i>
    <i r="1">
      <x v="8"/>
      <x v="12"/>
    </i>
    <i r="1">
      <x v="9"/>
      <x v="16"/>
    </i>
    <i r="1">
      <x v="12"/>
      <x v="20"/>
    </i>
    <i>
      <x v="11"/>
      <x v="5"/>
      <x v="3"/>
    </i>
    <i r="1">
      <x v="11"/>
      <x v="4"/>
    </i>
    <i>
      <x v="12"/>
      <x v="4"/>
      <x v="6"/>
    </i>
    <i r="1">
      <x v="10"/>
      <x v="7"/>
    </i>
    <i>
      <x v="13"/>
      <x v="1"/>
      <x v="9"/>
    </i>
    <i r="1">
      <x v="2"/>
      <x v="10"/>
    </i>
    <i r="1">
      <x v="7"/>
      <x v="11"/>
    </i>
    <i>
      <x v="14"/>
      <x v="8"/>
      <x v="12"/>
    </i>
    <i>
      <x v="15"/>
      <x v="3"/>
      <x v="15"/>
    </i>
    <i r="1">
      <x v="9"/>
      <x v="16"/>
    </i>
    <i>
      <x v="16"/>
      <x v="1"/>
      <x v="18"/>
    </i>
    <i r="1">
      <x v="6"/>
      <x v="19"/>
    </i>
    <i r="1">
      <x v="12"/>
      <x v="20"/>
    </i>
  </rowItems>
  <colItems count="1">
    <i/>
  </colItems>
  <dataFields count="1">
    <dataField name="Sum of Component Quantity Required" fld="6"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Data" showItems="0" showMultipleLabel="0" showMemberPropertyTips="0" useAutoFormatting="1" rowGrandTotals="0" itemPrintTitles="1" mergeItem="1" indent="0" compact="0" compactData="0" gridDropZones="1">
  <location ref="A10:F109" firstHeaderRow="1" firstDataRow="2" firstDataCol="4" rowPageCount="1" colPageCount="1"/>
  <pivotFields count="12">
    <pivotField axis="axisRow" compact="0" outline="0" subtotalTop="0" showAll="0" includeNewItemsInFilter="1">
      <items count="16">
        <item x="5"/>
        <item x="11"/>
        <item x="4"/>
        <item x="10"/>
        <item x="0"/>
        <item x="2"/>
        <item x="7"/>
        <item x="8"/>
        <item x="3"/>
        <item x="9"/>
        <item x="1"/>
        <item x="6"/>
        <item x="12"/>
        <item x="13"/>
        <item x="14"/>
        <item t="default"/>
      </items>
    </pivotField>
    <pivotField compact="0" outline="0" subtotalTop="0" showAll="0" includeNewItemsInFilter="1"/>
    <pivotField compact="0" outline="0" subtotalTop="0" showAll="0" includeNewItemsInFilter="1"/>
    <pivotField axis="axisRow" compact="0" outline="0" subtotalTop="0" showAll="0" includeNewItemsInFilter="1" defaultSubtotal="0">
      <items count="30">
        <item x="12"/>
        <item x="29"/>
        <item x="0"/>
        <item x="1"/>
        <item x="16"/>
        <item x="2"/>
        <item x="3"/>
        <item x="23"/>
        <item x="4"/>
        <item x="5"/>
        <item x="6"/>
        <item x="7"/>
        <item x="8"/>
        <item x="9"/>
        <item x="27"/>
        <item x="14"/>
        <item x="19"/>
        <item x="22"/>
        <item x="10"/>
        <item x="11"/>
        <item x="21"/>
        <item x="18"/>
        <item x="28"/>
        <item x="13"/>
        <item x="17"/>
        <item x="24"/>
        <item x="15"/>
        <item x="20"/>
        <item x="26"/>
        <item x="25"/>
      </items>
    </pivotField>
    <pivotField compact="0" outline="0" subtotalTop="0" showAll="0" includeNewItemsInFilter="1"/>
    <pivotField axis="axisRow" compact="0" outline="0" subtotalTop="0" showAll="0" includeNewItemsInFilter="1">
      <items count="19">
        <item h="1" x="17"/>
        <item x="8"/>
        <item x="0"/>
        <item x="1"/>
        <item x="2"/>
        <item x="3"/>
        <item x="6"/>
        <item x="7"/>
        <item x="4"/>
        <item x="10"/>
        <item x="11"/>
        <item x="12"/>
        <item x="13"/>
        <item x="14"/>
        <item x="15"/>
        <item x="9"/>
        <item x="5"/>
        <item x="16"/>
        <item t="default"/>
      </items>
    </pivotField>
    <pivotField compact="0" outline="0" subtotalTop="0" showAll="0" includeNewItemsInFilter="1"/>
    <pivotField axis="axisRow" compact="0" outline="0" subtotalTop="0" showAll="0" includeNewItemsInFilter="1" sortType="ascending" rankBy="0" defaultSubtotal="0">
      <items count="7">
        <item h="1" x="6"/>
        <item x="0"/>
        <item x="1"/>
        <item x="3"/>
        <item x="4"/>
        <item x="2"/>
        <item h="1" x="5"/>
      </items>
    </pivotField>
    <pivotField compact="0" outline="0" subtotalTop="0" showAll="0" includeNewItemsInFilter="1"/>
    <pivotField compact="0" outline="0" subtotalTop="0" showAll="0" includeNewItemsInFilter="1"/>
    <pivotField axis="axisPage" dataField="1" compact="0" outline="0" subtotalTop="0" showAll="0" includeNewItemsInFilter="1">
      <items count="41">
        <item h="1" x="0"/>
        <item x="30"/>
        <item x="28"/>
        <item x="31"/>
        <item x="27"/>
        <item x="24"/>
        <item x="7"/>
        <item x="21"/>
        <item x="29"/>
        <item x="25"/>
        <item x="26"/>
        <item x="22"/>
        <item x="23"/>
        <item x="4"/>
        <item x="32"/>
        <item x="1"/>
        <item x="34"/>
        <item x="19"/>
        <item x="6"/>
        <item x="36"/>
        <item x="10"/>
        <item x="2"/>
        <item x="20"/>
        <item x="8"/>
        <item x="13"/>
        <item x="16"/>
        <item x="3"/>
        <item x="14"/>
        <item x="5"/>
        <item x="33"/>
        <item x="9"/>
        <item x="15"/>
        <item x="37"/>
        <item x="18"/>
        <item x="11"/>
        <item x="35"/>
        <item x="12"/>
        <item x="17"/>
        <item h="1" x="38"/>
        <item x="39"/>
        <item t="default"/>
      </items>
    </pivotField>
    <pivotField dataField="1" compact="0" outline="0" subtotalTop="0" showAll="0" includeNewItemsInFilter="1"/>
  </pivotFields>
  <rowFields count="4">
    <field x="7"/>
    <field x="5"/>
    <field x="3"/>
    <field x="0"/>
  </rowFields>
  <rowItems count="98">
    <i>
      <x v="1"/>
      <x v="2"/>
      <x v="3"/>
      <x v="5"/>
    </i>
    <i r="2">
      <x v="5"/>
      <x v="8"/>
    </i>
    <i r="2">
      <x v="6"/>
      <x v="2"/>
    </i>
    <i r="3">
      <x v="14"/>
    </i>
    <i r="2">
      <x v="8"/>
      <x/>
    </i>
    <i r="2">
      <x v="9"/>
      <x v="11"/>
    </i>
    <i r="2">
      <x v="10"/>
      <x v="6"/>
    </i>
    <i r="2">
      <x v="11"/>
      <x v="7"/>
    </i>
    <i r="2">
      <x v="12"/>
      <x v="9"/>
    </i>
    <i r="2">
      <x v="13"/>
      <x v="3"/>
    </i>
    <i r="3">
      <x v="14"/>
    </i>
    <i r="2">
      <x v="18"/>
      <x v="1"/>
    </i>
    <i r="2">
      <x v="19"/>
      <x v="12"/>
    </i>
    <i t="default" r="1">
      <x v="2"/>
    </i>
    <i>
      <x v="2"/>
      <x v="3"/>
      <x v="18"/>
      <x v="1"/>
    </i>
    <i r="2">
      <x v="23"/>
      <x v="14"/>
    </i>
    <i t="default" r="1">
      <x v="3"/>
    </i>
    <i r="1">
      <x v="4"/>
      <x v="6"/>
      <x v="2"/>
    </i>
    <i r="3">
      <x v="14"/>
    </i>
    <i r="2">
      <x v="12"/>
      <x v="9"/>
    </i>
    <i r="2">
      <x v="13"/>
      <x v="3"/>
    </i>
    <i r="2">
      <x v="15"/>
      <x v="14"/>
    </i>
    <i r="2">
      <x v="26"/>
      <x v="14"/>
    </i>
    <i t="default" r="1">
      <x v="4"/>
    </i>
    <i r="1">
      <x v="5"/>
      <x v="2"/>
      <x v="10"/>
    </i>
    <i r="2">
      <x v="3"/>
      <x v="5"/>
    </i>
    <i r="2">
      <x v="4"/>
      <x v="14"/>
    </i>
    <i r="2">
      <x v="9"/>
      <x v="11"/>
    </i>
    <i r="2">
      <x v="10"/>
      <x v="6"/>
    </i>
    <i r="2">
      <x v="15"/>
      <x v="14"/>
    </i>
    <i r="2">
      <x v="19"/>
      <x v="12"/>
    </i>
    <i r="2">
      <x v="24"/>
      <x v="14"/>
    </i>
    <i t="default" r="1">
      <x v="5"/>
    </i>
    <i r="1">
      <x v="8"/>
      <x v="4"/>
      <x v="14"/>
    </i>
    <i r="2">
      <x v="5"/>
      <x v="8"/>
    </i>
    <i r="2">
      <x v="6"/>
      <x v="2"/>
    </i>
    <i r="2">
      <x v="8"/>
      <x/>
    </i>
    <i r="2">
      <x v="11"/>
      <x v="7"/>
    </i>
    <i r="2">
      <x v="12"/>
      <x v="9"/>
    </i>
    <i r="2">
      <x v="13"/>
      <x v="3"/>
    </i>
    <i r="2">
      <x v="18"/>
      <x v="1"/>
    </i>
    <i r="2">
      <x v="21"/>
      <x v="14"/>
    </i>
    <i t="default" r="1">
      <x v="8"/>
    </i>
    <i r="1">
      <x v="16"/>
      <x v="2"/>
      <x v="10"/>
    </i>
    <i r="2">
      <x v="3"/>
      <x v="5"/>
    </i>
    <i r="2">
      <x v="5"/>
      <x v="14"/>
    </i>
    <i r="2">
      <x v="9"/>
      <x v="11"/>
    </i>
    <i r="2">
      <x v="10"/>
      <x v="6"/>
    </i>
    <i r="2">
      <x v="16"/>
      <x v="14"/>
    </i>
    <i r="2">
      <x v="19"/>
      <x v="12"/>
    </i>
    <i t="default" r="1">
      <x v="16"/>
    </i>
    <i>
      <x v="3"/>
      <x v="1"/>
      <x v="8"/>
      <x v="14"/>
    </i>
    <i r="2">
      <x v="20"/>
      <x v="14"/>
    </i>
    <i t="default" r="1">
      <x v="1"/>
    </i>
    <i r="1">
      <x v="15"/>
      <x v="12"/>
      <x v="9"/>
    </i>
    <i r="2">
      <x v="17"/>
      <x v="14"/>
    </i>
    <i r="2">
      <x v="19"/>
      <x v="12"/>
    </i>
    <i t="default" r="1">
      <x v="15"/>
    </i>
    <i>
      <x v="4"/>
      <x v="9"/>
      <x v="21"/>
      <x v="14"/>
    </i>
    <i t="default" r="1">
      <x v="9"/>
    </i>
    <i r="1">
      <x v="10"/>
      <x v="2"/>
      <x v="14"/>
    </i>
    <i r="2">
      <x v="7"/>
      <x v="14"/>
    </i>
    <i t="default" r="1">
      <x v="10"/>
    </i>
    <i r="1">
      <x v="11"/>
      <x v="3"/>
      <x v="5"/>
    </i>
    <i r="2">
      <x v="10"/>
      <x v="6"/>
    </i>
    <i r="2">
      <x v="16"/>
      <x v="14"/>
    </i>
    <i r="2">
      <x v="25"/>
      <x v="14"/>
    </i>
    <i r="2">
      <x v="29"/>
      <x v="14"/>
    </i>
    <i t="default" r="1">
      <x v="11"/>
    </i>
    <i r="1">
      <x v="12"/>
      <x v="23"/>
      <x v="14"/>
    </i>
    <i r="2">
      <x v="28"/>
      <x v="14"/>
    </i>
    <i t="default" r="1">
      <x v="12"/>
    </i>
    <i r="1">
      <x v="13"/>
      <x v="5"/>
      <x v="8"/>
    </i>
    <i r="3">
      <x v="14"/>
    </i>
    <i r="2">
      <x v="12"/>
      <x v="9"/>
    </i>
    <i r="2">
      <x v="14"/>
      <x v="14"/>
    </i>
    <i t="default" r="1">
      <x v="13"/>
    </i>
    <i r="1">
      <x v="14"/>
      <x v="9"/>
      <x v="11"/>
    </i>
    <i r="2">
      <x v="13"/>
      <x v="14"/>
    </i>
    <i r="2">
      <x v="19"/>
      <x v="12"/>
    </i>
    <i r="2">
      <x v="22"/>
      <x v="14"/>
    </i>
    <i t="default" r="1">
      <x v="14"/>
    </i>
    <i>
      <x v="5"/>
      <x v="6"/>
      <x v="2"/>
      <x v="14"/>
    </i>
    <i r="2">
      <x v="5"/>
      <x v="8"/>
    </i>
    <i r="2">
      <x v="6"/>
      <x v="2"/>
    </i>
    <i r="2">
      <x v="9"/>
      <x v="11"/>
    </i>
    <i r="2">
      <x v="10"/>
      <x v="6"/>
    </i>
    <i r="2">
      <x v="12"/>
      <x v="9"/>
    </i>
    <i r="2">
      <x v="13"/>
      <x v="3"/>
    </i>
    <i r="2">
      <x v="18"/>
      <x v="14"/>
    </i>
    <i r="2">
      <x v="19"/>
      <x v="12"/>
    </i>
    <i t="default" r="1">
      <x v="6"/>
    </i>
    <i r="1">
      <x v="7"/>
      <x v="6"/>
      <x v="14"/>
    </i>
    <i r="2">
      <x v="8"/>
      <x/>
    </i>
    <i r="2">
      <x v="11"/>
      <x v="7"/>
    </i>
    <i r="2">
      <x v="18"/>
      <x v="1"/>
    </i>
    <i r="2">
      <x v="27"/>
      <x v="14"/>
    </i>
    <i t="default" r="1">
      <x v="7"/>
    </i>
  </rowItems>
  <colFields count="1">
    <field x="-2"/>
  </colFields>
  <colItems count="2">
    <i>
      <x/>
    </i>
    <i i="1">
      <x v="1"/>
    </i>
  </colItems>
  <pageFields count="1">
    <pageField fld="10" hier="0"/>
  </pageFields>
  <dataFields count="2">
    <dataField name=" Get In" fld="10" baseField="0" baseItem="0" numFmtId="3"/>
    <dataField name=" On order" fld="11" baseField="0" baseItem="0" numFmtId="3"/>
  </dataFields>
  <formats count="7">
    <format dxfId="13">
      <pivotArea dataOnly="0" labelOnly="1" outline="0" fieldPosition="0">
        <references count="1">
          <reference field="7" count="0" defaultSubtotal="1" sumSubtotal="1" countASubtotal="1" avgSubtotal="1" maxSubtotal="1" minSubtotal="1" productSubtotal="1" countSubtotal="1" stdDevSubtotal="1" stdDevPSubtotal="1" varSubtotal="1" varPSubtotal="1"/>
        </references>
      </pivotArea>
    </format>
    <format dxfId="12">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11">
      <pivotArea dataOnly="0" labelOnly="1"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10">
      <pivotArea dataOnly="0" labelOnly="1" outline="0" fieldPosition="0">
        <references count="1">
          <reference field="7" count="0" defaultSubtotal="1" sumSubtotal="1" countASubtotal="1" avgSubtotal="1" maxSubtotal="1" minSubtotal="1" productSubtotal="1" countSubtotal="1" stdDevSubtotal="1" stdDevPSubtotal="1" varSubtotal="1" varPSubtotal="1"/>
        </references>
      </pivotArea>
    </format>
    <format dxfId="9">
      <pivotArea dataOnly="0"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8">
      <pivotArea dataOnly="0" outline="0" fieldPosition="0">
        <references count="1">
          <reference field="5" count="0" defaultSubtotal="1" sumSubtotal="1" countASubtotal="1" avgSubtotal="1" maxSubtotal="1" minSubtotal="1" productSubtotal="1" countSubtotal="1" stdDevSubtotal="1" stdDevPSubtotal="1" varSubtotal="1" varPSubtotal="1"/>
        </references>
      </pivotArea>
    </format>
    <format dxfId="7">
      <pivotArea dataOnly="0" outline="0" fieldPosition="0">
        <references count="1">
          <reference field="5" count="0" defaultSubtotal="1" sumSubtotal="1" countASubtotal="1" avgSubtotal="1" maxSubtotal="1" minSubtotal="1" productSubtotal="1" countSubtotal="1" stdDevSubtotal="1" stdDevPSubtotal="1" varSubtotal="1" varPSubtotal="1"/>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Data" showItems="0" showMultipleLabel="0" showMemberPropertyTips="0" useAutoFormatting="1" rowGrandTotals="0" itemPrintTitles="1" indent="0" compact="0" compactData="0" gridDropZones="1">
  <location ref="A3:G20" firstHeaderRow="1" firstDataRow="2" firstDataCol="1"/>
  <pivotFields count="35">
    <pivotField compact="0" outline="0" subtotalTop="0" showAll="0" includeNewItemsInFilter="1"/>
    <pivotField axis="axisRow" compact="0" outline="0" subtotalTop="0" showAll="0" includeNewItemsInFilter="1">
      <items count="17">
        <item x="0"/>
        <item x="1"/>
        <item x="6"/>
        <item x="9"/>
        <item x="2"/>
        <item x="10"/>
        <item x="7"/>
        <item x="3"/>
        <item x="4"/>
        <item x="12"/>
        <item x="5"/>
        <item x="8"/>
        <item x="11"/>
        <item x="13"/>
        <item x="14"/>
        <item x="15"/>
        <item t="default"/>
      </items>
    </pivotField>
    <pivotField compact="0" numFmtId="172"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2"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dataField="1" compact="0" numFmtId="1" outline="0" subtotalTop="0" showAll="0" includeNewItemsInFilter="1"/>
    <pivotField compact="0" numFmtId="1" outline="0" subtotalTop="0" showAll="0" includeNewItemsInFilter="1"/>
    <pivotField compact="0" numFmtId="2" outline="0" subtotalTop="0" showAll="0" includeNewItemsInFilter="1"/>
    <pivotField compact="0" outline="0" subtotalTop="0" showAll="0" includeNewItemsInFilter="1"/>
    <pivotField compact="0" numFmtId="2" outline="0" subtotalTop="0" showAll="0" includeNewItemsInFilter="1"/>
    <pivotField compact="0" numFmtId="2" outline="0" subtotalTop="0" showAll="0" includeNewItemsInFilter="1"/>
    <pivotField compact="0" outline="0" subtotalTop="0" showAll="0" includeNewItemsInFilter="1"/>
    <pivotField dataField="1" compact="0" outline="0" subtotalTop="0" showAll="0" includeNewItemsInFilter="1"/>
    <pivotField compact="0" numFmtId="1"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numFmtId="1" outline="0" subtotalTop="0" showAll="0" includeNewItemsInFilter="1"/>
    <pivotField dataField="1" compact="0" outline="0" subtotalTop="0" showAll="0" includeNewItemsInFilter="1"/>
    <pivotField compact="0" outline="0" subtotalTop="0" showAll="0" includeNewItemsInFilter="1"/>
    <pivotField compact="0" numFmtId="2" outline="0" subtotalTop="0" showAll="0" includeNewItemsInFilter="1"/>
    <pivotField compact="0" outline="0" subtotalTop="0" showAll="0" includeNewItemsInFilter="1"/>
    <pivotField compact="0" numFmtId="2" outline="0" subtotalTop="0" showAll="0" includeNewItemsInFilter="1"/>
    <pivotField compact="0" numFmtId="2"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numFmtId="1" outline="0" subtotalTop="0" showAll="0" includeNewItemsInFilter="1"/>
    <pivotField compact="0" outline="0" subtotalTop="0" showAll="0" includeNewItemsInFilter="1"/>
  </pivotFields>
  <rowFields count="1">
    <field x="1"/>
  </rowFields>
  <rowItems count="16">
    <i>
      <x/>
    </i>
    <i>
      <x v="1"/>
    </i>
    <i>
      <x v="2"/>
    </i>
    <i>
      <x v="3"/>
    </i>
    <i>
      <x v="4"/>
    </i>
    <i>
      <x v="5"/>
    </i>
    <i>
      <x v="6"/>
    </i>
    <i>
      <x v="7"/>
    </i>
    <i>
      <x v="8"/>
    </i>
    <i>
      <x v="9"/>
    </i>
    <i>
      <x v="10"/>
    </i>
    <i>
      <x v="11"/>
    </i>
    <i>
      <x v="12"/>
    </i>
    <i>
      <x v="13"/>
    </i>
    <i>
      <x v="14"/>
    </i>
    <i>
      <x v="15"/>
    </i>
  </rowItems>
  <colFields count="1">
    <field x="-2"/>
  </colFields>
  <colItems count="6">
    <i>
      <x/>
    </i>
    <i i="1">
      <x v="1"/>
    </i>
    <i i="2">
      <x v="2"/>
    </i>
    <i i="3">
      <x v="3"/>
    </i>
    <i i="4">
      <x v="4"/>
    </i>
    <i i="5">
      <x v="5"/>
    </i>
  </colItems>
  <dataFields count="6">
    <dataField name="Sum of Component Sales Forcast per Week" fld="7" baseField="0" baseItem="0"/>
    <dataField name="Sum of Components in Product Inventory" fld="10" baseField="0" baseItem="0"/>
    <dataField name="Sum of Use Component" fld="17" baseField="0" baseItem="0"/>
    <dataField name="Sum of Component Sales Forcast per Week 2" fld="21" baseField="0" baseItem="0"/>
    <dataField name="Sum of Components in Product Inventory 2" fld="24" baseField="0" baseItem="0"/>
    <dataField name="Sum of Use Component 2" fld="31" baseField="0" baseItem="0"/>
  </dataFields>
  <formats count="1">
    <format dxfId="3">
      <pivotArea type="all" dataOnly="0" labelOnly="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2" cacheId="4" applyNumberFormats="0" applyBorderFormats="0" applyFontFormats="0" applyPatternFormats="0" applyAlignmentFormats="0" applyWidthHeightFormats="1" dataCaption="Data" showItems="0" showMultipleLabel="0" showMemberPropertyTips="0" useAutoFormatting="1" rowGrandTotals="0" itemPrintTitles="1" indent="0" compact="0" compactData="0" gridDropZones="1">
  <location ref="A3:D10" firstHeaderRow="1" firstDataRow="2" firstDataCol="1"/>
  <pivotFields count="35">
    <pivotField axis="axisRow" compact="0" outline="0" subtotalTop="0" showAll="0" includeNewItemsInFilter="1">
      <items count="7">
        <item x="0"/>
        <item x="1"/>
        <item x="2"/>
        <item x="3"/>
        <item x="4"/>
        <item x="5"/>
        <item t="default"/>
      </items>
    </pivotField>
    <pivotField compact="0" outline="0" subtotalTop="0" showAll="0" includeNewItemsInFilter="1"/>
    <pivotField compact="0" numFmtId="172"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2"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 outline="0" subtotalTop="0" showAll="0" includeNewItemsInFilter="1"/>
    <pivotField compact="0" numFmtId="1" outline="0" subtotalTop="0" showAll="0" includeNewItemsInFilter="1"/>
    <pivotField dataField="1" compact="0" numFmtId="2" outline="0" subtotalTop="0" showAll="0" includeNewItemsInFilter="1"/>
    <pivotField compact="0" outline="0" subtotalTop="0" showAll="0" includeNewItemsInFilter="1"/>
    <pivotField compact="0" numFmtId="2" outline="0" subtotalTop="0" showAll="0" includeNewItemsInFilter="1"/>
    <pivotField compact="0" numFmtId="2" outline="0" subtotalTop="0" showAll="0" includeNewItemsInFilter="1"/>
    <pivotField compact="0" outline="0" subtotalTop="0" showAll="0" includeNewItemsInFilter="1"/>
    <pivotField compact="0" outline="0" subtotalTop="0" showAll="0" includeNewItemsInFilter="1"/>
    <pivotField compact="0" numFmtId="1"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 outline="0" subtotalTop="0" showAll="0" includeNewItemsInFilter="1"/>
    <pivotField compact="0" outline="0" subtotalTop="0" showAll="0" includeNewItemsInFilter="1"/>
    <pivotField compact="0" outline="0" subtotalTop="0" showAll="0" includeNewItemsInFilter="1"/>
    <pivotField dataField="1" compact="0" numFmtId="2" outline="0" subtotalTop="0" showAll="0" includeNewItemsInFilter="1"/>
    <pivotField compact="0" outline="0" subtotalTop="0" showAll="0" includeNewItemsInFilter="1"/>
    <pivotField compact="0" numFmtId="2" outline="0" subtotalTop="0" showAll="0" includeNewItemsInFilter="1"/>
    <pivotField compact="0" numFmtId="2"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 outline="0" subtotalTop="0" showAll="0" includeNewItemsInFilter="1"/>
    <pivotField dataField="1" compact="0" outline="0" subtotalTop="0" showAll="0" includeNewItemsInFilter="1"/>
  </pivotFields>
  <rowFields count="1">
    <field x="0"/>
  </rowFields>
  <rowItems count="6">
    <i>
      <x/>
    </i>
    <i>
      <x v="1"/>
    </i>
    <i>
      <x v="2"/>
    </i>
    <i>
      <x v="3"/>
    </i>
    <i>
      <x v="4"/>
    </i>
    <i>
      <x v="5"/>
    </i>
  </rowItems>
  <colFields count="1">
    <field x="-2"/>
  </colFields>
  <colItems count="3">
    <i>
      <x/>
    </i>
    <i i="1">
      <x v="1"/>
    </i>
    <i i="2">
      <x v="2"/>
    </i>
  </colItems>
  <dataFields count="3">
    <dataField name="Min of Total Average Inventory Cover" fld="12" subtotal="min" baseField="0" baseItem="0"/>
    <dataField name="Min of Total Average Inventory Cover 2" fld="26" subtotal="min" baseField="0" baseItem="0"/>
    <dataField name="Product to make with components in inventory" fld="34" baseField="0" baseItem="0"/>
  </dataFields>
  <formats count="3">
    <format dxfId="2">
      <pivotArea type="all" dataOnly="0" labelOnly="1" outline="0" fieldPosition="0"/>
    </format>
    <format dxfId="1">
      <pivotArea dataOnly="0" outline="0" fieldPosition="0">
        <references count="1">
          <reference field="4294967294" count="1">
            <x v="2"/>
          </reference>
        </references>
      </pivotArea>
    </format>
    <format dxfId="0">
      <pivotArea outline="0" fieldPosition="0">
        <references count="1">
          <reference field="4294967294" count="1" selected="0">
            <x v="2"/>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15.bin"/><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ivotTable" Target="../pivotTables/pivotTable4.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production-scheduling.com/" TargetMode="External"/><Relationship Id="rId1" Type="http://schemas.openxmlformats.org/officeDocument/2006/relationships/hyperlink" Target="mailto:Production-Scheduling@Mweb.co.za"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9.bin"/><Relationship Id="rId1" Type="http://schemas.openxmlformats.org/officeDocument/2006/relationships/hyperlink" Target="http://www.production-schedul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58"/>
  <sheetViews>
    <sheetView showGridLines="0" showRowColHeaders="0" workbookViewId="0">
      <pane ySplit="5" topLeftCell="A6" activePane="bottomLeft" state="frozen"/>
      <selection pane="bottomLeft"/>
    </sheetView>
  </sheetViews>
  <sheetFormatPr defaultRowHeight="13.2" x14ac:dyDescent="0.25"/>
  <cols>
    <col min="1" max="1" width="9.33203125" customWidth="1"/>
    <col min="2" max="2" width="4" customWidth="1"/>
    <col min="3" max="3" width="64.5546875" customWidth="1"/>
    <col min="4" max="4" width="14.33203125" customWidth="1"/>
  </cols>
  <sheetData>
    <row r="6" spans="1:3" ht="15.6" x14ac:dyDescent="0.3">
      <c r="A6" s="1" t="s">
        <v>0</v>
      </c>
      <c r="B6" s="2"/>
      <c r="C6" s="2"/>
    </row>
    <row r="7" spans="1:3" ht="6" customHeight="1" x14ac:dyDescent="0.25">
      <c r="A7" s="2"/>
      <c r="B7" s="2"/>
      <c r="C7" s="2"/>
    </row>
    <row r="8" spans="1:3" x14ac:dyDescent="0.25">
      <c r="A8" s="3" t="s">
        <v>1</v>
      </c>
      <c r="B8" s="2"/>
      <c r="C8" s="2"/>
    </row>
    <row r="10" spans="1:3" x14ac:dyDescent="0.25">
      <c r="B10" s="123" t="s">
        <v>2</v>
      </c>
      <c r="C10" s="124"/>
    </row>
    <row r="11" spans="1:3" ht="6" customHeight="1" x14ac:dyDescent="0.25"/>
    <row r="12" spans="1:3" x14ac:dyDescent="0.25">
      <c r="B12" s="123" t="s">
        <v>284</v>
      </c>
      <c r="C12" s="124"/>
    </row>
    <row r="13" spans="1:3" ht="6" customHeight="1" x14ac:dyDescent="0.25"/>
    <row r="14" spans="1:3" x14ac:dyDescent="0.25">
      <c r="B14" s="123" t="s">
        <v>3</v>
      </c>
      <c r="C14" s="124"/>
    </row>
    <row r="15" spans="1:3" ht="6" customHeight="1" x14ac:dyDescent="0.25"/>
    <row r="16" spans="1:3" x14ac:dyDescent="0.25">
      <c r="B16" t="s">
        <v>4</v>
      </c>
    </row>
    <row r="17" spans="2:3" ht="6" customHeight="1" x14ac:dyDescent="0.25"/>
    <row r="18" spans="2:3" x14ac:dyDescent="0.25">
      <c r="C18" s="112" t="s">
        <v>5</v>
      </c>
    </row>
    <row r="19" spans="2:3" x14ac:dyDescent="0.25">
      <c r="C19" s="112" t="s">
        <v>6</v>
      </c>
    </row>
    <row r="20" spans="2:3" x14ac:dyDescent="0.25">
      <c r="C20" s="112" t="s">
        <v>7</v>
      </c>
    </row>
    <row r="21" spans="2:3" x14ac:dyDescent="0.25">
      <c r="C21" s="112" t="s">
        <v>8</v>
      </c>
    </row>
    <row r="23" spans="2:3" x14ac:dyDescent="0.25">
      <c r="B23" s="123" t="s">
        <v>9</v>
      </c>
      <c r="C23" s="124"/>
    </row>
    <row r="24" spans="2:3" ht="6" customHeight="1" x14ac:dyDescent="0.25"/>
    <row r="25" spans="2:3" x14ac:dyDescent="0.25">
      <c r="C25" s="112" t="s">
        <v>304</v>
      </c>
    </row>
    <row r="27" spans="2:3" x14ac:dyDescent="0.25">
      <c r="B27" t="s">
        <v>285</v>
      </c>
    </row>
    <row r="28" spans="2:3" ht="6" customHeight="1" x14ac:dyDescent="0.25"/>
    <row r="29" spans="2:3" x14ac:dyDescent="0.25">
      <c r="C29" s="112" t="s">
        <v>10</v>
      </c>
    </row>
    <row r="30" spans="2:3" x14ac:dyDescent="0.25">
      <c r="C30" s="112" t="s">
        <v>11</v>
      </c>
    </row>
    <row r="31" spans="2:3" x14ac:dyDescent="0.25">
      <c r="C31" s="112" t="s">
        <v>12</v>
      </c>
    </row>
    <row r="32" spans="2:3" x14ac:dyDescent="0.25">
      <c r="C32" s="112" t="s">
        <v>13</v>
      </c>
    </row>
    <row r="34" spans="2:3" x14ac:dyDescent="0.25">
      <c r="B34" t="s">
        <v>286</v>
      </c>
    </row>
    <row r="35" spans="2:3" ht="6" customHeight="1" x14ac:dyDescent="0.25"/>
    <row r="36" spans="2:3" x14ac:dyDescent="0.25">
      <c r="C36" s="112" t="s">
        <v>14</v>
      </c>
    </row>
    <row r="37" spans="2:3" x14ac:dyDescent="0.25">
      <c r="C37" s="112" t="s">
        <v>15</v>
      </c>
    </row>
    <row r="38" spans="2:3" x14ac:dyDescent="0.25">
      <c r="C38" s="112" t="s">
        <v>16</v>
      </c>
    </row>
    <row r="39" spans="2:3" x14ac:dyDescent="0.25">
      <c r="C39" s="112" t="s">
        <v>17</v>
      </c>
    </row>
    <row r="58" spans="3:3" x14ac:dyDescent="0.25">
      <c r="C58" t="s">
        <v>321</v>
      </c>
    </row>
  </sheetData>
  <mergeCells count="4">
    <mergeCell ref="B10:C10"/>
    <mergeCell ref="B12:C12"/>
    <mergeCell ref="B14:C14"/>
    <mergeCell ref="B23:C23"/>
  </mergeCells>
  <hyperlinks>
    <hyperlink ref="B10" location="Introduction!A1" display="Introduction!A1"/>
    <hyperlink ref="B12" location="'Table of Links'!A1" display="'Table of Links'!A1"/>
    <hyperlink ref="B14" location="'The Business'!A1" display="'The Business'!A1"/>
    <hyperlink ref="C18" location="'Item Master'!A1" display="'Item Master'!A1"/>
    <hyperlink ref="C19" location="'Supplier Master'!A1" display="'Supplier Master'!A1"/>
    <hyperlink ref="C20" location="'Bill of Material'!A1" display="'Bill of Material'!A1"/>
    <hyperlink ref="C21" location="'Purchase Orders'!A1" display="'Purchase Orders'!A1"/>
    <hyperlink ref="B23" location="'Finite Schedule'!A1" display="'Finite Schedule'!A1"/>
    <hyperlink ref="C25" location="'Make-to-Inventory Logic'!A1" display="'Make-to-Inventory Logic'!A1"/>
    <hyperlink ref="C29" location="'Production Runs'!A1" display="'Production Runs'!A1"/>
    <hyperlink ref="C30" location="'BOM x 3'!A1" display="'BOM x 3'!A1"/>
    <hyperlink ref="C31" location="'Allocate Inventory'!A1" display="'Allocate Inventory'!A1"/>
    <hyperlink ref="C32" location="'Purchase Action Report'!A1" display="'Purchase Action Report'!A1"/>
    <hyperlink ref="C36" location="'Inventory Rationing Logic'!A1" display="'Inventory Rationing Logic'!A1"/>
    <hyperlink ref="C37" location="'Inventory Rationing Calculation'!A1" display="'Inventory Rationing Calculation'!A1"/>
    <hyperlink ref="C38" location="'Components Pivot'!A1" display="'Components Pivot'!A1"/>
    <hyperlink ref="C39" location="'Products Pivot'!A1" display="'Products Pivot'!A1"/>
  </hyperlinks>
  <pageMargins left="0.64" right="0.52" top="1" bottom="1" header="0.5" footer="0.5"/>
  <pageSetup paperSize="9" orientation="portrait" horizontalDpi="300" verticalDpi="300" r:id="rId1"/>
  <headerFooter alignWithMargins="0">
    <oddHeader>&amp;Chttp://www.production-scheduling.com</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C20"/>
  <sheetViews>
    <sheetView workbookViewId="0">
      <selection activeCell="C3" sqref="C3"/>
    </sheetView>
  </sheetViews>
  <sheetFormatPr defaultRowHeight="13.2" x14ac:dyDescent="0.25"/>
  <cols>
    <col min="1" max="1" width="2.5546875" customWidth="1"/>
    <col min="2" max="2" width="4.33203125" customWidth="1"/>
    <col min="3" max="3" width="82.88671875" customWidth="1"/>
    <col min="15" max="15" width="13.33203125" customWidth="1"/>
  </cols>
  <sheetData>
    <row r="1" spans="1:3" x14ac:dyDescent="0.25">
      <c r="A1" s="4" t="s">
        <v>304</v>
      </c>
    </row>
    <row r="3" spans="1:3" x14ac:dyDescent="0.25">
      <c r="A3" t="s">
        <v>288</v>
      </c>
    </row>
    <row r="5" spans="1:3" x14ac:dyDescent="0.25">
      <c r="A5" s="121" t="s">
        <v>289</v>
      </c>
      <c r="B5" t="s">
        <v>290</v>
      </c>
    </row>
    <row r="6" spans="1:3" x14ac:dyDescent="0.25">
      <c r="A6" s="122"/>
      <c r="B6" s="116" t="s">
        <v>289</v>
      </c>
      <c r="C6" t="s">
        <v>291</v>
      </c>
    </row>
    <row r="7" spans="1:3" x14ac:dyDescent="0.25">
      <c r="A7" s="122"/>
      <c r="B7" s="116" t="s">
        <v>289</v>
      </c>
      <c r="C7" t="s">
        <v>292</v>
      </c>
    </row>
    <row r="8" spans="1:3" x14ac:dyDescent="0.25">
      <c r="A8" s="121" t="s">
        <v>289</v>
      </c>
      <c r="B8" t="s">
        <v>293</v>
      </c>
    </row>
    <row r="9" spans="1:3" x14ac:dyDescent="0.25">
      <c r="A9" s="121" t="s">
        <v>289</v>
      </c>
      <c r="B9" t="s">
        <v>294</v>
      </c>
    </row>
    <row r="10" spans="1:3" x14ac:dyDescent="0.25">
      <c r="A10" s="121" t="s">
        <v>289</v>
      </c>
      <c r="B10" t="s">
        <v>295</v>
      </c>
    </row>
    <row r="11" spans="1:3" ht="25.5" customHeight="1" x14ac:dyDescent="0.25">
      <c r="A11" s="121" t="s">
        <v>289</v>
      </c>
      <c r="B11" s="125" t="s">
        <v>296</v>
      </c>
      <c r="C11" s="125"/>
    </row>
    <row r="12" spans="1:3" ht="25.5" customHeight="1" x14ac:dyDescent="0.25">
      <c r="A12" s="121" t="s">
        <v>289</v>
      </c>
      <c r="B12" s="125" t="s">
        <v>297</v>
      </c>
      <c r="C12" s="125"/>
    </row>
    <row r="13" spans="1:3" x14ac:dyDescent="0.25">
      <c r="A13" s="121" t="s">
        <v>289</v>
      </c>
      <c r="B13" t="s">
        <v>317</v>
      </c>
    </row>
    <row r="14" spans="1:3" x14ac:dyDescent="0.25">
      <c r="A14" s="121" t="s">
        <v>289</v>
      </c>
      <c r="B14" t="s">
        <v>298</v>
      </c>
    </row>
    <row r="15" spans="1:3" ht="25.5" customHeight="1" x14ac:dyDescent="0.25">
      <c r="A15" s="121" t="s">
        <v>289</v>
      </c>
      <c r="B15" s="125" t="s">
        <v>299</v>
      </c>
      <c r="C15" s="125"/>
    </row>
    <row r="16" spans="1:3" x14ac:dyDescent="0.25">
      <c r="A16" s="121" t="s">
        <v>289</v>
      </c>
      <c r="B16" t="s">
        <v>300</v>
      </c>
    </row>
    <row r="17" spans="1:3" ht="25.5" customHeight="1" x14ac:dyDescent="0.25">
      <c r="A17" s="121" t="s">
        <v>289</v>
      </c>
      <c r="B17" s="125" t="s">
        <v>301</v>
      </c>
      <c r="C17" s="125"/>
    </row>
    <row r="18" spans="1:3" ht="25.5" customHeight="1" x14ac:dyDescent="0.25">
      <c r="A18" s="121" t="s">
        <v>289</v>
      </c>
      <c r="B18" s="125" t="s">
        <v>302</v>
      </c>
      <c r="C18" s="125"/>
    </row>
    <row r="20" spans="1:3" ht="25.5" customHeight="1" x14ac:dyDescent="0.25">
      <c r="A20" s="125" t="s">
        <v>303</v>
      </c>
      <c r="B20" s="125"/>
      <c r="C20" s="125"/>
    </row>
  </sheetData>
  <mergeCells count="6">
    <mergeCell ref="A20:C20"/>
    <mergeCell ref="B11:C11"/>
    <mergeCell ref="B12:C12"/>
    <mergeCell ref="B15:C15"/>
    <mergeCell ref="B18:C18"/>
    <mergeCell ref="B17:C17"/>
  </mergeCells>
  <pageMargins left="0.66" right="0.61" top="1" bottom="1" header="0.49" footer="0.5"/>
  <pageSetup paperSize="9" orientation="portrait" horizontalDpi="300" verticalDpi="300" r:id="rId1"/>
  <headerFooter alignWithMargins="0">
    <oddHeader>&amp;Chttp://www.production-scheduling.com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D21" sqref="D21"/>
    </sheetView>
  </sheetViews>
  <sheetFormatPr defaultRowHeight="13.2" x14ac:dyDescent="0.25"/>
  <cols>
    <col min="4" max="4" width="13.33203125" bestFit="1" customWidth="1"/>
    <col min="5" max="5" width="6" bestFit="1" customWidth="1"/>
    <col min="6" max="6" width="6.6640625" customWidth="1"/>
  </cols>
  <sheetData>
    <row r="1" spans="1:6" x14ac:dyDescent="0.25">
      <c r="A1" t="s">
        <v>234</v>
      </c>
    </row>
    <row r="2" spans="1:6" x14ac:dyDescent="0.25">
      <c r="A2" t="s">
        <v>235</v>
      </c>
    </row>
    <row r="4" spans="1:6" x14ac:dyDescent="0.25">
      <c r="C4" s="128" t="s">
        <v>104</v>
      </c>
      <c r="D4" s="61"/>
      <c r="E4" s="62"/>
    </row>
    <row r="5" spans="1:6" x14ac:dyDescent="0.25">
      <c r="A5" t="s">
        <v>108</v>
      </c>
      <c r="B5" t="s">
        <v>106</v>
      </c>
      <c r="C5" s="63" t="s">
        <v>98</v>
      </c>
      <c r="D5" s="63" t="s">
        <v>122</v>
      </c>
      <c r="E5" s="62" t="s">
        <v>103</v>
      </c>
      <c r="F5" s="7" t="s">
        <v>107</v>
      </c>
    </row>
    <row r="6" spans="1:6" x14ac:dyDescent="0.25">
      <c r="A6" t="str">
        <f>IF(D6,B6&amp;"/"&amp;F6,"")</f>
        <v>AB100/1</v>
      </c>
      <c r="B6" t="str">
        <f>IF(D6,IF(ISBLANK(C6),B5,C6),"")</f>
        <v>AB100</v>
      </c>
      <c r="C6" s="60" t="s">
        <v>26</v>
      </c>
      <c r="D6" s="64">
        <v>36608.811331018522</v>
      </c>
      <c r="E6" s="65">
        <v>1609</v>
      </c>
      <c r="F6">
        <f>IF(D6,IF(B6=B5,F5+1,1),"")</f>
        <v>1</v>
      </c>
    </row>
    <row r="7" spans="1:6" x14ac:dyDescent="0.25">
      <c r="A7" t="str">
        <f t="shared" ref="A7:A26" si="0">IF(D7,B7&amp;"/"&amp;F7,"")</f>
        <v>AB100/2</v>
      </c>
      <c r="B7" t="str">
        <f t="shared" ref="B7:B26" si="1">IF(D7,IF(ISBLANK(C7),B6,C7),"")</f>
        <v>AB100</v>
      </c>
      <c r="C7" s="66"/>
      <c r="D7" s="67">
        <v>36620.074328703704</v>
      </c>
      <c r="E7" s="68">
        <v>1609</v>
      </c>
      <c r="F7">
        <f t="shared" ref="F7:F26" si="2">IF(D7,IF(B7=B6,F6+1,1),"")</f>
        <v>2</v>
      </c>
    </row>
    <row r="8" spans="1:6" x14ac:dyDescent="0.25">
      <c r="A8" t="str">
        <f t="shared" si="0"/>
        <v>AB250/1</v>
      </c>
      <c r="B8" t="str">
        <f t="shared" si="1"/>
        <v>AB250</v>
      </c>
      <c r="C8" s="60" t="s">
        <v>28</v>
      </c>
      <c r="D8" s="64">
        <v>36603.463333333333</v>
      </c>
      <c r="E8" s="65">
        <v>2383</v>
      </c>
      <c r="F8">
        <f t="shared" si="2"/>
        <v>1</v>
      </c>
    </row>
    <row r="9" spans="1:6" x14ac:dyDescent="0.25">
      <c r="A9" t="str">
        <f t="shared" si="0"/>
        <v>AB250/2</v>
      </c>
      <c r="B9" t="str">
        <f t="shared" si="1"/>
        <v>AB250</v>
      </c>
      <c r="C9" s="66"/>
      <c r="D9" s="67">
        <v>36615.098333333335</v>
      </c>
      <c r="E9" s="68">
        <v>2321</v>
      </c>
      <c r="F9">
        <f t="shared" si="2"/>
        <v>2</v>
      </c>
    </row>
    <row r="10" spans="1:6" x14ac:dyDescent="0.25">
      <c r="A10" t="str">
        <f t="shared" si="0"/>
        <v>AB500/1</v>
      </c>
      <c r="B10" t="str">
        <f t="shared" si="1"/>
        <v>AB500</v>
      </c>
      <c r="C10" s="60" t="s">
        <v>30</v>
      </c>
      <c r="D10" s="64">
        <v>36599.333333333336</v>
      </c>
      <c r="E10" s="65">
        <v>110</v>
      </c>
      <c r="F10">
        <f t="shared" si="2"/>
        <v>1</v>
      </c>
    </row>
    <row r="11" spans="1:6" x14ac:dyDescent="0.25">
      <c r="A11" t="str">
        <f t="shared" si="0"/>
        <v>AB500/2</v>
      </c>
      <c r="B11" t="str">
        <f t="shared" si="1"/>
        <v>AB500</v>
      </c>
      <c r="C11" s="66"/>
      <c r="D11" s="67">
        <v>36600.908333333333</v>
      </c>
      <c r="E11" s="68">
        <v>1234</v>
      </c>
      <c r="F11">
        <f t="shared" si="2"/>
        <v>2</v>
      </c>
    </row>
    <row r="12" spans="1:6" x14ac:dyDescent="0.25">
      <c r="A12" t="str">
        <f t="shared" si="0"/>
        <v>AB500/3</v>
      </c>
      <c r="B12" t="str">
        <f t="shared" si="1"/>
        <v>AB500</v>
      </c>
      <c r="C12" s="66"/>
      <c r="D12" s="67">
        <v>36611.705833333333</v>
      </c>
      <c r="E12" s="68">
        <v>1234</v>
      </c>
      <c r="F12">
        <f t="shared" si="2"/>
        <v>3</v>
      </c>
    </row>
    <row r="13" spans="1:6" x14ac:dyDescent="0.25">
      <c r="A13" t="str">
        <f t="shared" si="0"/>
        <v>FL100/1</v>
      </c>
      <c r="B13" t="str">
        <f t="shared" si="1"/>
        <v>FL100</v>
      </c>
      <c r="C13" s="60" t="s">
        <v>32</v>
      </c>
      <c r="D13" s="64">
        <v>36612.91333333333</v>
      </c>
      <c r="E13" s="65">
        <v>304</v>
      </c>
      <c r="F13">
        <f t="shared" si="2"/>
        <v>1</v>
      </c>
    </row>
    <row r="14" spans="1:6" x14ac:dyDescent="0.25">
      <c r="A14" t="str">
        <f t="shared" si="0"/>
        <v>FL250/1</v>
      </c>
      <c r="B14" t="str">
        <f t="shared" si="1"/>
        <v>FL250</v>
      </c>
      <c r="C14" s="60" t="s">
        <v>34</v>
      </c>
      <c r="D14" s="64">
        <v>36602.53</v>
      </c>
      <c r="E14" s="65">
        <v>1960</v>
      </c>
      <c r="F14">
        <f t="shared" si="2"/>
        <v>1</v>
      </c>
    </row>
    <row r="15" spans="1:6" x14ac:dyDescent="0.25">
      <c r="A15" t="str">
        <f t="shared" si="0"/>
        <v>FL250/2</v>
      </c>
      <c r="B15" t="str">
        <f t="shared" si="1"/>
        <v>FL250</v>
      </c>
      <c r="C15" s="66"/>
      <c r="D15" s="67">
        <v>36613.963333333333</v>
      </c>
      <c r="E15" s="68">
        <v>1960</v>
      </c>
      <c r="F15">
        <f t="shared" si="2"/>
        <v>2</v>
      </c>
    </row>
    <row r="16" spans="1:6" x14ac:dyDescent="0.25">
      <c r="A16" t="str">
        <f t="shared" si="0"/>
        <v>FL500/1</v>
      </c>
      <c r="B16" t="str">
        <f t="shared" si="1"/>
        <v>FL500</v>
      </c>
      <c r="C16" s="60" t="s">
        <v>36</v>
      </c>
      <c r="D16" s="64">
        <v>36599.359525462962</v>
      </c>
      <c r="E16" s="65">
        <v>2580</v>
      </c>
      <c r="F16">
        <f t="shared" si="2"/>
        <v>1</v>
      </c>
    </row>
    <row r="17" spans="1:6" x14ac:dyDescent="0.25">
      <c r="A17" t="str">
        <f t="shared" si="0"/>
        <v>FL500/2</v>
      </c>
      <c r="B17" t="str">
        <f t="shared" si="1"/>
        <v>FL500</v>
      </c>
      <c r="C17" s="66"/>
      <c r="D17" s="67">
        <v>36610.472083333334</v>
      </c>
      <c r="E17" s="68">
        <v>2538</v>
      </c>
      <c r="F17">
        <f t="shared" si="2"/>
        <v>2</v>
      </c>
    </row>
    <row r="18" spans="1:6" x14ac:dyDescent="0.25">
      <c r="A18" t="str">
        <f t="shared" si="0"/>
        <v>FL500/3</v>
      </c>
      <c r="B18" t="str">
        <f t="shared" si="1"/>
        <v>FL500</v>
      </c>
      <c r="C18" s="66"/>
      <c r="D18" s="67">
        <v>36621.575833333336</v>
      </c>
      <c r="E18" s="68">
        <v>2538</v>
      </c>
      <c r="F18">
        <f t="shared" si="2"/>
        <v>3</v>
      </c>
    </row>
    <row r="19" spans="1:6" x14ac:dyDescent="0.25">
      <c r="A19" t="str">
        <f t="shared" si="0"/>
        <v/>
      </c>
      <c r="B19" t="str">
        <f t="shared" si="1"/>
        <v/>
      </c>
      <c r="C19" s="69" t="s">
        <v>105</v>
      </c>
      <c r="D19" s="70"/>
      <c r="E19" s="71">
        <v>22380</v>
      </c>
      <c r="F19" t="str">
        <f t="shared" si="2"/>
        <v/>
      </c>
    </row>
    <row r="20" spans="1:6" x14ac:dyDescent="0.25">
      <c r="A20" t="str">
        <f t="shared" si="0"/>
        <v/>
      </c>
      <c r="B20" t="str">
        <f t="shared" si="1"/>
        <v/>
      </c>
      <c r="F20" t="str">
        <f t="shared" si="2"/>
        <v/>
      </c>
    </row>
    <row r="21" spans="1:6" x14ac:dyDescent="0.25">
      <c r="A21" t="str">
        <f t="shared" si="0"/>
        <v/>
      </c>
      <c r="B21" t="str">
        <f t="shared" si="1"/>
        <v/>
      </c>
      <c r="F21" t="str">
        <f t="shared" si="2"/>
        <v/>
      </c>
    </row>
    <row r="22" spans="1:6" x14ac:dyDescent="0.25">
      <c r="A22" t="str">
        <f t="shared" si="0"/>
        <v/>
      </c>
      <c r="B22" t="str">
        <f t="shared" si="1"/>
        <v/>
      </c>
      <c r="F22" t="str">
        <f t="shared" si="2"/>
        <v/>
      </c>
    </row>
    <row r="23" spans="1:6" x14ac:dyDescent="0.25">
      <c r="A23" t="str">
        <f t="shared" si="0"/>
        <v/>
      </c>
      <c r="B23" t="str">
        <f t="shared" si="1"/>
        <v/>
      </c>
      <c r="F23" t="str">
        <f t="shared" si="2"/>
        <v/>
      </c>
    </row>
    <row r="24" spans="1:6" x14ac:dyDescent="0.25">
      <c r="A24" t="str">
        <f t="shared" si="0"/>
        <v/>
      </c>
      <c r="B24" t="str">
        <f t="shared" si="1"/>
        <v/>
      </c>
      <c r="F24" t="str">
        <f t="shared" si="2"/>
        <v/>
      </c>
    </row>
    <row r="25" spans="1:6" x14ac:dyDescent="0.25">
      <c r="A25" t="str">
        <f t="shared" si="0"/>
        <v/>
      </c>
      <c r="B25" t="str">
        <f t="shared" si="1"/>
        <v/>
      </c>
      <c r="F25" t="str">
        <f t="shared" si="2"/>
        <v/>
      </c>
    </row>
    <row r="26" spans="1:6" x14ac:dyDescent="0.25">
      <c r="A26" t="str">
        <f t="shared" si="0"/>
        <v/>
      </c>
      <c r="B26" t="str">
        <f t="shared" si="1"/>
        <v/>
      </c>
      <c r="F26" t="str">
        <f t="shared" si="2"/>
        <v/>
      </c>
    </row>
  </sheetData>
  <pageMargins left="0.75" right="0.75" top="1" bottom="1" header="0.5" footer="0.5"/>
  <pageSetup paperSize="9" orientation="portrait" horizontalDpi="300" verticalDpi="300" r:id="rId2"/>
  <headerFooter alignWithMargins="0">
    <oddHeader>&amp;Chttp://www.production-scheduling.com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2"/>
  <sheetViews>
    <sheetView workbookViewId="0"/>
  </sheetViews>
  <sheetFormatPr defaultRowHeight="13.2" x14ac:dyDescent="0.25"/>
  <cols>
    <col min="1" max="1" width="8.44140625" customWidth="1"/>
    <col min="2" max="2" width="10.44140625" customWidth="1"/>
    <col min="3" max="3" width="6.5546875" customWidth="1"/>
    <col min="4" max="4" width="9.88671875" customWidth="1"/>
    <col min="5" max="6" width="9.5546875" customWidth="1"/>
    <col min="7" max="7" width="10.5546875" customWidth="1"/>
  </cols>
  <sheetData>
    <row r="1" spans="1:8" x14ac:dyDescent="0.25">
      <c r="A1" t="s">
        <v>236</v>
      </c>
    </row>
    <row r="2" spans="1:8" x14ac:dyDescent="0.25">
      <c r="A2" t="s">
        <v>237</v>
      </c>
    </row>
    <row r="4" spans="1:8" ht="39.6" x14ac:dyDescent="0.25">
      <c r="A4" s="72" t="s">
        <v>135</v>
      </c>
      <c r="B4" t="s">
        <v>99</v>
      </c>
      <c r="C4" s="72" t="s">
        <v>110</v>
      </c>
      <c r="D4" s="72" t="s">
        <v>109</v>
      </c>
      <c r="E4" s="72" t="s">
        <v>133</v>
      </c>
      <c r="F4" s="72" t="s">
        <v>111</v>
      </c>
      <c r="G4" s="72" t="s">
        <v>112</v>
      </c>
      <c r="H4" s="72"/>
    </row>
    <row r="5" spans="1:8" x14ac:dyDescent="0.25">
      <c r="A5" t="str">
        <f>'Bill of Materials'!A7&amp;"/1"</f>
        <v>AB100/1</v>
      </c>
      <c r="B5" t="str">
        <f>'Bill of Materials'!B7</f>
        <v>BS01</v>
      </c>
      <c r="C5">
        <f>'Bill of Materials'!C7</f>
        <v>4.8</v>
      </c>
      <c r="D5">
        <f>MATCH(A5,'Production Runs'!$A$1:$A$26,FALSE)</f>
        <v>6</v>
      </c>
      <c r="E5" s="13">
        <f>IF(ISERROR($D5),0,INT(INDEX('Production Runs'!$A$1:$G$26,$D5,4)))</f>
        <v>36608</v>
      </c>
      <c r="F5" s="58">
        <f>IF(ISERROR($D5),0,INDEX('Production Runs'!$A$1:$G$26,$D5,5))</f>
        <v>1609</v>
      </c>
      <c r="G5">
        <f>F5*C5</f>
        <v>7723.2</v>
      </c>
    </row>
    <row r="6" spans="1:8" x14ac:dyDescent="0.25">
      <c r="A6" t="str">
        <f>'Bill of Materials'!A8&amp;"/1"</f>
        <v>AB100/1</v>
      </c>
      <c r="B6" t="str">
        <f>'Bill of Materials'!B8</f>
        <v>BT100</v>
      </c>
      <c r="C6">
        <f>'Bill of Materials'!C8</f>
        <v>48</v>
      </c>
      <c r="D6">
        <f>MATCH(A6,'Production Runs'!$A$1:$A$26,FALSE)</f>
        <v>6</v>
      </c>
      <c r="E6" s="13">
        <f>IF(ISERROR($D6),0,INT(INDEX('Production Runs'!$A$1:$G$26,$D6,4)))</f>
        <v>36608</v>
      </c>
      <c r="F6" s="58">
        <f>IF(ISERROR($D6),0,INDEX('Production Runs'!$A$1:$G$26,$D6,5))</f>
        <v>1609</v>
      </c>
      <c r="G6">
        <f t="shared" ref="G6:G69" si="0">F6*C6</f>
        <v>77232</v>
      </c>
    </row>
    <row r="7" spans="1:8" x14ac:dyDescent="0.25">
      <c r="A7" t="str">
        <f>'Bill of Materials'!A9&amp;"/1"</f>
        <v>AB100/1</v>
      </c>
      <c r="B7" t="str">
        <f>'Bill of Materials'!B9</f>
        <v>CAPF</v>
      </c>
      <c r="C7">
        <f>'Bill of Materials'!C9</f>
        <v>48</v>
      </c>
      <c r="D7">
        <f>MATCH(A7,'Production Runs'!$A$1:$A$26,FALSE)</f>
        <v>6</v>
      </c>
      <c r="E7" s="13">
        <f>IF(ISERROR($D7),0,INT(INDEX('Production Runs'!$A$1:$G$26,$D7,4)))</f>
        <v>36608</v>
      </c>
      <c r="F7" s="58">
        <f>IF(ISERROR($D7),0,INDEX('Production Runs'!$A$1:$G$26,$D7,5))</f>
        <v>1609</v>
      </c>
      <c r="G7">
        <f t="shared" si="0"/>
        <v>77232</v>
      </c>
    </row>
    <row r="8" spans="1:8" x14ac:dyDescent="0.25">
      <c r="A8" t="str">
        <f>'Bill of Materials'!A10&amp;"/1"</f>
        <v>AB100/1</v>
      </c>
      <c r="B8" t="str">
        <f>'Bill of Materials'!B10</f>
        <v>CARS</v>
      </c>
      <c r="C8">
        <f>'Bill of Materials'!C10</f>
        <v>1</v>
      </c>
      <c r="D8">
        <f>MATCH(A8,'Production Runs'!$A$1:$A$26,FALSE)</f>
        <v>6</v>
      </c>
      <c r="E8" s="13">
        <f>IF(ISERROR($D8),0,INT(INDEX('Production Runs'!$A$1:$G$26,$D8,4)))</f>
        <v>36608</v>
      </c>
      <c r="F8" s="58">
        <f>IF(ISERROR($D8),0,INDEX('Production Runs'!$A$1:$G$26,$D8,5))</f>
        <v>1609</v>
      </c>
      <c r="G8">
        <f t="shared" si="0"/>
        <v>1609</v>
      </c>
    </row>
    <row r="9" spans="1:8" x14ac:dyDescent="0.25">
      <c r="A9" t="str">
        <f>'Bill of Materials'!A11&amp;"/1"</f>
        <v>AB100/1</v>
      </c>
      <c r="B9" t="str">
        <f>'Bill of Materials'!B11</f>
        <v>ESA</v>
      </c>
      <c r="C9">
        <f>'Bill of Materials'!C11</f>
        <v>4.8000000000000001E-2</v>
      </c>
      <c r="D9">
        <f>MATCH(A9,'Production Runs'!$A$1:$A$26,FALSE)</f>
        <v>6</v>
      </c>
      <c r="E9" s="13">
        <f>IF(ISERROR($D9),0,INT(INDEX('Production Runs'!$A$1:$G$26,$D9,4)))</f>
        <v>36608</v>
      </c>
      <c r="F9" s="58">
        <f>IF(ISERROR($D9),0,INDEX('Production Runs'!$A$1:$G$26,$D9,5))</f>
        <v>1609</v>
      </c>
      <c r="G9">
        <f t="shared" si="0"/>
        <v>77.231999999999999</v>
      </c>
    </row>
    <row r="10" spans="1:8" x14ac:dyDescent="0.25">
      <c r="A10" t="str">
        <f>'Bill of Materials'!A12&amp;"/1"</f>
        <v>AB100/1</v>
      </c>
      <c r="B10" t="str">
        <f>'Bill of Materials'!B12</f>
        <v>LAB10</v>
      </c>
      <c r="C10">
        <f>'Bill of Materials'!C12</f>
        <v>50</v>
      </c>
      <c r="D10">
        <f>MATCH(A10,'Production Runs'!$A$1:$A$26,FALSE)</f>
        <v>6</v>
      </c>
      <c r="E10" s="13">
        <f>IF(ISERROR($D10),0,INT(INDEX('Production Runs'!$A$1:$G$26,$D10,4)))</f>
        <v>36608</v>
      </c>
      <c r="F10" s="58">
        <f>IF(ISERROR($D10),0,INDEX('Production Runs'!$A$1:$G$26,$D10,5))</f>
        <v>1609</v>
      </c>
      <c r="G10">
        <f t="shared" si="0"/>
        <v>80450</v>
      </c>
    </row>
    <row r="11" spans="1:8" x14ac:dyDescent="0.25">
      <c r="A11" t="str">
        <f>'Bill of Materials'!A13&amp;"/1"</f>
        <v>AB250/1</v>
      </c>
      <c r="B11" t="str">
        <f>'Bill of Materials'!B13</f>
        <v>BS01</v>
      </c>
      <c r="C11">
        <f>'Bill of Materials'!C13</f>
        <v>12</v>
      </c>
      <c r="D11">
        <f>MATCH(A11,'Production Runs'!$A$1:$A$26,FALSE)</f>
        <v>8</v>
      </c>
      <c r="E11" s="13">
        <f>IF(ISERROR($D11),0,INT(INDEX('Production Runs'!$A$1:$G$26,$D11,4)))</f>
        <v>36603</v>
      </c>
      <c r="F11" s="58">
        <f>IF(ISERROR($D11),0,INDEX('Production Runs'!$A$1:$G$26,$D11,5))</f>
        <v>2383</v>
      </c>
      <c r="G11">
        <f t="shared" si="0"/>
        <v>28596</v>
      </c>
    </row>
    <row r="12" spans="1:8" x14ac:dyDescent="0.25">
      <c r="A12" t="str">
        <f>'Bill of Materials'!A14&amp;"/1"</f>
        <v>AB250/1</v>
      </c>
      <c r="B12" t="str">
        <f>'Bill of Materials'!B14</f>
        <v>BT250</v>
      </c>
      <c r="C12">
        <f>'Bill of Materials'!C14</f>
        <v>48</v>
      </c>
      <c r="D12">
        <f>MATCH(A12,'Production Runs'!$A$1:$A$26,FALSE)</f>
        <v>8</v>
      </c>
      <c r="E12" s="13">
        <f>IF(ISERROR($D12),0,INT(INDEX('Production Runs'!$A$1:$G$26,$D12,4)))</f>
        <v>36603</v>
      </c>
      <c r="F12" s="58">
        <f>IF(ISERROR($D12),0,INDEX('Production Runs'!$A$1:$G$26,$D12,5))</f>
        <v>2383</v>
      </c>
      <c r="G12">
        <f t="shared" si="0"/>
        <v>114384</v>
      </c>
    </row>
    <row r="13" spans="1:8" x14ac:dyDescent="0.25">
      <c r="A13" t="str">
        <f>'Bill of Materials'!A15&amp;"/1"</f>
        <v>AB250/1</v>
      </c>
      <c r="B13" t="str">
        <f>'Bill of Materials'!B15</f>
        <v>CAPF</v>
      </c>
      <c r="C13">
        <f>'Bill of Materials'!C15</f>
        <v>48</v>
      </c>
      <c r="D13">
        <f>MATCH(A13,'Production Runs'!$A$1:$A$26,FALSE)</f>
        <v>8</v>
      </c>
      <c r="E13" s="13">
        <f>IF(ISERROR($D13),0,INT(INDEX('Production Runs'!$A$1:$G$26,$D13,4)))</f>
        <v>36603</v>
      </c>
      <c r="F13" s="58">
        <f>IF(ISERROR($D13),0,INDEX('Production Runs'!$A$1:$G$26,$D13,5))</f>
        <v>2383</v>
      </c>
      <c r="G13">
        <f t="shared" si="0"/>
        <v>114384</v>
      </c>
    </row>
    <row r="14" spans="1:8" x14ac:dyDescent="0.25">
      <c r="A14" t="str">
        <f>'Bill of Materials'!A16&amp;"/1"</f>
        <v>AB250/1</v>
      </c>
      <c r="B14" t="str">
        <f>'Bill of Materials'!B16</f>
        <v>CARL</v>
      </c>
      <c r="C14">
        <f>'Bill of Materials'!C16</f>
        <v>1</v>
      </c>
      <c r="D14">
        <f>MATCH(A14,'Production Runs'!$A$1:$A$26,FALSE)</f>
        <v>8</v>
      </c>
      <c r="E14" s="13">
        <f>IF(ISERROR($D14),0,INT(INDEX('Production Runs'!$A$1:$G$26,$D14,4)))</f>
        <v>36603</v>
      </c>
      <c r="F14" s="58">
        <f>IF(ISERROR($D14),0,INDEX('Production Runs'!$A$1:$G$26,$D14,5))</f>
        <v>2383</v>
      </c>
      <c r="G14">
        <f t="shared" si="0"/>
        <v>2383</v>
      </c>
    </row>
    <row r="15" spans="1:8" x14ac:dyDescent="0.25">
      <c r="A15" t="str">
        <f>'Bill of Materials'!A17&amp;"/1"</f>
        <v>AB250/1</v>
      </c>
      <c r="B15" t="str">
        <f>'Bill of Materials'!B17</f>
        <v>ESA</v>
      </c>
      <c r="C15">
        <f>'Bill of Materials'!C17</f>
        <v>0.12</v>
      </c>
      <c r="D15">
        <f>MATCH(A15,'Production Runs'!$A$1:$A$26,FALSE)</f>
        <v>8</v>
      </c>
      <c r="E15" s="13">
        <f>IF(ISERROR($D15),0,INT(INDEX('Production Runs'!$A$1:$G$26,$D15,4)))</f>
        <v>36603</v>
      </c>
      <c r="F15" s="58">
        <f>IF(ISERROR($D15),0,INDEX('Production Runs'!$A$1:$G$26,$D15,5))</f>
        <v>2383</v>
      </c>
      <c r="G15">
        <f t="shared" si="0"/>
        <v>285.95999999999998</v>
      </c>
    </row>
    <row r="16" spans="1:8" x14ac:dyDescent="0.25">
      <c r="A16" t="str">
        <f>'Bill of Materials'!A18&amp;"/1"</f>
        <v>AB250/1</v>
      </c>
      <c r="B16" t="str">
        <f>'Bill of Materials'!B18</f>
        <v>LAB25</v>
      </c>
      <c r="C16">
        <f>'Bill of Materials'!C18</f>
        <v>50</v>
      </c>
      <c r="D16">
        <f>MATCH(A16,'Production Runs'!$A$1:$A$26,FALSE)</f>
        <v>8</v>
      </c>
      <c r="E16" s="13">
        <f>IF(ISERROR($D16),0,INT(INDEX('Production Runs'!$A$1:$G$26,$D16,4)))</f>
        <v>36603</v>
      </c>
      <c r="F16" s="58">
        <f>IF(ISERROR($D16),0,INDEX('Production Runs'!$A$1:$G$26,$D16,5))</f>
        <v>2383</v>
      </c>
      <c r="G16">
        <f t="shared" si="0"/>
        <v>119150</v>
      </c>
    </row>
    <row r="17" spans="1:7" x14ac:dyDescent="0.25">
      <c r="A17" t="str">
        <f>'Bill of Materials'!A19&amp;"/1"</f>
        <v>AB500/1</v>
      </c>
      <c r="B17" t="str">
        <f>'Bill of Materials'!B19</f>
        <v>BS01</v>
      </c>
      <c r="C17">
        <f>'Bill of Materials'!C19</f>
        <v>12</v>
      </c>
      <c r="D17">
        <f>MATCH(A17,'Production Runs'!$A$1:$A$26,FALSE)</f>
        <v>10</v>
      </c>
      <c r="E17" s="13">
        <f>IF(ISERROR($D17),0,INT(INDEX('Production Runs'!$A$1:$G$26,$D17,4)))</f>
        <v>36599</v>
      </c>
      <c r="F17" s="58">
        <f>IF(ISERROR($D17),0,INDEX('Production Runs'!$A$1:$G$26,$D17,5))</f>
        <v>110</v>
      </c>
      <c r="G17">
        <f t="shared" si="0"/>
        <v>1320</v>
      </c>
    </row>
    <row r="18" spans="1:7" x14ac:dyDescent="0.25">
      <c r="A18" t="str">
        <f>'Bill of Materials'!A20&amp;"/1"</f>
        <v>AB500/1</v>
      </c>
      <c r="B18" t="str">
        <f>'Bill of Materials'!B20</f>
        <v>BT500</v>
      </c>
      <c r="C18">
        <f>'Bill of Materials'!C20</f>
        <v>24</v>
      </c>
      <c r="D18">
        <f>MATCH(A18,'Production Runs'!$A$1:$A$26,FALSE)</f>
        <v>10</v>
      </c>
      <c r="E18" s="13">
        <f>IF(ISERROR($D18),0,INT(INDEX('Production Runs'!$A$1:$G$26,$D18,4)))</f>
        <v>36599</v>
      </c>
      <c r="F18" s="58">
        <f>IF(ISERROR($D18),0,INDEX('Production Runs'!$A$1:$G$26,$D18,5))</f>
        <v>110</v>
      </c>
      <c r="G18">
        <f t="shared" si="0"/>
        <v>2640</v>
      </c>
    </row>
    <row r="19" spans="1:7" x14ac:dyDescent="0.25">
      <c r="A19" t="str">
        <f>'Bill of Materials'!A21&amp;"/1"</f>
        <v>AB500/1</v>
      </c>
      <c r="B19" t="str">
        <f>'Bill of Materials'!B21</f>
        <v>CAPS</v>
      </c>
      <c r="C19">
        <f>'Bill of Materials'!C21</f>
        <v>24</v>
      </c>
      <c r="D19">
        <f>MATCH(A19,'Production Runs'!$A$1:$A$26,FALSE)</f>
        <v>10</v>
      </c>
      <c r="E19" s="13">
        <f>IF(ISERROR($D19),0,INT(INDEX('Production Runs'!$A$1:$G$26,$D19,4)))</f>
        <v>36599</v>
      </c>
      <c r="F19" s="58">
        <f>IF(ISERROR($D19),0,INDEX('Production Runs'!$A$1:$G$26,$D19,5))</f>
        <v>110</v>
      </c>
      <c r="G19">
        <f t="shared" si="0"/>
        <v>2640</v>
      </c>
    </row>
    <row r="20" spans="1:7" x14ac:dyDescent="0.25">
      <c r="A20" t="str">
        <f>'Bill of Materials'!A22&amp;"/1"</f>
        <v>AB500/1</v>
      </c>
      <c r="B20" t="str">
        <f>'Bill of Materials'!B22</f>
        <v>CARL</v>
      </c>
      <c r="C20">
        <f>'Bill of Materials'!C22</f>
        <v>1</v>
      </c>
      <c r="D20">
        <f>MATCH(A20,'Production Runs'!$A$1:$A$26,FALSE)</f>
        <v>10</v>
      </c>
      <c r="E20" s="13">
        <f>IF(ISERROR($D20),0,INT(INDEX('Production Runs'!$A$1:$G$26,$D20,4)))</f>
        <v>36599</v>
      </c>
      <c r="F20" s="58">
        <f>IF(ISERROR($D20),0,INDEX('Production Runs'!$A$1:$G$26,$D20,5))</f>
        <v>110</v>
      </c>
      <c r="G20">
        <f t="shared" si="0"/>
        <v>110</v>
      </c>
    </row>
    <row r="21" spans="1:7" x14ac:dyDescent="0.25">
      <c r="A21" t="str">
        <f>'Bill of Materials'!A23&amp;"/1"</f>
        <v>AB500/1</v>
      </c>
      <c r="B21" t="str">
        <f>'Bill of Materials'!B23</f>
        <v>ESA</v>
      </c>
      <c r="C21">
        <f>'Bill of Materials'!C23</f>
        <v>0.12</v>
      </c>
      <c r="D21">
        <f>MATCH(A21,'Production Runs'!$A$1:$A$26,FALSE)</f>
        <v>10</v>
      </c>
      <c r="E21" s="13">
        <f>IF(ISERROR($D21),0,INT(INDEX('Production Runs'!$A$1:$G$26,$D21,4)))</f>
        <v>36599</v>
      </c>
      <c r="F21" s="58">
        <f>IF(ISERROR($D21),0,INDEX('Production Runs'!$A$1:$G$26,$D21,5))</f>
        <v>110</v>
      </c>
      <c r="G21">
        <f t="shared" si="0"/>
        <v>13.2</v>
      </c>
    </row>
    <row r="22" spans="1:7" x14ac:dyDescent="0.25">
      <c r="A22" t="str">
        <f>'Bill of Materials'!A24&amp;"/1"</f>
        <v>AB500/1</v>
      </c>
      <c r="B22" t="str">
        <f>'Bill of Materials'!B24</f>
        <v>LAB50</v>
      </c>
      <c r="C22">
        <f>'Bill of Materials'!C24</f>
        <v>26</v>
      </c>
      <c r="D22">
        <f>MATCH(A22,'Production Runs'!$A$1:$A$26,FALSE)</f>
        <v>10</v>
      </c>
      <c r="E22" s="13">
        <f>IF(ISERROR($D22),0,INT(INDEX('Production Runs'!$A$1:$G$26,$D22,4)))</f>
        <v>36599</v>
      </c>
      <c r="F22" s="58">
        <f>IF(ISERROR($D22),0,INDEX('Production Runs'!$A$1:$G$26,$D22,5))</f>
        <v>110</v>
      </c>
      <c r="G22">
        <f t="shared" si="0"/>
        <v>2860</v>
      </c>
    </row>
    <row r="23" spans="1:7" x14ac:dyDescent="0.25">
      <c r="A23" t="str">
        <f>'Bill of Materials'!A25&amp;"/1"</f>
        <v>FL100/1</v>
      </c>
      <c r="B23" t="str">
        <f>'Bill of Materials'!B25</f>
        <v>BS01</v>
      </c>
      <c r="C23">
        <f>'Bill of Materials'!C25</f>
        <v>4.8</v>
      </c>
      <c r="D23">
        <f>MATCH(A23,'Production Runs'!$A$1:$A$26,FALSE)</f>
        <v>13</v>
      </c>
      <c r="E23" s="13">
        <f>IF(ISERROR($D23),0,INT(INDEX('Production Runs'!$A$1:$G$26,$D23,4)))</f>
        <v>36612</v>
      </c>
      <c r="F23" s="58">
        <f>IF(ISERROR($D23),0,INDEX('Production Runs'!$A$1:$G$26,$D23,5))</f>
        <v>304</v>
      </c>
      <c r="G23">
        <f t="shared" si="0"/>
        <v>1459.2</v>
      </c>
    </row>
    <row r="24" spans="1:7" x14ac:dyDescent="0.25">
      <c r="A24" t="str">
        <f>'Bill of Materials'!A26&amp;"/1"</f>
        <v>FL100/1</v>
      </c>
      <c r="B24" t="str">
        <f>'Bill of Materials'!B26</f>
        <v>BT100</v>
      </c>
      <c r="C24">
        <f>'Bill of Materials'!C26</f>
        <v>48</v>
      </c>
      <c r="D24">
        <f>MATCH(A24,'Production Runs'!$A$1:$A$26,FALSE)</f>
        <v>13</v>
      </c>
      <c r="E24" s="13">
        <f>IF(ISERROR($D24),0,INT(INDEX('Production Runs'!$A$1:$G$26,$D24,4)))</f>
        <v>36612</v>
      </c>
      <c r="F24" s="58">
        <f>IF(ISERROR($D24),0,INDEX('Production Runs'!$A$1:$G$26,$D24,5))</f>
        <v>304</v>
      </c>
      <c r="G24">
        <f t="shared" si="0"/>
        <v>14592</v>
      </c>
    </row>
    <row r="25" spans="1:7" x14ac:dyDescent="0.25">
      <c r="A25" t="str">
        <f>'Bill of Materials'!A27&amp;"/1"</f>
        <v>FL100/1</v>
      </c>
      <c r="B25" t="str">
        <f>'Bill of Materials'!B27</f>
        <v>CAPF</v>
      </c>
      <c r="C25">
        <f>'Bill of Materials'!C27</f>
        <v>48</v>
      </c>
      <c r="D25">
        <f>MATCH(A25,'Production Runs'!$A$1:$A$26,FALSE)</f>
        <v>13</v>
      </c>
      <c r="E25" s="13">
        <f>IF(ISERROR($D25),0,INT(INDEX('Production Runs'!$A$1:$G$26,$D25,4)))</f>
        <v>36612</v>
      </c>
      <c r="F25" s="58">
        <f>IF(ISERROR($D25),0,INDEX('Production Runs'!$A$1:$G$26,$D25,5))</f>
        <v>304</v>
      </c>
      <c r="G25">
        <f t="shared" si="0"/>
        <v>14592</v>
      </c>
    </row>
    <row r="26" spans="1:7" x14ac:dyDescent="0.25">
      <c r="A26" t="str">
        <f>'Bill of Materials'!A28&amp;"/1"</f>
        <v>FL100/1</v>
      </c>
      <c r="B26" t="str">
        <f>'Bill of Materials'!B28</f>
        <v>CARS</v>
      </c>
      <c r="C26">
        <f>'Bill of Materials'!C28</f>
        <v>1</v>
      </c>
      <c r="D26">
        <f>MATCH(A26,'Production Runs'!$A$1:$A$26,FALSE)</f>
        <v>13</v>
      </c>
      <c r="E26" s="13">
        <f>IF(ISERROR($D26),0,INT(INDEX('Production Runs'!$A$1:$G$26,$D26,4)))</f>
        <v>36612</v>
      </c>
      <c r="F26" s="58">
        <f>IF(ISERROR($D26),0,INDEX('Production Runs'!$A$1:$G$26,$D26,5))</f>
        <v>304</v>
      </c>
      <c r="G26">
        <f t="shared" si="0"/>
        <v>304</v>
      </c>
    </row>
    <row r="27" spans="1:7" x14ac:dyDescent="0.25">
      <c r="A27" t="str">
        <f>'Bill of Materials'!A29&amp;"/1"</f>
        <v>FL100/1</v>
      </c>
      <c r="B27" t="str">
        <f>'Bill of Materials'!B29</f>
        <v>ESL</v>
      </c>
      <c r="C27">
        <f>'Bill of Materials'!C29</f>
        <v>4.8000000000000001E-2</v>
      </c>
      <c r="D27">
        <f>MATCH(A27,'Production Runs'!$A$1:$A$26,FALSE)</f>
        <v>13</v>
      </c>
      <c r="E27" s="13">
        <f>IF(ISERROR($D27),0,INT(INDEX('Production Runs'!$A$1:$G$26,$D27,4)))</f>
        <v>36612</v>
      </c>
      <c r="F27" s="58">
        <f>IF(ISERROR($D27),0,INDEX('Production Runs'!$A$1:$G$26,$D27,5))</f>
        <v>304</v>
      </c>
      <c r="G27">
        <f t="shared" si="0"/>
        <v>14.592000000000001</v>
      </c>
    </row>
    <row r="28" spans="1:7" x14ac:dyDescent="0.25">
      <c r="A28" t="str">
        <f>'Bill of Materials'!A30&amp;"/1"</f>
        <v>FL100/1</v>
      </c>
      <c r="B28" t="str">
        <f>'Bill of Materials'!B30</f>
        <v>LFL10</v>
      </c>
      <c r="C28">
        <f>'Bill of Materials'!C30</f>
        <v>50</v>
      </c>
      <c r="D28">
        <f>MATCH(A28,'Production Runs'!$A$1:$A$26,FALSE)</f>
        <v>13</v>
      </c>
      <c r="E28" s="13">
        <f>IF(ISERROR($D28),0,INT(INDEX('Production Runs'!$A$1:$G$26,$D28,4)))</f>
        <v>36612</v>
      </c>
      <c r="F28" s="58">
        <f>IF(ISERROR($D28),0,INDEX('Production Runs'!$A$1:$G$26,$D28,5))</f>
        <v>304</v>
      </c>
      <c r="G28">
        <f t="shared" si="0"/>
        <v>15200</v>
      </c>
    </row>
    <row r="29" spans="1:7" x14ac:dyDescent="0.25">
      <c r="A29" t="str">
        <f>'Bill of Materials'!A31&amp;"/1"</f>
        <v>FL250/1</v>
      </c>
      <c r="B29" t="str">
        <f>'Bill of Materials'!B31</f>
        <v>BS01</v>
      </c>
      <c r="C29">
        <f>'Bill of Materials'!C31</f>
        <v>12</v>
      </c>
      <c r="D29">
        <f>MATCH(A29,'Production Runs'!$A$1:$A$26,FALSE)</f>
        <v>14</v>
      </c>
      <c r="E29" s="13">
        <f>IF(ISERROR($D29),0,INT(INDEX('Production Runs'!$A$1:$G$26,$D29,4)))</f>
        <v>36602</v>
      </c>
      <c r="F29" s="58">
        <f>IF(ISERROR($D29),0,INDEX('Production Runs'!$A$1:$G$26,$D29,5))</f>
        <v>1960</v>
      </c>
      <c r="G29">
        <f t="shared" si="0"/>
        <v>23520</v>
      </c>
    </row>
    <row r="30" spans="1:7" x14ac:dyDescent="0.25">
      <c r="A30" t="str">
        <f>'Bill of Materials'!A32&amp;"/1"</f>
        <v>FL250/1</v>
      </c>
      <c r="B30" t="str">
        <f>'Bill of Materials'!B32</f>
        <v>BT250</v>
      </c>
      <c r="C30">
        <f>'Bill of Materials'!C32</f>
        <v>48</v>
      </c>
      <c r="D30">
        <f>MATCH(A30,'Production Runs'!$A$1:$A$26,FALSE)</f>
        <v>14</v>
      </c>
      <c r="E30" s="13">
        <f>IF(ISERROR($D30),0,INT(INDEX('Production Runs'!$A$1:$G$26,$D30,4)))</f>
        <v>36602</v>
      </c>
      <c r="F30" s="58">
        <f>IF(ISERROR($D30),0,INDEX('Production Runs'!$A$1:$G$26,$D30,5))</f>
        <v>1960</v>
      </c>
      <c r="G30">
        <f t="shared" si="0"/>
        <v>94080</v>
      </c>
    </row>
    <row r="31" spans="1:7" x14ac:dyDescent="0.25">
      <c r="A31" t="str">
        <f>'Bill of Materials'!A33&amp;"/1"</f>
        <v>FL250/1</v>
      </c>
      <c r="B31" t="str">
        <f>'Bill of Materials'!B33</f>
        <v>CAPF</v>
      </c>
      <c r="C31">
        <f>'Bill of Materials'!C33</f>
        <v>48</v>
      </c>
      <c r="D31">
        <f>MATCH(A31,'Production Runs'!$A$1:$A$26,FALSE)</f>
        <v>14</v>
      </c>
      <c r="E31" s="13">
        <f>IF(ISERROR($D31),0,INT(INDEX('Production Runs'!$A$1:$G$26,$D31,4)))</f>
        <v>36602</v>
      </c>
      <c r="F31" s="58">
        <f>IF(ISERROR($D31),0,INDEX('Production Runs'!$A$1:$G$26,$D31,5))</f>
        <v>1960</v>
      </c>
      <c r="G31">
        <f t="shared" si="0"/>
        <v>94080</v>
      </c>
    </row>
    <row r="32" spans="1:7" x14ac:dyDescent="0.25">
      <c r="A32" t="str">
        <f>'Bill of Materials'!A34&amp;"/1"</f>
        <v>FL250/1</v>
      </c>
      <c r="B32" t="str">
        <f>'Bill of Materials'!B34</f>
        <v>CARL</v>
      </c>
      <c r="C32">
        <f>'Bill of Materials'!C34</f>
        <v>1</v>
      </c>
      <c r="D32">
        <f>MATCH(A32,'Production Runs'!$A$1:$A$26,FALSE)</f>
        <v>14</v>
      </c>
      <c r="E32" s="13">
        <f>IF(ISERROR($D32),0,INT(INDEX('Production Runs'!$A$1:$G$26,$D32,4)))</f>
        <v>36602</v>
      </c>
      <c r="F32" s="58">
        <f>IF(ISERROR($D32),0,INDEX('Production Runs'!$A$1:$G$26,$D32,5))</f>
        <v>1960</v>
      </c>
      <c r="G32">
        <f t="shared" si="0"/>
        <v>1960</v>
      </c>
    </row>
    <row r="33" spans="1:7" x14ac:dyDescent="0.25">
      <c r="A33" t="str">
        <f>'Bill of Materials'!A35&amp;"/1"</f>
        <v>FL250/1</v>
      </c>
      <c r="B33" t="str">
        <f>'Bill of Materials'!B35</f>
        <v>ESL</v>
      </c>
      <c r="C33">
        <f>'Bill of Materials'!C35</f>
        <v>0.12</v>
      </c>
      <c r="D33">
        <f>MATCH(A33,'Production Runs'!$A$1:$A$26,FALSE)</f>
        <v>14</v>
      </c>
      <c r="E33" s="13">
        <f>IF(ISERROR($D33),0,INT(INDEX('Production Runs'!$A$1:$G$26,$D33,4)))</f>
        <v>36602</v>
      </c>
      <c r="F33" s="58">
        <f>IF(ISERROR($D33),0,INDEX('Production Runs'!$A$1:$G$26,$D33,5))</f>
        <v>1960</v>
      </c>
      <c r="G33">
        <f t="shared" si="0"/>
        <v>235.2</v>
      </c>
    </row>
    <row r="34" spans="1:7" x14ac:dyDescent="0.25">
      <c r="A34" t="str">
        <f>'Bill of Materials'!A36&amp;"/1"</f>
        <v>FL250/1</v>
      </c>
      <c r="B34" t="str">
        <f>'Bill of Materials'!B36</f>
        <v>LFL25</v>
      </c>
      <c r="C34">
        <f>'Bill of Materials'!C36</f>
        <v>50</v>
      </c>
      <c r="D34">
        <f>MATCH(A34,'Production Runs'!$A$1:$A$26,FALSE)</f>
        <v>14</v>
      </c>
      <c r="E34" s="13">
        <f>IF(ISERROR($D34),0,INT(INDEX('Production Runs'!$A$1:$G$26,$D34,4)))</f>
        <v>36602</v>
      </c>
      <c r="F34" s="58">
        <f>IF(ISERROR($D34),0,INDEX('Production Runs'!$A$1:$G$26,$D34,5))</f>
        <v>1960</v>
      </c>
      <c r="G34">
        <f t="shared" si="0"/>
        <v>98000</v>
      </c>
    </row>
    <row r="35" spans="1:7" x14ac:dyDescent="0.25">
      <c r="A35" t="str">
        <f>'Bill of Materials'!A37&amp;"/1"</f>
        <v>FL500/1</v>
      </c>
      <c r="B35" t="str">
        <f>'Bill of Materials'!B37</f>
        <v>BS01</v>
      </c>
      <c r="C35">
        <f>'Bill of Materials'!C37</f>
        <v>12</v>
      </c>
      <c r="D35">
        <f>MATCH(A35,'Production Runs'!$A$1:$A$26,FALSE)</f>
        <v>16</v>
      </c>
      <c r="E35" s="13">
        <f>IF(ISERROR($D35),0,INT(INDEX('Production Runs'!$A$1:$G$26,$D35,4)))</f>
        <v>36599</v>
      </c>
      <c r="F35" s="58">
        <f>IF(ISERROR($D35),0,INDEX('Production Runs'!$A$1:$G$26,$D35,5))</f>
        <v>2580</v>
      </c>
      <c r="G35">
        <f t="shared" si="0"/>
        <v>30960</v>
      </c>
    </row>
    <row r="36" spans="1:7" x14ac:dyDescent="0.25">
      <c r="A36" t="str">
        <f>'Bill of Materials'!A38&amp;"/1"</f>
        <v>FL500/1</v>
      </c>
      <c r="B36" t="str">
        <f>'Bill of Materials'!B38</f>
        <v>BT500</v>
      </c>
      <c r="C36">
        <f>'Bill of Materials'!C38</f>
        <v>24</v>
      </c>
      <c r="D36">
        <f>MATCH(A36,'Production Runs'!$A$1:$A$26,FALSE)</f>
        <v>16</v>
      </c>
      <c r="E36" s="13">
        <f>IF(ISERROR($D36),0,INT(INDEX('Production Runs'!$A$1:$G$26,$D36,4)))</f>
        <v>36599</v>
      </c>
      <c r="F36" s="58">
        <f>IF(ISERROR($D36),0,INDEX('Production Runs'!$A$1:$G$26,$D36,5))</f>
        <v>2580</v>
      </c>
      <c r="G36">
        <f t="shared" si="0"/>
        <v>61920</v>
      </c>
    </row>
    <row r="37" spans="1:7" x14ac:dyDescent="0.25">
      <c r="A37" t="str">
        <f>'Bill of Materials'!A39&amp;"/1"</f>
        <v>FL500/1</v>
      </c>
      <c r="B37" t="str">
        <f>'Bill of Materials'!B39</f>
        <v>CAPS</v>
      </c>
      <c r="C37">
        <f>'Bill of Materials'!C39</f>
        <v>24</v>
      </c>
      <c r="D37">
        <f>MATCH(A37,'Production Runs'!$A$1:$A$26,FALSE)</f>
        <v>16</v>
      </c>
      <c r="E37" s="13">
        <f>IF(ISERROR($D37),0,INT(INDEX('Production Runs'!$A$1:$G$26,$D37,4)))</f>
        <v>36599</v>
      </c>
      <c r="F37" s="58">
        <f>IF(ISERROR($D37),0,INDEX('Production Runs'!$A$1:$G$26,$D37,5))</f>
        <v>2580</v>
      </c>
      <c r="G37">
        <f t="shared" si="0"/>
        <v>61920</v>
      </c>
    </row>
    <row r="38" spans="1:7" x14ac:dyDescent="0.25">
      <c r="A38" t="str">
        <f>'Bill of Materials'!A40&amp;"/1"</f>
        <v>FL500/1</v>
      </c>
      <c r="B38" t="str">
        <f>'Bill of Materials'!B40</f>
        <v>CARL</v>
      </c>
      <c r="C38">
        <f>'Bill of Materials'!C40</f>
        <v>1</v>
      </c>
      <c r="D38">
        <f>MATCH(A38,'Production Runs'!$A$1:$A$26,FALSE)</f>
        <v>16</v>
      </c>
      <c r="E38" s="13">
        <f>IF(ISERROR($D38),0,INT(INDEX('Production Runs'!$A$1:$G$26,$D38,4)))</f>
        <v>36599</v>
      </c>
      <c r="F38" s="58">
        <f>IF(ISERROR($D38),0,INDEX('Production Runs'!$A$1:$G$26,$D38,5))</f>
        <v>2580</v>
      </c>
      <c r="G38">
        <f t="shared" si="0"/>
        <v>2580</v>
      </c>
    </row>
    <row r="39" spans="1:7" x14ac:dyDescent="0.25">
      <c r="A39" t="str">
        <f>'Bill of Materials'!A41&amp;"/1"</f>
        <v>FL500/1</v>
      </c>
      <c r="B39" t="str">
        <f>'Bill of Materials'!B41</f>
        <v>ESL</v>
      </c>
      <c r="C39">
        <f>'Bill of Materials'!C41</f>
        <v>0.12</v>
      </c>
      <c r="D39">
        <f>MATCH(A39,'Production Runs'!$A$1:$A$26,FALSE)</f>
        <v>16</v>
      </c>
      <c r="E39" s="13">
        <f>IF(ISERROR($D39),0,INT(INDEX('Production Runs'!$A$1:$G$26,$D39,4)))</f>
        <v>36599</v>
      </c>
      <c r="F39" s="58">
        <f>IF(ISERROR($D39),0,INDEX('Production Runs'!$A$1:$G$26,$D39,5))</f>
        <v>2580</v>
      </c>
      <c r="G39">
        <f t="shared" si="0"/>
        <v>309.59999999999997</v>
      </c>
    </row>
    <row r="40" spans="1:7" x14ac:dyDescent="0.25">
      <c r="A40" t="str">
        <f>'Bill of Materials'!A42&amp;"/1"</f>
        <v>FL500/1</v>
      </c>
      <c r="B40" t="str">
        <f>'Bill of Materials'!B42</f>
        <v>LFL50</v>
      </c>
      <c r="C40">
        <f>'Bill of Materials'!C42</f>
        <v>26</v>
      </c>
      <c r="D40">
        <f>MATCH(A40,'Production Runs'!$A$1:$A$26,FALSE)</f>
        <v>16</v>
      </c>
      <c r="E40" s="13">
        <f>IF(ISERROR($D40),0,INT(INDEX('Production Runs'!$A$1:$G$26,$D40,4)))</f>
        <v>36599</v>
      </c>
      <c r="F40" s="58">
        <f>IF(ISERROR($D40),0,INDEX('Production Runs'!$A$1:$G$26,$D40,5))</f>
        <v>2580</v>
      </c>
      <c r="G40">
        <f t="shared" si="0"/>
        <v>67080</v>
      </c>
    </row>
    <row r="41" spans="1:7" x14ac:dyDescent="0.25">
      <c r="A41" t="str">
        <f>'Bill of Materials'!A43&amp;"/1"</f>
        <v>/1</v>
      </c>
      <c r="B41">
        <f>'Bill of Materials'!B43</f>
        <v>0</v>
      </c>
      <c r="C41">
        <f>'Bill of Materials'!C43</f>
        <v>0</v>
      </c>
      <c r="D41" t="e">
        <f>MATCH(A41,'Production Runs'!$A$1:$A$26,FALSE)</f>
        <v>#N/A</v>
      </c>
      <c r="E41" s="13">
        <f>IF(ISERROR($D41),0,INT(INDEX('Production Runs'!$A$1:$G$26,$D41,4)))</f>
        <v>0</v>
      </c>
      <c r="F41" s="58">
        <f>IF(ISERROR($D41),0,INDEX('Production Runs'!$A$1:$G$26,$D41,5))</f>
        <v>0</v>
      </c>
      <c r="G41">
        <f t="shared" si="0"/>
        <v>0</v>
      </c>
    </row>
    <row r="42" spans="1:7" x14ac:dyDescent="0.25">
      <c r="A42" t="str">
        <f>'Bill of Materials'!A44&amp;"/1"</f>
        <v>/1</v>
      </c>
      <c r="B42">
        <f>'Bill of Materials'!B44</f>
        <v>0</v>
      </c>
      <c r="C42">
        <f>'Bill of Materials'!C44</f>
        <v>0</v>
      </c>
      <c r="D42" t="e">
        <f>MATCH(A42,'Production Runs'!$A$1:$A$26,FALSE)</f>
        <v>#N/A</v>
      </c>
      <c r="E42" s="13">
        <f>IF(ISERROR($D42),0,INT(INDEX('Production Runs'!$A$1:$G$26,$D42,4)))</f>
        <v>0</v>
      </c>
      <c r="F42" s="58">
        <f>IF(ISERROR($D42),0,INDEX('Production Runs'!$A$1:$G$26,$D42,5))</f>
        <v>0</v>
      </c>
      <c r="G42">
        <f t="shared" si="0"/>
        <v>0</v>
      </c>
    </row>
    <row r="43" spans="1:7" x14ac:dyDescent="0.25">
      <c r="A43" t="str">
        <f>'Bill of Materials'!A45&amp;"/1"</f>
        <v>/1</v>
      </c>
      <c r="B43">
        <f>'Bill of Materials'!B45</f>
        <v>0</v>
      </c>
      <c r="C43">
        <f>'Bill of Materials'!C45</f>
        <v>0</v>
      </c>
      <c r="D43" t="e">
        <f>MATCH(A43,'Production Runs'!$A$1:$A$26,FALSE)</f>
        <v>#N/A</v>
      </c>
      <c r="E43" s="13">
        <f>IF(ISERROR($D43),0,INT(INDEX('Production Runs'!$A$1:$G$26,$D43,4)))</f>
        <v>0</v>
      </c>
      <c r="F43" s="58">
        <f>IF(ISERROR($D43),0,INDEX('Production Runs'!$A$1:$G$26,$D43,5))</f>
        <v>0</v>
      </c>
      <c r="G43">
        <f t="shared" si="0"/>
        <v>0</v>
      </c>
    </row>
    <row r="44" spans="1:7" x14ac:dyDescent="0.25">
      <c r="A44" t="str">
        <f>'Bill of Materials'!A46&amp;"/1"</f>
        <v>/1</v>
      </c>
      <c r="B44">
        <f>'Bill of Materials'!B46</f>
        <v>0</v>
      </c>
      <c r="C44">
        <f>'Bill of Materials'!C46</f>
        <v>0</v>
      </c>
      <c r="D44" t="e">
        <f>MATCH(A44,'Production Runs'!$A$1:$A$26,FALSE)</f>
        <v>#N/A</v>
      </c>
      <c r="E44" s="13">
        <f>IF(ISERROR($D44),0,INT(INDEX('Production Runs'!$A$1:$G$26,$D44,4)))</f>
        <v>0</v>
      </c>
      <c r="F44" s="58">
        <f>IF(ISERROR($D44),0,INDEX('Production Runs'!$A$1:$G$26,$D44,5))</f>
        <v>0</v>
      </c>
      <c r="G44">
        <f t="shared" si="0"/>
        <v>0</v>
      </c>
    </row>
    <row r="45" spans="1:7" x14ac:dyDescent="0.25">
      <c r="A45" t="str">
        <f>'Bill of Materials'!A47&amp;"/1"</f>
        <v>/1</v>
      </c>
      <c r="B45">
        <f>'Bill of Materials'!B47</f>
        <v>0</v>
      </c>
      <c r="C45">
        <f>'Bill of Materials'!C47</f>
        <v>0</v>
      </c>
      <c r="D45" t="e">
        <f>MATCH(A45,'Production Runs'!$A$1:$A$26,FALSE)</f>
        <v>#N/A</v>
      </c>
      <c r="E45" s="13">
        <f>IF(ISERROR($D45),0,INT(INDEX('Production Runs'!$A$1:$G$26,$D45,4)))</f>
        <v>0</v>
      </c>
      <c r="F45" s="58">
        <f>IF(ISERROR($D45),0,INDEX('Production Runs'!$A$1:$G$26,$D45,5))</f>
        <v>0</v>
      </c>
      <c r="G45">
        <f t="shared" si="0"/>
        <v>0</v>
      </c>
    </row>
    <row r="46" spans="1:7" x14ac:dyDescent="0.25">
      <c r="A46" t="str">
        <f>'Bill of Materials'!A48&amp;"/1"</f>
        <v>/1</v>
      </c>
      <c r="B46">
        <f>'Bill of Materials'!B48</f>
        <v>0</v>
      </c>
      <c r="C46">
        <f>'Bill of Materials'!C48</f>
        <v>0</v>
      </c>
      <c r="D46" t="e">
        <f>MATCH(A46,'Production Runs'!$A$1:$A$26,FALSE)</f>
        <v>#N/A</v>
      </c>
      <c r="E46" s="13">
        <f>IF(ISERROR($D46),0,INT(INDEX('Production Runs'!$A$1:$G$26,$D46,4)))</f>
        <v>0</v>
      </c>
      <c r="F46" s="58">
        <f>IF(ISERROR($D46),0,INDEX('Production Runs'!$A$1:$G$26,$D46,5))</f>
        <v>0</v>
      </c>
      <c r="G46">
        <f t="shared" si="0"/>
        <v>0</v>
      </c>
    </row>
    <row r="47" spans="1:7" x14ac:dyDescent="0.25">
      <c r="A47" t="str">
        <f>'Bill of Materials'!A49&amp;"/1"</f>
        <v>/1</v>
      </c>
      <c r="B47">
        <f>'Bill of Materials'!B49</f>
        <v>0</v>
      </c>
      <c r="C47">
        <f>'Bill of Materials'!C49</f>
        <v>0</v>
      </c>
      <c r="D47" t="e">
        <f>MATCH(A47,'Production Runs'!$A$1:$A$26,FALSE)</f>
        <v>#N/A</v>
      </c>
      <c r="E47" s="13">
        <f>IF(ISERROR($D47),0,INT(INDEX('Production Runs'!$A$1:$G$26,$D47,4)))</f>
        <v>0</v>
      </c>
      <c r="F47" s="58">
        <f>IF(ISERROR($D47),0,INDEX('Production Runs'!$A$1:$G$26,$D47,5))</f>
        <v>0</v>
      </c>
      <c r="G47">
        <f t="shared" si="0"/>
        <v>0</v>
      </c>
    </row>
    <row r="48" spans="1:7" x14ac:dyDescent="0.25">
      <c r="A48" t="str">
        <f>'Bill of Materials'!A50&amp;"/1"</f>
        <v>/1</v>
      </c>
      <c r="B48">
        <f>'Bill of Materials'!B50</f>
        <v>0</v>
      </c>
      <c r="C48">
        <f>'Bill of Materials'!C50</f>
        <v>0</v>
      </c>
      <c r="D48" t="e">
        <f>MATCH(A48,'Production Runs'!$A$1:$A$26,FALSE)</f>
        <v>#N/A</v>
      </c>
      <c r="E48" s="13">
        <f>IF(ISERROR($D48),0,INT(INDEX('Production Runs'!$A$1:$G$26,$D48,4)))</f>
        <v>0</v>
      </c>
      <c r="F48" s="58">
        <f>IF(ISERROR($D48),0,INDEX('Production Runs'!$A$1:$G$26,$D48,5))</f>
        <v>0</v>
      </c>
      <c r="G48">
        <f t="shared" si="0"/>
        <v>0</v>
      </c>
    </row>
    <row r="49" spans="1:7" x14ac:dyDescent="0.25">
      <c r="A49" t="str">
        <f>'Bill of Materials'!A51&amp;"/1"</f>
        <v>/1</v>
      </c>
      <c r="B49">
        <f>'Bill of Materials'!B51</f>
        <v>0</v>
      </c>
      <c r="C49">
        <f>'Bill of Materials'!C51</f>
        <v>0</v>
      </c>
      <c r="D49" t="e">
        <f>MATCH(A49,'Production Runs'!$A$1:$A$26,FALSE)</f>
        <v>#N/A</v>
      </c>
      <c r="E49" s="13">
        <f>IF(ISERROR($D49),0,INT(INDEX('Production Runs'!$A$1:$G$26,$D49,4)))</f>
        <v>0</v>
      </c>
      <c r="F49" s="58">
        <f>IF(ISERROR($D49),0,INDEX('Production Runs'!$A$1:$G$26,$D49,5))</f>
        <v>0</v>
      </c>
      <c r="G49">
        <f t="shared" si="0"/>
        <v>0</v>
      </c>
    </row>
    <row r="50" spans="1:7" x14ac:dyDescent="0.25">
      <c r="A50" t="str">
        <f>'Bill of Materials'!A52&amp;"/1"</f>
        <v>/1</v>
      </c>
      <c r="B50">
        <f>'Bill of Materials'!B52</f>
        <v>0</v>
      </c>
      <c r="C50">
        <f>'Bill of Materials'!C52</f>
        <v>0</v>
      </c>
      <c r="D50" t="e">
        <f>MATCH(A50,'Production Runs'!$A$1:$A$26,FALSE)</f>
        <v>#N/A</v>
      </c>
      <c r="E50" s="13">
        <f>IF(ISERROR($D50),0,INT(INDEX('Production Runs'!$A$1:$G$26,$D50,4)))</f>
        <v>0</v>
      </c>
      <c r="F50" s="58">
        <f>IF(ISERROR($D50),0,INDEX('Production Runs'!$A$1:$G$26,$D50,5))</f>
        <v>0</v>
      </c>
      <c r="G50">
        <f t="shared" si="0"/>
        <v>0</v>
      </c>
    </row>
    <row r="51" spans="1:7" x14ac:dyDescent="0.25">
      <c r="A51" t="str">
        <f>'Bill of Materials'!A7&amp;"/2"</f>
        <v>AB100/2</v>
      </c>
      <c r="B51" t="str">
        <f>'Bill of Materials'!B7</f>
        <v>BS01</v>
      </c>
      <c r="C51">
        <f>'Bill of Materials'!C7</f>
        <v>4.8</v>
      </c>
      <c r="D51">
        <f>MATCH(A51,'Production Runs'!$A$1:$A$26,FALSE)</f>
        <v>7</v>
      </c>
      <c r="E51" s="13">
        <f>IF(ISERROR($D51),0,INT(INDEX('Production Runs'!$A$1:$G$26,$D51,4)))</f>
        <v>36620</v>
      </c>
      <c r="F51" s="58">
        <f>IF(ISERROR($D51),0,INDEX('Production Runs'!$A$1:$G$26,$D51,5))</f>
        <v>1609</v>
      </c>
      <c r="G51">
        <f t="shared" si="0"/>
        <v>7723.2</v>
      </c>
    </row>
    <row r="52" spans="1:7" x14ac:dyDescent="0.25">
      <c r="A52" t="str">
        <f>'Bill of Materials'!A8&amp;"/2"</f>
        <v>AB100/2</v>
      </c>
      <c r="B52" t="str">
        <f>'Bill of Materials'!B8</f>
        <v>BT100</v>
      </c>
      <c r="C52">
        <f>'Bill of Materials'!C8</f>
        <v>48</v>
      </c>
      <c r="D52">
        <f>MATCH(A52,'Production Runs'!$A$1:$A$26,FALSE)</f>
        <v>7</v>
      </c>
      <c r="E52" s="13">
        <f>IF(ISERROR($D52),0,INT(INDEX('Production Runs'!$A$1:$G$26,$D52,4)))</f>
        <v>36620</v>
      </c>
      <c r="F52" s="58">
        <f>IF(ISERROR($D52),0,INDEX('Production Runs'!$A$1:$G$26,$D52,5))</f>
        <v>1609</v>
      </c>
      <c r="G52">
        <f t="shared" si="0"/>
        <v>77232</v>
      </c>
    </row>
    <row r="53" spans="1:7" x14ac:dyDescent="0.25">
      <c r="A53" t="str">
        <f>'Bill of Materials'!A9&amp;"/2"</f>
        <v>AB100/2</v>
      </c>
      <c r="B53" t="str">
        <f>'Bill of Materials'!B9</f>
        <v>CAPF</v>
      </c>
      <c r="C53">
        <f>'Bill of Materials'!C9</f>
        <v>48</v>
      </c>
      <c r="D53">
        <f>MATCH(A53,'Production Runs'!$A$1:$A$26,FALSE)</f>
        <v>7</v>
      </c>
      <c r="E53" s="13">
        <f>IF(ISERROR($D53),0,INT(INDEX('Production Runs'!$A$1:$G$26,$D53,4)))</f>
        <v>36620</v>
      </c>
      <c r="F53" s="58">
        <f>IF(ISERROR($D53),0,INDEX('Production Runs'!$A$1:$G$26,$D53,5))</f>
        <v>1609</v>
      </c>
      <c r="G53">
        <f t="shared" si="0"/>
        <v>77232</v>
      </c>
    </row>
    <row r="54" spans="1:7" x14ac:dyDescent="0.25">
      <c r="A54" t="str">
        <f>'Bill of Materials'!A10&amp;"/2"</f>
        <v>AB100/2</v>
      </c>
      <c r="B54" t="str">
        <f>'Bill of Materials'!B10</f>
        <v>CARS</v>
      </c>
      <c r="C54">
        <f>'Bill of Materials'!C10</f>
        <v>1</v>
      </c>
      <c r="D54">
        <f>MATCH(A54,'Production Runs'!$A$1:$A$26,FALSE)</f>
        <v>7</v>
      </c>
      <c r="E54" s="13">
        <f>IF(ISERROR($D54),0,INT(INDEX('Production Runs'!$A$1:$G$26,$D54,4)))</f>
        <v>36620</v>
      </c>
      <c r="F54" s="58">
        <f>IF(ISERROR($D54),0,INDEX('Production Runs'!$A$1:$G$26,$D54,5))</f>
        <v>1609</v>
      </c>
      <c r="G54">
        <f t="shared" si="0"/>
        <v>1609</v>
      </c>
    </row>
    <row r="55" spans="1:7" x14ac:dyDescent="0.25">
      <c r="A55" t="str">
        <f>'Bill of Materials'!A11&amp;"/2"</f>
        <v>AB100/2</v>
      </c>
      <c r="B55" t="str">
        <f>'Bill of Materials'!B11</f>
        <v>ESA</v>
      </c>
      <c r="C55">
        <f>'Bill of Materials'!C11</f>
        <v>4.8000000000000001E-2</v>
      </c>
      <c r="D55">
        <f>MATCH(A55,'Production Runs'!$A$1:$A$26,FALSE)</f>
        <v>7</v>
      </c>
      <c r="E55" s="13">
        <f>IF(ISERROR($D55),0,INT(INDEX('Production Runs'!$A$1:$G$26,$D55,4)))</f>
        <v>36620</v>
      </c>
      <c r="F55" s="58">
        <f>IF(ISERROR($D55),0,INDEX('Production Runs'!$A$1:$G$26,$D55,5))</f>
        <v>1609</v>
      </c>
      <c r="G55">
        <f t="shared" si="0"/>
        <v>77.231999999999999</v>
      </c>
    </row>
    <row r="56" spans="1:7" x14ac:dyDescent="0.25">
      <c r="A56" t="str">
        <f>'Bill of Materials'!A12&amp;"/2"</f>
        <v>AB100/2</v>
      </c>
      <c r="B56" t="str">
        <f>'Bill of Materials'!B12</f>
        <v>LAB10</v>
      </c>
      <c r="C56">
        <f>'Bill of Materials'!C12</f>
        <v>50</v>
      </c>
      <c r="D56">
        <f>MATCH(A56,'Production Runs'!$A$1:$A$26,FALSE)</f>
        <v>7</v>
      </c>
      <c r="E56" s="13">
        <f>IF(ISERROR($D56),0,INT(INDEX('Production Runs'!$A$1:$G$26,$D56,4)))</f>
        <v>36620</v>
      </c>
      <c r="F56" s="58">
        <f>IF(ISERROR($D56),0,INDEX('Production Runs'!$A$1:$G$26,$D56,5))</f>
        <v>1609</v>
      </c>
      <c r="G56">
        <f t="shared" si="0"/>
        <v>80450</v>
      </c>
    </row>
    <row r="57" spans="1:7" x14ac:dyDescent="0.25">
      <c r="A57" t="str">
        <f>'Bill of Materials'!A13&amp;"/2"</f>
        <v>AB250/2</v>
      </c>
      <c r="B57" t="str">
        <f>'Bill of Materials'!B13</f>
        <v>BS01</v>
      </c>
      <c r="C57">
        <f>'Bill of Materials'!C13</f>
        <v>12</v>
      </c>
      <c r="D57">
        <f>MATCH(A57,'Production Runs'!$A$1:$A$26,FALSE)</f>
        <v>9</v>
      </c>
      <c r="E57" s="13">
        <f>IF(ISERROR($D57),0,INT(INDEX('Production Runs'!$A$1:$G$26,$D57,4)))</f>
        <v>36615</v>
      </c>
      <c r="F57" s="58">
        <f>IF(ISERROR($D57),0,INDEX('Production Runs'!$A$1:$G$26,$D57,5))</f>
        <v>2321</v>
      </c>
      <c r="G57">
        <f t="shared" si="0"/>
        <v>27852</v>
      </c>
    </row>
    <row r="58" spans="1:7" x14ac:dyDescent="0.25">
      <c r="A58" t="str">
        <f>'Bill of Materials'!A14&amp;"/2"</f>
        <v>AB250/2</v>
      </c>
      <c r="B58" t="str">
        <f>'Bill of Materials'!B14</f>
        <v>BT250</v>
      </c>
      <c r="C58">
        <f>'Bill of Materials'!C14</f>
        <v>48</v>
      </c>
      <c r="D58">
        <f>MATCH(A58,'Production Runs'!$A$1:$A$26,FALSE)</f>
        <v>9</v>
      </c>
      <c r="E58" s="13">
        <f>IF(ISERROR($D58),0,INT(INDEX('Production Runs'!$A$1:$G$26,$D58,4)))</f>
        <v>36615</v>
      </c>
      <c r="F58" s="58">
        <f>IF(ISERROR($D58),0,INDEX('Production Runs'!$A$1:$G$26,$D58,5))</f>
        <v>2321</v>
      </c>
      <c r="G58">
        <f t="shared" si="0"/>
        <v>111408</v>
      </c>
    </row>
    <row r="59" spans="1:7" x14ac:dyDescent="0.25">
      <c r="A59" t="str">
        <f>'Bill of Materials'!A15&amp;"/2"</f>
        <v>AB250/2</v>
      </c>
      <c r="B59" t="str">
        <f>'Bill of Materials'!B15</f>
        <v>CAPF</v>
      </c>
      <c r="C59">
        <f>'Bill of Materials'!C15</f>
        <v>48</v>
      </c>
      <c r="D59">
        <f>MATCH(A59,'Production Runs'!$A$1:$A$26,FALSE)</f>
        <v>9</v>
      </c>
      <c r="E59" s="13">
        <f>IF(ISERROR($D59),0,INT(INDEX('Production Runs'!$A$1:$G$26,$D59,4)))</f>
        <v>36615</v>
      </c>
      <c r="F59" s="58">
        <f>IF(ISERROR($D59),0,INDEX('Production Runs'!$A$1:$G$26,$D59,5))</f>
        <v>2321</v>
      </c>
      <c r="G59">
        <f t="shared" si="0"/>
        <v>111408</v>
      </c>
    </row>
    <row r="60" spans="1:7" x14ac:dyDescent="0.25">
      <c r="A60" t="str">
        <f>'Bill of Materials'!A16&amp;"/2"</f>
        <v>AB250/2</v>
      </c>
      <c r="B60" t="str">
        <f>'Bill of Materials'!B16</f>
        <v>CARL</v>
      </c>
      <c r="C60">
        <f>'Bill of Materials'!C16</f>
        <v>1</v>
      </c>
      <c r="D60">
        <f>MATCH(A60,'Production Runs'!$A$1:$A$26,FALSE)</f>
        <v>9</v>
      </c>
      <c r="E60" s="13">
        <f>IF(ISERROR($D60),0,INT(INDEX('Production Runs'!$A$1:$G$26,$D60,4)))</f>
        <v>36615</v>
      </c>
      <c r="F60" s="58">
        <f>IF(ISERROR($D60),0,INDEX('Production Runs'!$A$1:$G$26,$D60,5))</f>
        <v>2321</v>
      </c>
      <c r="G60">
        <f t="shared" si="0"/>
        <v>2321</v>
      </c>
    </row>
    <row r="61" spans="1:7" x14ac:dyDescent="0.25">
      <c r="A61" t="str">
        <f>'Bill of Materials'!A17&amp;"/2"</f>
        <v>AB250/2</v>
      </c>
      <c r="B61" t="str">
        <f>'Bill of Materials'!B17</f>
        <v>ESA</v>
      </c>
      <c r="C61">
        <f>'Bill of Materials'!C17</f>
        <v>0.12</v>
      </c>
      <c r="D61">
        <f>MATCH(A61,'Production Runs'!$A$1:$A$26,FALSE)</f>
        <v>9</v>
      </c>
      <c r="E61" s="13">
        <f>IF(ISERROR($D61),0,INT(INDEX('Production Runs'!$A$1:$G$26,$D61,4)))</f>
        <v>36615</v>
      </c>
      <c r="F61" s="58">
        <f>IF(ISERROR($D61),0,INDEX('Production Runs'!$A$1:$G$26,$D61,5))</f>
        <v>2321</v>
      </c>
      <c r="G61">
        <f t="shared" si="0"/>
        <v>278.52</v>
      </c>
    </row>
    <row r="62" spans="1:7" x14ac:dyDescent="0.25">
      <c r="A62" t="str">
        <f>'Bill of Materials'!A18&amp;"/2"</f>
        <v>AB250/2</v>
      </c>
      <c r="B62" t="str">
        <f>'Bill of Materials'!B18</f>
        <v>LAB25</v>
      </c>
      <c r="C62">
        <f>'Bill of Materials'!C18</f>
        <v>50</v>
      </c>
      <c r="D62">
        <f>MATCH(A62,'Production Runs'!$A$1:$A$26,FALSE)</f>
        <v>9</v>
      </c>
      <c r="E62" s="13">
        <f>IF(ISERROR($D62),0,INT(INDEX('Production Runs'!$A$1:$G$26,$D62,4)))</f>
        <v>36615</v>
      </c>
      <c r="F62" s="58">
        <f>IF(ISERROR($D62),0,INDEX('Production Runs'!$A$1:$G$26,$D62,5))</f>
        <v>2321</v>
      </c>
      <c r="G62">
        <f t="shared" si="0"/>
        <v>116050</v>
      </c>
    </row>
    <row r="63" spans="1:7" x14ac:dyDescent="0.25">
      <c r="A63" t="str">
        <f>'Bill of Materials'!A19&amp;"/2"</f>
        <v>AB500/2</v>
      </c>
      <c r="B63" t="str">
        <f>'Bill of Materials'!B19</f>
        <v>BS01</v>
      </c>
      <c r="C63">
        <f>'Bill of Materials'!C19</f>
        <v>12</v>
      </c>
      <c r="D63">
        <f>MATCH(A63,'Production Runs'!$A$1:$A$26,FALSE)</f>
        <v>11</v>
      </c>
      <c r="E63" s="13">
        <f>IF(ISERROR($D63),0,INT(INDEX('Production Runs'!$A$1:$G$26,$D63,4)))</f>
        <v>36600</v>
      </c>
      <c r="F63" s="58">
        <f>IF(ISERROR($D63),0,INDEX('Production Runs'!$A$1:$G$26,$D63,5))</f>
        <v>1234</v>
      </c>
      <c r="G63">
        <f t="shared" si="0"/>
        <v>14808</v>
      </c>
    </row>
    <row r="64" spans="1:7" x14ac:dyDescent="0.25">
      <c r="A64" t="str">
        <f>'Bill of Materials'!A20&amp;"/2"</f>
        <v>AB500/2</v>
      </c>
      <c r="B64" t="str">
        <f>'Bill of Materials'!B20</f>
        <v>BT500</v>
      </c>
      <c r="C64">
        <f>'Bill of Materials'!C20</f>
        <v>24</v>
      </c>
      <c r="D64">
        <f>MATCH(A64,'Production Runs'!$A$1:$A$26,FALSE)</f>
        <v>11</v>
      </c>
      <c r="E64" s="13">
        <f>IF(ISERROR($D64),0,INT(INDEX('Production Runs'!$A$1:$G$26,$D64,4)))</f>
        <v>36600</v>
      </c>
      <c r="F64" s="58">
        <f>IF(ISERROR($D64),0,INDEX('Production Runs'!$A$1:$G$26,$D64,5))</f>
        <v>1234</v>
      </c>
      <c r="G64">
        <f t="shared" si="0"/>
        <v>29616</v>
      </c>
    </row>
    <row r="65" spans="1:7" x14ac:dyDescent="0.25">
      <c r="A65" t="str">
        <f>'Bill of Materials'!A21&amp;"/2"</f>
        <v>AB500/2</v>
      </c>
      <c r="B65" t="str">
        <f>'Bill of Materials'!B21</f>
        <v>CAPS</v>
      </c>
      <c r="C65">
        <f>'Bill of Materials'!C21</f>
        <v>24</v>
      </c>
      <c r="D65">
        <f>MATCH(A65,'Production Runs'!$A$1:$A$26,FALSE)</f>
        <v>11</v>
      </c>
      <c r="E65" s="13">
        <f>IF(ISERROR($D65),0,INT(INDEX('Production Runs'!$A$1:$G$26,$D65,4)))</f>
        <v>36600</v>
      </c>
      <c r="F65" s="58">
        <f>IF(ISERROR($D65),0,INDEX('Production Runs'!$A$1:$G$26,$D65,5))</f>
        <v>1234</v>
      </c>
      <c r="G65">
        <f t="shared" si="0"/>
        <v>29616</v>
      </c>
    </row>
    <row r="66" spans="1:7" x14ac:dyDescent="0.25">
      <c r="A66" t="str">
        <f>'Bill of Materials'!A22&amp;"/2"</f>
        <v>AB500/2</v>
      </c>
      <c r="B66" t="str">
        <f>'Bill of Materials'!B22</f>
        <v>CARL</v>
      </c>
      <c r="C66">
        <f>'Bill of Materials'!C22</f>
        <v>1</v>
      </c>
      <c r="D66">
        <f>MATCH(A66,'Production Runs'!$A$1:$A$26,FALSE)</f>
        <v>11</v>
      </c>
      <c r="E66" s="13">
        <f>IF(ISERROR($D66),0,INT(INDEX('Production Runs'!$A$1:$G$26,$D66,4)))</f>
        <v>36600</v>
      </c>
      <c r="F66" s="58">
        <f>IF(ISERROR($D66),0,INDEX('Production Runs'!$A$1:$G$26,$D66,5))</f>
        <v>1234</v>
      </c>
      <c r="G66">
        <f t="shared" si="0"/>
        <v>1234</v>
      </c>
    </row>
    <row r="67" spans="1:7" x14ac:dyDescent="0.25">
      <c r="A67" t="str">
        <f>'Bill of Materials'!A23&amp;"/2"</f>
        <v>AB500/2</v>
      </c>
      <c r="B67" t="str">
        <f>'Bill of Materials'!B23</f>
        <v>ESA</v>
      </c>
      <c r="C67">
        <f>'Bill of Materials'!C23</f>
        <v>0.12</v>
      </c>
      <c r="D67">
        <f>MATCH(A67,'Production Runs'!$A$1:$A$26,FALSE)</f>
        <v>11</v>
      </c>
      <c r="E67" s="13">
        <f>IF(ISERROR($D67),0,INT(INDEX('Production Runs'!$A$1:$G$26,$D67,4)))</f>
        <v>36600</v>
      </c>
      <c r="F67" s="58">
        <f>IF(ISERROR($D67),0,INDEX('Production Runs'!$A$1:$G$26,$D67,5))</f>
        <v>1234</v>
      </c>
      <c r="G67">
        <f t="shared" si="0"/>
        <v>148.07999999999998</v>
      </c>
    </row>
    <row r="68" spans="1:7" x14ac:dyDescent="0.25">
      <c r="A68" t="str">
        <f>'Bill of Materials'!A24&amp;"/2"</f>
        <v>AB500/2</v>
      </c>
      <c r="B68" t="str">
        <f>'Bill of Materials'!B24</f>
        <v>LAB50</v>
      </c>
      <c r="C68">
        <f>'Bill of Materials'!C24</f>
        <v>26</v>
      </c>
      <c r="D68">
        <f>MATCH(A68,'Production Runs'!$A$1:$A$26,FALSE)</f>
        <v>11</v>
      </c>
      <c r="E68" s="13">
        <f>IF(ISERROR($D68),0,INT(INDEX('Production Runs'!$A$1:$G$26,$D68,4)))</f>
        <v>36600</v>
      </c>
      <c r="F68" s="58">
        <f>IF(ISERROR($D68),0,INDEX('Production Runs'!$A$1:$G$26,$D68,5))</f>
        <v>1234</v>
      </c>
      <c r="G68">
        <f t="shared" si="0"/>
        <v>32084</v>
      </c>
    </row>
    <row r="69" spans="1:7" x14ac:dyDescent="0.25">
      <c r="A69" t="str">
        <f>'Bill of Materials'!A25&amp;"/2"</f>
        <v>FL100/2</v>
      </c>
      <c r="B69" t="str">
        <f>'Bill of Materials'!B25</f>
        <v>BS01</v>
      </c>
      <c r="C69">
        <f>'Bill of Materials'!C25</f>
        <v>4.8</v>
      </c>
      <c r="D69" t="e">
        <f>MATCH(A69,'Production Runs'!$A$1:$A$26,FALSE)</f>
        <v>#N/A</v>
      </c>
      <c r="E69" s="13">
        <f>IF(ISERROR($D69),0,INT(INDEX('Production Runs'!$A$1:$G$26,$D69,4)))</f>
        <v>0</v>
      </c>
      <c r="F69" s="58">
        <f>IF(ISERROR($D69),0,INDEX('Production Runs'!$A$1:$G$26,$D69,5))</f>
        <v>0</v>
      </c>
      <c r="G69">
        <f t="shared" si="0"/>
        <v>0</v>
      </c>
    </row>
    <row r="70" spans="1:7" x14ac:dyDescent="0.25">
      <c r="A70" t="str">
        <f>'Bill of Materials'!A26&amp;"/2"</f>
        <v>FL100/2</v>
      </c>
      <c r="B70" t="str">
        <f>'Bill of Materials'!B26</f>
        <v>BT100</v>
      </c>
      <c r="C70">
        <f>'Bill of Materials'!C26</f>
        <v>48</v>
      </c>
      <c r="D70" t="e">
        <f>MATCH(A70,'Production Runs'!$A$1:$A$26,FALSE)</f>
        <v>#N/A</v>
      </c>
      <c r="E70" s="13">
        <f>IF(ISERROR($D70),0,INT(INDEX('Production Runs'!$A$1:$G$26,$D70,4)))</f>
        <v>0</v>
      </c>
      <c r="F70" s="58">
        <f>IF(ISERROR($D70),0,INDEX('Production Runs'!$A$1:$G$26,$D70,5))</f>
        <v>0</v>
      </c>
      <c r="G70">
        <f t="shared" ref="G70:G133" si="1">F70*C70</f>
        <v>0</v>
      </c>
    </row>
    <row r="71" spans="1:7" x14ac:dyDescent="0.25">
      <c r="A71" t="str">
        <f>'Bill of Materials'!A27&amp;"/2"</f>
        <v>FL100/2</v>
      </c>
      <c r="B71" t="str">
        <f>'Bill of Materials'!B27</f>
        <v>CAPF</v>
      </c>
      <c r="C71">
        <f>'Bill of Materials'!C27</f>
        <v>48</v>
      </c>
      <c r="D71" t="e">
        <f>MATCH(A71,'Production Runs'!$A$1:$A$26,FALSE)</f>
        <v>#N/A</v>
      </c>
      <c r="E71" s="13">
        <f>IF(ISERROR($D71),0,INT(INDEX('Production Runs'!$A$1:$G$26,$D71,4)))</f>
        <v>0</v>
      </c>
      <c r="F71" s="58">
        <f>IF(ISERROR($D71),0,INDEX('Production Runs'!$A$1:$G$26,$D71,5))</f>
        <v>0</v>
      </c>
      <c r="G71">
        <f t="shared" si="1"/>
        <v>0</v>
      </c>
    </row>
    <row r="72" spans="1:7" x14ac:dyDescent="0.25">
      <c r="A72" t="str">
        <f>'Bill of Materials'!A28&amp;"/2"</f>
        <v>FL100/2</v>
      </c>
      <c r="B72" t="str">
        <f>'Bill of Materials'!B28</f>
        <v>CARS</v>
      </c>
      <c r="C72">
        <f>'Bill of Materials'!C28</f>
        <v>1</v>
      </c>
      <c r="D72" t="e">
        <f>MATCH(A72,'Production Runs'!$A$1:$A$26,FALSE)</f>
        <v>#N/A</v>
      </c>
      <c r="E72" s="13">
        <f>IF(ISERROR($D72),0,INT(INDEX('Production Runs'!$A$1:$G$26,$D72,4)))</f>
        <v>0</v>
      </c>
      <c r="F72" s="58">
        <f>IF(ISERROR($D72),0,INDEX('Production Runs'!$A$1:$G$26,$D72,5))</f>
        <v>0</v>
      </c>
      <c r="G72">
        <f t="shared" si="1"/>
        <v>0</v>
      </c>
    </row>
    <row r="73" spans="1:7" x14ac:dyDescent="0.25">
      <c r="A73" t="str">
        <f>'Bill of Materials'!A29&amp;"/2"</f>
        <v>FL100/2</v>
      </c>
      <c r="B73" t="str">
        <f>'Bill of Materials'!B29</f>
        <v>ESL</v>
      </c>
      <c r="C73">
        <f>'Bill of Materials'!C29</f>
        <v>4.8000000000000001E-2</v>
      </c>
      <c r="D73" t="e">
        <f>MATCH(A73,'Production Runs'!$A$1:$A$26,FALSE)</f>
        <v>#N/A</v>
      </c>
      <c r="E73" s="13">
        <f>IF(ISERROR($D73),0,INT(INDEX('Production Runs'!$A$1:$G$26,$D73,4)))</f>
        <v>0</v>
      </c>
      <c r="F73" s="58">
        <f>IF(ISERROR($D73),0,INDEX('Production Runs'!$A$1:$G$26,$D73,5))</f>
        <v>0</v>
      </c>
      <c r="G73">
        <f t="shared" si="1"/>
        <v>0</v>
      </c>
    </row>
    <row r="74" spans="1:7" x14ac:dyDescent="0.25">
      <c r="A74" t="str">
        <f>'Bill of Materials'!A30&amp;"/2"</f>
        <v>FL100/2</v>
      </c>
      <c r="B74" t="str">
        <f>'Bill of Materials'!B30</f>
        <v>LFL10</v>
      </c>
      <c r="C74">
        <f>'Bill of Materials'!C30</f>
        <v>50</v>
      </c>
      <c r="D74" t="e">
        <f>MATCH(A74,'Production Runs'!$A$1:$A$26,FALSE)</f>
        <v>#N/A</v>
      </c>
      <c r="E74" s="13">
        <f>IF(ISERROR($D74),0,INT(INDEX('Production Runs'!$A$1:$G$26,$D74,4)))</f>
        <v>0</v>
      </c>
      <c r="F74" s="58">
        <f>IF(ISERROR($D74),0,INDEX('Production Runs'!$A$1:$G$26,$D74,5))</f>
        <v>0</v>
      </c>
      <c r="G74">
        <f t="shared" si="1"/>
        <v>0</v>
      </c>
    </row>
    <row r="75" spans="1:7" x14ac:dyDescent="0.25">
      <c r="A75" t="str">
        <f>'Bill of Materials'!A31&amp;"/2"</f>
        <v>FL250/2</v>
      </c>
      <c r="B75" t="str">
        <f>'Bill of Materials'!B31</f>
        <v>BS01</v>
      </c>
      <c r="C75">
        <f>'Bill of Materials'!C31</f>
        <v>12</v>
      </c>
      <c r="D75">
        <f>MATCH(A75,'Production Runs'!$A$1:$A$26,FALSE)</f>
        <v>15</v>
      </c>
      <c r="E75" s="13">
        <f>IF(ISERROR($D75),0,INT(INDEX('Production Runs'!$A$1:$G$26,$D75,4)))</f>
        <v>36613</v>
      </c>
      <c r="F75" s="58">
        <f>IF(ISERROR($D75),0,INDEX('Production Runs'!$A$1:$G$26,$D75,5))</f>
        <v>1960</v>
      </c>
      <c r="G75">
        <f t="shared" si="1"/>
        <v>23520</v>
      </c>
    </row>
    <row r="76" spans="1:7" x14ac:dyDescent="0.25">
      <c r="A76" t="str">
        <f>'Bill of Materials'!A32&amp;"/2"</f>
        <v>FL250/2</v>
      </c>
      <c r="B76" t="str">
        <f>'Bill of Materials'!B32</f>
        <v>BT250</v>
      </c>
      <c r="C76">
        <f>'Bill of Materials'!C32</f>
        <v>48</v>
      </c>
      <c r="D76">
        <f>MATCH(A76,'Production Runs'!$A$1:$A$26,FALSE)</f>
        <v>15</v>
      </c>
      <c r="E76" s="13">
        <f>IF(ISERROR($D76),0,INT(INDEX('Production Runs'!$A$1:$G$26,$D76,4)))</f>
        <v>36613</v>
      </c>
      <c r="F76" s="58">
        <f>IF(ISERROR($D76),0,INDEX('Production Runs'!$A$1:$G$26,$D76,5))</f>
        <v>1960</v>
      </c>
      <c r="G76">
        <f t="shared" si="1"/>
        <v>94080</v>
      </c>
    </row>
    <row r="77" spans="1:7" x14ac:dyDescent="0.25">
      <c r="A77" t="str">
        <f>'Bill of Materials'!A33&amp;"/2"</f>
        <v>FL250/2</v>
      </c>
      <c r="B77" t="str">
        <f>'Bill of Materials'!B33</f>
        <v>CAPF</v>
      </c>
      <c r="C77">
        <f>'Bill of Materials'!C33</f>
        <v>48</v>
      </c>
      <c r="D77">
        <f>MATCH(A77,'Production Runs'!$A$1:$A$26,FALSE)</f>
        <v>15</v>
      </c>
      <c r="E77" s="13">
        <f>IF(ISERROR($D77),0,INT(INDEX('Production Runs'!$A$1:$G$26,$D77,4)))</f>
        <v>36613</v>
      </c>
      <c r="F77" s="58">
        <f>IF(ISERROR($D77),0,INDEX('Production Runs'!$A$1:$G$26,$D77,5))</f>
        <v>1960</v>
      </c>
      <c r="G77">
        <f t="shared" si="1"/>
        <v>94080</v>
      </c>
    </row>
    <row r="78" spans="1:7" x14ac:dyDescent="0.25">
      <c r="A78" t="str">
        <f>'Bill of Materials'!A34&amp;"/2"</f>
        <v>FL250/2</v>
      </c>
      <c r="B78" t="str">
        <f>'Bill of Materials'!B34</f>
        <v>CARL</v>
      </c>
      <c r="C78">
        <f>'Bill of Materials'!C34</f>
        <v>1</v>
      </c>
      <c r="D78">
        <f>MATCH(A78,'Production Runs'!$A$1:$A$26,FALSE)</f>
        <v>15</v>
      </c>
      <c r="E78" s="13">
        <f>IF(ISERROR($D78),0,INT(INDEX('Production Runs'!$A$1:$G$26,$D78,4)))</f>
        <v>36613</v>
      </c>
      <c r="F78" s="58">
        <f>IF(ISERROR($D78),0,INDEX('Production Runs'!$A$1:$G$26,$D78,5))</f>
        <v>1960</v>
      </c>
      <c r="G78">
        <f t="shared" si="1"/>
        <v>1960</v>
      </c>
    </row>
    <row r="79" spans="1:7" x14ac:dyDescent="0.25">
      <c r="A79" t="str">
        <f>'Bill of Materials'!A35&amp;"/2"</f>
        <v>FL250/2</v>
      </c>
      <c r="B79" t="str">
        <f>'Bill of Materials'!B35</f>
        <v>ESL</v>
      </c>
      <c r="C79">
        <f>'Bill of Materials'!C35</f>
        <v>0.12</v>
      </c>
      <c r="D79">
        <f>MATCH(A79,'Production Runs'!$A$1:$A$26,FALSE)</f>
        <v>15</v>
      </c>
      <c r="E79" s="13">
        <f>IF(ISERROR($D79),0,INT(INDEX('Production Runs'!$A$1:$G$26,$D79,4)))</f>
        <v>36613</v>
      </c>
      <c r="F79" s="58">
        <f>IF(ISERROR($D79),0,INDEX('Production Runs'!$A$1:$G$26,$D79,5))</f>
        <v>1960</v>
      </c>
      <c r="G79">
        <f t="shared" si="1"/>
        <v>235.2</v>
      </c>
    </row>
    <row r="80" spans="1:7" x14ac:dyDescent="0.25">
      <c r="A80" t="str">
        <f>'Bill of Materials'!A36&amp;"/2"</f>
        <v>FL250/2</v>
      </c>
      <c r="B80" t="str">
        <f>'Bill of Materials'!B36</f>
        <v>LFL25</v>
      </c>
      <c r="C80">
        <f>'Bill of Materials'!C36</f>
        <v>50</v>
      </c>
      <c r="D80">
        <f>MATCH(A80,'Production Runs'!$A$1:$A$26,FALSE)</f>
        <v>15</v>
      </c>
      <c r="E80" s="13">
        <f>IF(ISERROR($D80),0,INT(INDEX('Production Runs'!$A$1:$G$26,$D80,4)))</f>
        <v>36613</v>
      </c>
      <c r="F80" s="58">
        <f>IF(ISERROR($D80),0,INDEX('Production Runs'!$A$1:$G$26,$D80,5))</f>
        <v>1960</v>
      </c>
      <c r="G80">
        <f t="shared" si="1"/>
        <v>98000</v>
      </c>
    </row>
    <row r="81" spans="1:7" x14ac:dyDescent="0.25">
      <c r="A81" t="str">
        <f>'Bill of Materials'!A37&amp;"/2"</f>
        <v>FL500/2</v>
      </c>
      <c r="B81" t="str">
        <f>'Bill of Materials'!B37</f>
        <v>BS01</v>
      </c>
      <c r="C81">
        <f>'Bill of Materials'!C37</f>
        <v>12</v>
      </c>
      <c r="D81">
        <f>MATCH(A81,'Production Runs'!$A$1:$A$26,FALSE)</f>
        <v>17</v>
      </c>
      <c r="E81" s="13">
        <f>IF(ISERROR($D81),0,INT(INDEX('Production Runs'!$A$1:$G$26,$D81,4)))</f>
        <v>36610</v>
      </c>
      <c r="F81" s="58">
        <f>IF(ISERROR($D81),0,INDEX('Production Runs'!$A$1:$G$26,$D81,5))</f>
        <v>2538</v>
      </c>
      <c r="G81">
        <f t="shared" si="1"/>
        <v>30456</v>
      </c>
    </row>
    <row r="82" spans="1:7" x14ac:dyDescent="0.25">
      <c r="A82" t="str">
        <f>'Bill of Materials'!A38&amp;"/2"</f>
        <v>FL500/2</v>
      </c>
      <c r="B82" t="str">
        <f>'Bill of Materials'!B38</f>
        <v>BT500</v>
      </c>
      <c r="C82">
        <f>'Bill of Materials'!C38</f>
        <v>24</v>
      </c>
      <c r="D82">
        <f>MATCH(A82,'Production Runs'!$A$1:$A$26,FALSE)</f>
        <v>17</v>
      </c>
      <c r="E82" s="13">
        <f>IF(ISERROR($D82),0,INT(INDEX('Production Runs'!$A$1:$G$26,$D82,4)))</f>
        <v>36610</v>
      </c>
      <c r="F82" s="58">
        <f>IF(ISERROR($D82),0,INDEX('Production Runs'!$A$1:$G$26,$D82,5))</f>
        <v>2538</v>
      </c>
      <c r="G82">
        <f t="shared" si="1"/>
        <v>60912</v>
      </c>
    </row>
    <row r="83" spans="1:7" x14ac:dyDescent="0.25">
      <c r="A83" t="str">
        <f>'Bill of Materials'!A39&amp;"/2"</f>
        <v>FL500/2</v>
      </c>
      <c r="B83" t="str">
        <f>'Bill of Materials'!B39</f>
        <v>CAPS</v>
      </c>
      <c r="C83">
        <f>'Bill of Materials'!C39</f>
        <v>24</v>
      </c>
      <c r="D83">
        <f>MATCH(A83,'Production Runs'!$A$1:$A$26,FALSE)</f>
        <v>17</v>
      </c>
      <c r="E83" s="13">
        <f>IF(ISERROR($D83),0,INT(INDEX('Production Runs'!$A$1:$G$26,$D83,4)))</f>
        <v>36610</v>
      </c>
      <c r="F83" s="58">
        <f>IF(ISERROR($D83),0,INDEX('Production Runs'!$A$1:$G$26,$D83,5))</f>
        <v>2538</v>
      </c>
      <c r="G83">
        <f t="shared" si="1"/>
        <v>60912</v>
      </c>
    </row>
    <row r="84" spans="1:7" x14ac:dyDescent="0.25">
      <c r="A84" t="str">
        <f>'Bill of Materials'!A40&amp;"/2"</f>
        <v>FL500/2</v>
      </c>
      <c r="B84" t="str">
        <f>'Bill of Materials'!B40</f>
        <v>CARL</v>
      </c>
      <c r="C84">
        <f>'Bill of Materials'!C40</f>
        <v>1</v>
      </c>
      <c r="D84">
        <f>MATCH(A84,'Production Runs'!$A$1:$A$26,FALSE)</f>
        <v>17</v>
      </c>
      <c r="E84" s="13">
        <f>IF(ISERROR($D84),0,INT(INDEX('Production Runs'!$A$1:$G$26,$D84,4)))</f>
        <v>36610</v>
      </c>
      <c r="F84" s="58">
        <f>IF(ISERROR($D84),0,INDEX('Production Runs'!$A$1:$G$26,$D84,5))</f>
        <v>2538</v>
      </c>
      <c r="G84">
        <f t="shared" si="1"/>
        <v>2538</v>
      </c>
    </row>
    <row r="85" spans="1:7" x14ac:dyDescent="0.25">
      <c r="A85" t="str">
        <f>'Bill of Materials'!A41&amp;"/2"</f>
        <v>FL500/2</v>
      </c>
      <c r="B85" t="str">
        <f>'Bill of Materials'!B41</f>
        <v>ESL</v>
      </c>
      <c r="C85">
        <f>'Bill of Materials'!C41</f>
        <v>0.12</v>
      </c>
      <c r="D85">
        <f>MATCH(A85,'Production Runs'!$A$1:$A$26,FALSE)</f>
        <v>17</v>
      </c>
      <c r="E85" s="13">
        <f>IF(ISERROR($D85),0,INT(INDEX('Production Runs'!$A$1:$G$26,$D85,4)))</f>
        <v>36610</v>
      </c>
      <c r="F85" s="58">
        <f>IF(ISERROR($D85),0,INDEX('Production Runs'!$A$1:$G$26,$D85,5))</f>
        <v>2538</v>
      </c>
      <c r="G85">
        <f t="shared" si="1"/>
        <v>304.56</v>
      </c>
    </row>
    <row r="86" spans="1:7" x14ac:dyDescent="0.25">
      <c r="A86" t="str">
        <f>'Bill of Materials'!A42&amp;"/2"</f>
        <v>FL500/2</v>
      </c>
      <c r="B86" t="str">
        <f>'Bill of Materials'!B42</f>
        <v>LFL50</v>
      </c>
      <c r="C86">
        <f>'Bill of Materials'!C42</f>
        <v>26</v>
      </c>
      <c r="D86">
        <f>MATCH(A86,'Production Runs'!$A$1:$A$26,FALSE)</f>
        <v>17</v>
      </c>
      <c r="E86" s="13">
        <f>IF(ISERROR($D86),0,INT(INDEX('Production Runs'!$A$1:$G$26,$D86,4)))</f>
        <v>36610</v>
      </c>
      <c r="F86" s="58">
        <f>IF(ISERROR($D86),0,INDEX('Production Runs'!$A$1:$G$26,$D86,5))</f>
        <v>2538</v>
      </c>
      <c r="G86">
        <f t="shared" si="1"/>
        <v>65988</v>
      </c>
    </row>
    <row r="87" spans="1:7" x14ac:dyDescent="0.25">
      <c r="A87" t="str">
        <f>'Bill of Materials'!A43&amp;"/2"</f>
        <v>/2</v>
      </c>
      <c r="B87">
        <f>'Bill of Materials'!B43</f>
        <v>0</v>
      </c>
      <c r="C87">
        <f>'Bill of Materials'!C43</f>
        <v>0</v>
      </c>
      <c r="D87" t="e">
        <f>MATCH(A87,'Production Runs'!$A$1:$A$26,FALSE)</f>
        <v>#N/A</v>
      </c>
      <c r="E87" s="13">
        <f>IF(ISERROR($D87),0,INT(INDEX('Production Runs'!$A$1:$G$26,$D87,4)))</f>
        <v>0</v>
      </c>
      <c r="F87" s="58">
        <f>IF(ISERROR($D87),0,INDEX('Production Runs'!$A$1:$G$26,$D87,5))</f>
        <v>0</v>
      </c>
      <c r="G87">
        <f t="shared" si="1"/>
        <v>0</v>
      </c>
    </row>
    <row r="88" spans="1:7" x14ac:dyDescent="0.25">
      <c r="A88" t="str">
        <f>'Bill of Materials'!A44&amp;"/2"</f>
        <v>/2</v>
      </c>
      <c r="B88">
        <f>'Bill of Materials'!B44</f>
        <v>0</v>
      </c>
      <c r="C88">
        <f>'Bill of Materials'!C44</f>
        <v>0</v>
      </c>
      <c r="D88" t="e">
        <f>MATCH(A88,'Production Runs'!$A$1:$A$26,FALSE)</f>
        <v>#N/A</v>
      </c>
      <c r="E88" s="13">
        <f>IF(ISERROR($D88),0,INT(INDEX('Production Runs'!$A$1:$G$26,$D88,4)))</f>
        <v>0</v>
      </c>
      <c r="F88" s="58">
        <f>IF(ISERROR($D88),0,INDEX('Production Runs'!$A$1:$G$26,$D88,5))</f>
        <v>0</v>
      </c>
      <c r="G88">
        <f t="shared" si="1"/>
        <v>0</v>
      </c>
    </row>
    <row r="89" spans="1:7" x14ac:dyDescent="0.25">
      <c r="A89" t="str">
        <f>'Bill of Materials'!A45&amp;"/2"</f>
        <v>/2</v>
      </c>
      <c r="B89">
        <f>'Bill of Materials'!B45</f>
        <v>0</v>
      </c>
      <c r="C89">
        <f>'Bill of Materials'!C45</f>
        <v>0</v>
      </c>
      <c r="D89" t="e">
        <f>MATCH(A89,'Production Runs'!$A$1:$A$26,FALSE)</f>
        <v>#N/A</v>
      </c>
      <c r="E89" s="13">
        <f>IF(ISERROR($D89),0,INT(INDEX('Production Runs'!$A$1:$G$26,$D89,4)))</f>
        <v>0</v>
      </c>
      <c r="F89" s="58">
        <f>IF(ISERROR($D89),0,INDEX('Production Runs'!$A$1:$G$26,$D89,5))</f>
        <v>0</v>
      </c>
      <c r="G89">
        <f t="shared" si="1"/>
        <v>0</v>
      </c>
    </row>
    <row r="90" spans="1:7" x14ac:dyDescent="0.25">
      <c r="A90" t="str">
        <f>'Bill of Materials'!A46&amp;"/2"</f>
        <v>/2</v>
      </c>
      <c r="B90">
        <f>'Bill of Materials'!B46</f>
        <v>0</v>
      </c>
      <c r="C90">
        <f>'Bill of Materials'!C46</f>
        <v>0</v>
      </c>
      <c r="D90" t="e">
        <f>MATCH(A90,'Production Runs'!$A$1:$A$26,FALSE)</f>
        <v>#N/A</v>
      </c>
      <c r="E90" s="13">
        <f>IF(ISERROR($D90),0,INT(INDEX('Production Runs'!$A$1:$G$26,$D90,4)))</f>
        <v>0</v>
      </c>
      <c r="F90" s="58">
        <f>IF(ISERROR($D90),0,INDEX('Production Runs'!$A$1:$G$26,$D90,5))</f>
        <v>0</v>
      </c>
      <c r="G90">
        <f t="shared" si="1"/>
        <v>0</v>
      </c>
    </row>
    <row r="91" spans="1:7" x14ac:dyDescent="0.25">
      <c r="A91" t="str">
        <f>'Bill of Materials'!A47&amp;"/2"</f>
        <v>/2</v>
      </c>
      <c r="B91">
        <f>'Bill of Materials'!B47</f>
        <v>0</v>
      </c>
      <c r="C91">
        <f>'Bill of Materials'!C47</f>
        <v>0</v>
      </c>
      <c r="D91" t="e">
        <f>MATCH(A91,'Production Runs'!$A$1:$A$26,FALSE)</f>
        <v>#N/A</v>
      </c>
      <c r="E91" s="13">
        <f>IF(ISERROR($D91),0,INT(INDEX('Production Runs'!$A$1:$G$26,$D91,4)))</f>
        <v>0</v>
      </c>
      <c r="F91" s="58">
        <f>IF(ISERROR($D91),0,INDEX('Production Runs'!$A$1:$G$26,$D91,5))</f>
        <v>0</v>
      </c>
      <c r="G91">
        <f t="shared" si="1"/>
        <v>0</v>
      </c>
    </row>
    <row r="92" spans="1:7" x14ac:dyDescent="0.25">
      <c r="A92" t="str">
        <f>'Bill of Materials'!A48&amp;"/2"</f>
        <v>/2</v>
      </c>
      <c r="B92">
        <f>'Bill of Materials'!B48</f>
        <v>0</v>
      </c>
      <c r="C92">
        <f>'Bill of Materials'!C48</f>
        <v>0</v>
      </c>
      <c r="D92" t="e">
        <f>MATCH(A92,'Production Runs'!$A$1:$A$26,FALSE)</f>
        <v>#N/A</v>
      </c>
      <c r="E92" s="13">
        <f>IF(ISERROR($D92),0,INT(INDEX('Production Runs'!$A$1:$G$26,$D92,4)))</f>
        <v>0</v>
      </c>
      <c r="F92" s="58">
        <f>IF(ISERROR($D92),0,INDEX('Production Runs'!$A$1:$G$26,$D92,5))</f>
        <v>0</v>
      </c>
      <c r="G92">
        <f t="shared" si="1"/>
        <v>0</v>
      </c>
    </row>
    <row r="93" spans="1:7" x14ac:dyDescent="0.25">
      <c r="A93" t="str">
        <f>'Bill of Materials'!A49&amp;"/2"</f>
        <v>/2</v>
      </c>
      <c r="B93">
        <f>'Bill of Materials'!B49</f>
        <v>0</v>
      </c>
      <c r="C93">
        <f>'Bill of Materials'!C49</f>
        <v>0</v>
      </c>
      <c r="D93" t="e">
        <f>MATCH(A93,'Production Runs'!$A$1:$A$26,FALSE)</f>
        <v>#N/A</v>
      </c>
      <c r="E93" s="13">
        <f>IF(ISERROR($D93),0,INT(INDEX('Production Runs'!$A$1:$G$26,$D93,4)))</f>
        <v>0</v>
      </c>
      <c r="F93" s="58">
        <f>IF(ISERROR($D93),0,INDEX('Production Runs'!$A$1:$G$26,$D93,5))</f>
        <v>0</v>
      </c>
      <c r="G93">
        <f t="shared" si="1"/>
        <v>0</v>
      </c>
    </row>
    <row r="94" spans="1:7" x14ac:dyDescent="0.25">
      <c r="A94" t="str">
        <f>'Bill of Materials'!A50&amp;"/2"</f>
        <v>/2</v>
      </c>
      <c r="B94">
        <f>'Bill of Materials'!B50</f>
        <v>0</v>
      </c>
      <c r="C94">
        <f>'Bill of Materials'!C50</f>
        <v>0</v>
      </c>
      <c r="D94" t="e">
        <f>MATCH(A94,'Production Runs'!$A$1:$A$26,FALSE)</f>
        <v>#N/A</v>
      </c>
      <c r="E94" s="13">
        <f>IF(ISERROR($D94),0,INT(INDEX('Production Runs'!$A$1:$G$26,$D94,4)))</f>
        <v>0</v>
      </c>
      <c r="F94" s="58">
        <f>IF(ISERROR($D94),0,INDEX('Production Runs'!$A$1:$G$26,$D94,5))</f>
        <v>0</v>
      </c>
      <c r="G94">
        <f t="shared" si="1"/>
        <v>0</v>
      </c>
    </row>
    <row r="95" spans="1:7" x14ac:dyDescent="0.25">
      <c r="A95" t="str">
        <f>'Bill of Materials'!A51&amp;"/2"</f>
        <v>/2</v>
      </c>
      <c r="B95">
        <f>'Bill of Materials'!B51</f>
        <v>0</v>
      </c>
      <c r="C95">
        <f>'Bill of Materials'!C51</f>
        <v>0</v>
      </c>
      <c r="D95" t="e">
        <f>MATCH(A95,'Production Runs'!$A$1:$A$26,FALSE)</f>
        <v>#N/A</v>
      </c>
      <c r="E95" s="13">
        <f>IF(ISERROR($D95),0,INT(INDEX('Production Runs'!$A$1:$G$26,$D95,4)))</f>
        <v>0</v>
      </c>
      <c r="F95" s="58">
        <f>IF(ISERROR($D95),0,INDEX('Production Runs'!$A$1:$G$26,$D95,5))</f>
        <v>0</v>
      </c>
      <c r="G95">
        <f t="shared" si="1"/>
        <v>0</v>
      </c>
    </row>
    <row r="96" spans="1:7" x14ac:dyDescent="0.25">
      <c r="A96" t="str">
        <f>'Bill of Materials'!A52&amp;"/2"</f>
        <v>/2</v>
      </c>
      <c r="B96">
        <f>'Bill of Materials'!B52</f>
        <v>0</v>
      </c>
      <c r="C96">
        <f>'Bill of Materials'!C52</f>
        <v>0</v>
      </c>
      <c r="D96" t="e">
        <f>MATCH(A96,'Production Runs'!$A$1:$A$26,FALSE)</f>
        <v>#N/A</v>
      </c>
      <c r="E96" s="13">
        <f>IF(ISERROR($D96),0,INT(INDEX('Production Runs'!$A$1:$G$26,$D96,4)))</f>
        <v>0</v>
      </c>
      <c r="F96" s="58">
        <f>IF(ISERROR($D96),0,INDEX('Production Runs'!$A$1:$G$26,$D96,5))</f>
        <v>0</v>
      </c>
      <c r="G96">
        <f t="shared" si="1"/>
        <v>0</v>
      </c>
    </row>
    <row r="97" spans="1:7" x14ac:dyDescent="0.25">
      <c r="A97" t="str">
        <f>'Bill of Materials'!A7&amp;"/3"</f>
        <v>AB100/3</v>
      </c>
      <c r="B97" t="str">
        <f>'Bill of Materials'!B7</f>
        <v>BS01</v>
      </c>
      <c r="C97">
        <f>'Bill of Materials'!C7</f>
        <v>4.8</v>
      </c>
      <c r="D97" t="e">
        <f>MATCH(A97,'Production Runs'!$A$1:$A$26,FALSE)</f>
        <v>#N/A</v>
      </c>
      <c r="E97" s="13">
        <f>IF(ISERROR($D97),0,INT(INDEX('Production Runs'!$A$1:$G$26,$D97,4)))</f>
        <v>0</v>
      </c>
      <c r="F97" s="58">
        <f>IF(ISERROR($D97),0,INDEX('Production Runs'!$A$1:$G$26,$D97,5))</f>
        <v>0</v>
      </c>
      <c r="G97">
        <f t="shared" si="1"/>
        <v>0</v>
      </c>
    </row>
    <row r="98" spans="1:7" x14ac:dyDescent="0.25">
      <c r="A98" t="str">
        <f>'Bill of Materials'!A8&amp;"/3"</f>
        <v>AB100/3</v>
      </c>
      <c r="B98" t="str">
        <f>'Bill of Materials'!B8</f>
        <v>BT100</v>
      </c>
      <c r="C98">
        <f>'Bill of Materials'!C8</f>
        <v>48</v>
      </c>
      <c r="D98" t="e">
        <f>MATCH(A98,'Production Runs'!$A$1:$A$26,FALSE)</f>
        <v>#N/A</v>
      </c>
      <c r="E98" s="13">
        <f>IF(ISERROR($D98),0,INT(INDEX('Production Runs'!$A$1:$G$26,$D98,4)))</f>
        <v>0</v>
      </c>
      <c r="F98" s="58">
        <f>IF(ISERROR($D98),0,INDEX('Production Runs'!$A$1:$G$26,$D98,5))</f>
        <v>0</v>
      </c>
      <c r="G98">
        <f t="shared" si="1"/>
        <v>0</v>
      </c>
    </row>
    <row r="99" spans="1:7" x14ac:dyDescent="0.25">
      <c r="A99" t="str">
        <f>'Bill of Materials'!A9&amp;"/3"</f>
        <v>AB100/3</v>
      </c>
      <c r="B99" t="str">
        <f>'Bill of Materials'!B9</f>
        <v>CAPF</v>
      </c>
      <c r="C99">
        <f>'Bill of Materials'!C9</f>
        <v>48</v>
      </c>
      <c r="D99" t="e">
        <f>MATCH(A99,'Production Runs'!$A$1:$A$26,FALSE)</f>
        <v>#N/A</v>
      </c>
      <c r="E99" s="13">
        <f>IF(ISERROR($D99),0,INT(INDEX('Production Runs'!$A$1:$G$26,$D99,4)))</f>
        <v>0</v>
      </c>
      <c r="F99" s="58">
        <f>IF(ISERROR($D99),0,INDEX('Production Runs'!$A$1:$G$26,$D99,5))</f>
        <v>0</v>
      </c>
      <c r="G99">
        <f t="shared" si="1"/>
        <v>0</v>
      </c>
    </row>
    <row r="100" spans="1:7" x14ac:dyDescent="0.25">
      <c r="A100" t="str">
        <f>'Bill of Materials'!A10&amp;"/3"</f>
        <v>AB100/3</v>
      </c>
      <c r="B100" t="str">
        <f>'Bill of Materials'!B10</f>
        <v>CARS</v>
      </c>
      <c r="C100">
        <f>'Bill of Materials'!C10</f>
        <v>1</v>
      </c>
      <c r="D100" t="e">
        <f>MATCH(A100,'Production Runs'!$A$1:$A$26,FALSE)</f>
        <v>#N/A</v>
      </c>
      <c r="E100" s="13">
        <f>IF(ISERROR($D100),0,INT(INDEX('Production Runs'!$A$1:$G$26,$D100,4)))</f>
        <v>0</v>
      </c>
      <c r="F100" s="58">
        <f>IF(ISERROR($D100),0,INDEX('Production Runs'!$A$1:$G$26,$D100,5))</f>
        <v>0</v>
      </c>
      <c r="G100">
        <f t="shared" si="1"/>
        <v>0</v>
      </c>
    </row>
    <row r="101" spans="1:7" x14ac:dyDescent="0.25">
      <c r="A101" t="str">
        <f>'Bill of Materials'!A11&amp;"/3"</f>
        <v>AB100/3</v>
      </c>
      <c r="B101" t="str">
        <f>'Bill of Materials'!B11</f>
        <v>ESA</v>
      </c>
      <c r="C101">
        <f>'Bill of Materials'!C11</f>
        <v>4.8000000000000001E-2</v>
      </c>
      <c r="D101" t="e">
        <f>MATCH(A101,'Production Runs'!$A$1:$A$26,FALSE)</f>
        <v>#N/A</v>
      </c>
      <c r="E101" s="13">
        <f>IF(ISERROR($D101),0,INT(INDEX('Production Runs'!$A$1:$G$26,$D101,4)))</f>
        <v>0</v>
      </c>
      <c r="F101" s="58">
        <f>IF(ISERROR($D101),0,INDEX('Production Runs'!$A$1:$G$26,$D101,5))</f>
        <v>0</v>
      </c>
      <c r="G101">
        <f t="shared" si="1"/>
        <v>0</v>
      </c>
    </row>
    <row r="102" spans="1:7" x14ac:dyDescent="0.25">
      <c r="A102" t="str">
        <f>'Bill of Materials'!A12&amp;"/3"</f>
        <v>AB100/3</v>
      </c>
      <c r="B102" t="str">
        <f>'Bill of Materials'!B12</f>
        <v>LAB10</v>
      </c>
      <c r="C102">
        <f>'Bill of Materials'!C12</f>
        <v>50</v>
      </c>
      <c r="D102" t="e">
        <f>MATCH(A102,'Production Runs'!$A$1:$A$26,FALSE)</f>
        <v>#N/A</v>
      </c>
      <c r="E102" s="13">
        <f>IF(ISERROR($D102),0,INT(INDEX('Production Runs'!$A$1:$G$26,$D102,4)))</f>
        <v>0</v>
      </c>
      <c r="F102" s="58">
        <f>IF(ISERROR($D102),0,INDEX('Production Runs'!$A$1:$G$26,$D102,5))</f>
        <v>0</v>
      </c>
      <c r="G102">
        <f t="shared" si="1"/>
        <v>0</v>
      </c>
    </row>
    <row r="103" spans="1:7" x14ac:dyDescent="0.25">
      <c r="A103" t="str">
        <f>'Bill of Materials'!A13&amp;"/3"</f>
        <v>AB250/3</v>
      </c>
      <c r="B103" t="str">
        <f>'Bill of Materials'!B13</f>
        <v>BS01</v>
      </c>
      <c r="C103">
        <f>'Bill of Materials'!C13</f>
        <v>12</v>
      </c>
      <c r="D103" t="e">
        <f>MATCH(A103,'Production Runs'!$A$1:$A$26,FALSE)</f>
        <v>#N/A</v>
      </c>
      <c r="E103" s="13">
        <f>IF(ISERROR($D103),0,INT(INDEX('Production Runs'!$A$1:$G$26,$D103,4)))</f>
        <v>0</v>
      </c>
      <c r="F103" s="58">
        <f>IF(ISERROR($D103),0,INDEX('Production Runs'!$A$1:$G$26,$D103,5))</f>
        <v>0</v>
      </c>
      <c r="G103">
        <f t="shared" si="1"/>
        <v>0</v>
      </c>
    </row>
    <row r="104" spans="1:7" x14ac:dyDescent="0.25">
      <c r="A104" t="str">
        <f>'Bill of Materials'!A14&amp;"/3"</f>
        <v>AB250/3</v>
      </c>
      <c r="B104" t="str">
        <f>'Bill of Materials'!B14</f>
        <v>BT250</v>
      </c>
      <c r="C104">
        <f>'Bill of Materials'!C14</f>
        <v>48</v>
      </c>
      <c r="D104" t="e">
        <f>MATCH(A104,'Production Runs'!$A$1:$A$26,FALSE)</f>
        <v>#N/A</v>
      </c>
      <c r="E104" s="13">
        <f>IF(ISERROR($D104),0,INT(INDEX('Production Runs'!$A$1:$G$26,$D104,4)))</f>
        <v>0</v>
      </c>
      <c r="F104" s="58">
        <f>IF(ISERROR($D104),0,INDEX('Production Runs'!$A$1:$G$26,$D104,5))</f>
        <v>0</v>
      </c>
      <c r="G104">
        <f t="shared" si="1"/>
        <v>0</v>
      </c>
    </row>
    <row r="105" spans="1:7" x14ac:dyDescent="0.25">
      <c r="A105" t="str">
        <f>'Bill of Materials'!A15&amp;"/3"</f>
        <v>AB250/3</v>
      </c>
      <c r="B105" t="str">
        <f>'Bill of Materials'!B15</f>
        <v>CAPF</v>
      </c>
      <c r="C105">
        <f>'Bill of Materials'!C15</f>
        <v>48</v>
      </c>
      <c r="D105" t="e">
        <f>MATCH(A105,'Production Runs'!$A$1:$A$26,FALSE)</f>
        <v>#N/A</v>
      </c>
      <c r="E105" s="13">
        <f>IF(ISERROR($D105),0,INT(INDEX('Production Runs'!$A$1:$G$26,$D105,4)))</f>
        <v>0</v>
      </c>
      <c r="F105" s="58">
        <f>IF(ISERROR($D105),0,INDEX('Production Runs'!$A$1:$G$26,$D105,5))</f>
        <v>0</v>
      </c>
      <c r="G105">
        <f t="shared" si="1"/>
        <v>0</v>
      </c>
    </row>
    <row r="106" spans="1:7" x14ac:dyDescent="0.25">
      <c r="A106" t="str">
        <f>'Bill of Materials'!A16&amp;"/3"</f>
        <v>AB250/3</v>
      </c>
      <c r="B106" t="str">
        <f>'Bill of Materials'!B16</f>
        <v>CARL</v>
      </c>
      <c r="C106">
        <f>'Bill of Materials'!C16</f>
        <v>1</v>
      </c>
      <c r="D106" t="e">
        <f>MATCH(A106,'Production Runs'!$A$1:$A$26,FALSE)</f>
        <v>#N/A</v>
      </c>
      <c r="E106" s="13">
        <f>IF(ISERROR($D106),0,INT(INDEX('Production Runs'!$A$1:$G$26,$D106,4)))</f>
        <v>0</v>
      </c>
      <c r="F106" s="58">
        <f>IF(ISERROR($D106),0,INDEX('Production Runs'!$A$1:$G$26,$D106,5))</f>
        <v>0</v>
      </c>
      <c r="G106">
        <f t="shared" si="1"/>
        <v>0</v>
      </c>
    </row>
    <row r="107" spans="1:7" x14ac:dyDescent="0.25">
      <c r="A107" t="str">
        <f>'Bill of Materials'!A17&amp;"/3"</f>
        <v>AB250/3</v>
      </c>
      <c r="B107" t="str">
        <f>'Bill of Materials'!B17</f>
        <v>ESA</v>
      </c>
      <c r="C107">
        <f>'Bill of Materials'!C17</f>
        <v>0.12</v>
      </c>
      <c r="D107" t="e">
        <f>MATCH(A107,'Production Runs'!$A$1:$A$26,FALSE)</f>
        <v>#N/A</v>
      </c>
      <c r="E107" s="13">
        <f>IF(ISERROR($D107),0,INT(INDEX('Production Runs'!$A$1:$G$26,$D107,4)))</f>
        <v>0</v>
      </c>
      <c r="F107" s="58">
        <f>IF(ISERROR($D107),0,INDEX('Production Runs'!$A$1:$G$26,$D107,5))</f>
        <v>0</v>
      </c>
      <c r="G107">
        <f t="shared" si="1"/>
        <v>0</v>
      </c>
    </row>
    <row r="108" spans="1:7" x14ac:dyDescent="0.25">
      <c r="A108" t="str">
        <f>'Bill of Materials'!A18&amp;"/3"</f>
        <v>AB250/3</v>
      </c>
      <c r="B108" t="str">
        <f>'Bill of Materials'!B18</f>
        <v>LAB25</v>
      </c>
      <c r="C108">
        <f>'Bill of Materials'!C18</f>
        <v>50</v>
      </c>
      <c r="D108" t="e">
        <f>MATCH(A108,'Production Runs'!$A$1:$A$26,FALSE)</f>
        <v>#N/A</v>
      </c>
      <c r="E108" s="13">
        <f>IF(ISERROR($D108),0,INT(INDEX('Production Runs'!$A$1:$G$26,$D108,4)))</f>
        <v>0</v>
      </c>
      <c r="F108" s="58">
        <f>IF(ISERROR($D108),0,INDEX('Production Runs'!$A$1:$G$26,$D108,5))</f>
        <v>0</v>
      </c>
      <c r="G108">
        <f t="shared" si="1"/>
        <v>0</v>
      </c>
    </row>
    <row r="109" spans="1:7" x14ac:dyDescent="0.25">
      <c r="A109" t="str">
        <f>'Bill of Materials'!A19&amp;"/3"</f>
        <v>AB500/3</v>
      </c>
      <c r="B109" t="str">
        <f>'Bill of Materials'!B19</f>
        <v>BS01</v>
      </c>
      <c r="C109">
        <f>'Bill of Materials'!C19</f>
        <v>12</v>
      </c>
      <c r="D109">
        <f>MATCH(A109,'Production Runs'!$A$1:$A$26,FALSE)</f>
        <v>12</v>
      </c>
      <c r="E109" s="13">
        <f>IF(ISERROR($D109),0,INT(INDEX('Production Runs'!$A$1:$G$26,$D109,4)))</f>
        <v>36611</v>
      </c>
      <c r="F109" s="58">
        <f>IF(ISERROR($D109),0,INDEX('Production Runs'!$A$1:$G$26,$D109,5))</f>
        <v>1234</v>
      </c>
      <c r="G109">
        <f t="shared" si="1"/>
        <v>14808</v>
      </c>
    </row>
    <row r="110" spans="1:7" x14ac:dyDescent="0.25">
      <c r="A110" t="str">
        <f>'Bill of Materials'!A20&amp;"/3"</f>
        <v>AB500/3</v>
      </c>
      <c r="B110" t="str">
        <f>'Bill of Materials'!B20</f>
        <v>BT500</v>
      </c>
      <c r="C110">
        <f>'Bill of Materials'!C20</f>
        <v>24</v>
      </c>
      <c r="D110">
        <f>MATCH(A110,'Production Runs'!$A$1:$A$26,FALSE)</f>
        <v>12</v>
      </c>
      <c r="E110" s="13">
        <f>IF(ISERROR($D110),0,INT(INDEX('Production Runs'!$A$1:$G$26,$D110,4)))</f>
        <v>36611</v>
      </c>
      <c r="F110" s="58">
        <f>IF(ISERROR($D110),0,INDEX('Production Runs'!$A$1:$G$26,$D110,5))</f>
        <v>1234</v>
      </c>
      <c r="G110">
        <f t="shared" si="1"/>
        <v>29616</v>
      </c>
    </row>
    <row r="111" spans="1:7" x14ac:dyDescent="0.25">
      <c r="A111" t="str">
        <f>'Bill of Materials'!A21&amp;"/3"</f>
        <v>AB500/3</v>
      </c>
      <c r="B111" t="str">
        <f>'Bill of Materials'!B21</f>
        <v>CAPS</v>
      </c>
      <c r="C111">
        <f>'Bill of Materials'!C21</f>
        <v>24</v>
      </c>
      <c r="D111">
        <f>MATCH(A111,'Production Runs'!$A$1:$A$26,FALSE)</f>
        <v>12</v>
      </c>
      <c r="E111" s="13">
        <f>IF(ISERROR($D111),0,INT(INDEX('Production Runs'!$A$1:$G$26,$D111,4)))</f>
        <v>36611</v>
      </c>
      <c r="F111" s="58">
        <f>IF(ISERROR($D111),0,INDEX('Production Runs'!$A$1:$G$26,$D111,5))</f>
        <v>1234</v>
      </c>
      <c r="G111">
        <f t="shared" si="1"/>
        <v>29616</v>
      </c>
    </row>
    <row r="112" spans="1:7" x14ac:dyDescent="0.25">
      <c r="A112" t="str">
        <f>'Bill of Materials'!A22&amp;"/3"</f>
        <v>AB500/3</v>
      </c>
      <c r="B112" t="str">
        <f>'Bill of Materials'!B22</f>
        <v>CARL</v>
      </c>
      <c r="C112">
        <f>'Bill of Materials'!C22</f>
        <v>1</v>
      </c>
      <c r="D112">
        <f>MATCH(A112,'Production Runs'!$A$1:$A$26,FALSE)</f>
        <v>12</v>
      </c>
      <c r="E112" s="13">
        <f>IF(ISERROR($D112),0,INT(INDEX('Production Runs'!$A$1:$G$26,$D112,4)))</f>
        <v>36611</v>
      </c>
      <c r="F112" s="58">
        <f>IF(ISERROR($D112),0,INDEX('Production Runs'!$A$1:$G$26,$D112,5))</f>
        <v>1234</v>
      </c>
      <c r="G112">
        <f t="shared" si="1"/>
        <v>1234</v>
      </c>
    </row>
    <row r="113" spans="1:7" x14ac:dyDescent="0.25">
      <c r="A113" t="str">
        <f>'Bill of Materials'!A23&amp;"/3"</f>
        <v>AB500/3</v>
      </c>
      <c r="B113" t="str">
        <f>'Bill of Materials'!B23</f>
        <v>ESA</v>
      </c>
      <c r="C113">
        <f>'Bill of Materials'!C23</f>
        <v>0.12</v>
      </c>
      <c r="D113">
        <f>MATCH(A113,'Production Runs'!$A$1:$A$26,FALSE)</f>
        <v>12</v>
      </c>
      <c r="E113" s="13">
        <f>IF(ISERROR($D113),0,INT(INDEX('Production Runs'!$A$1:$G$26,$D113,4)))</f>
        <v>36611</v>
      </c>
      <c r="F113" s="58">
        <f>IF(ISERROR($D113),0,INDEX('Production Runs'!$A$1:$G$26,$D113,5))</f>
        <v>1234</v>
      </c>
      <c r="G113">
        <f t="shared" si="1"/>
        <v>148.07999999999998</v>
      </c>
    </row>
    <row r="114" spans="1:7" x14ac:dyDescent="0.25">
      <c r="A114" t="str">
        <f>'Bill of Materials'!A24&amp;"/3"</f>
        <v>AB500/3</v>
      </c>
      <c r="B114" t="str">
        <f>'Bill of Materials'!B24</f>
        <v>LAB50</v>
      </c>
      <c r="C114">
        <f>'Bill of Materials'!C24</f>
        <v>26</v>
      </c>
      <c r="D114">
        <f>MATCH(A114,'Production Runs'!$A$1:$A$26,FALSE)</f>
        <v>12</v>
      </c>
      <c r="E114" s="13">
        <f>IF(ISERROR($D114),0,INT(INDEX('Production Runs'!$A$1:$G$26,$D114,4)))</f>
        <v>36611</v>
      </c>
      <c r="F114" s="58">
        <f>IF(ISERROR($D114),0,INDEX('Production Runs'!$A$1:$G$26,$D114,5))</f>
        <v>1234</v>
      </c>
      <c r="G114">
        <f t="shared" si="1"/>
        <v>32084</v>
      </c>
    </row>
    <row r="115" spans="1:7" x14ac:dyDescent="0.25">
      <c r="A115" t="str">
        <f>'Bill of Materials'!A25&amp;"/3"</f>
        <v>FL100/3</v>
      </c>
      <c r="B115" t="str">
        <f>'Bill of Materials'!B25</f>
        <v>BS01</v>
      </c>
      <c r="C115">
        <f>'Bill of Materials'!C25</f>
        <v>4.8</v>
      </c>
      <c r="D115" t="e">
        <f>MATCH(A115,'Production Runs'!$A$1:$A$26,FALSE)</f>
        <v>#N/A</v>
      </c>
      <c r="E115" s="13">
        <f>IF(ISERROR($D115),0,INT(INDEX('Production Runs'!$A$1:$G$26,$D115,4)))</f>
        <v>0</v>
      </c>
      <c r="F115" s="58">
        <f>IF(ISERROR($D115),0,INDEX('Production Runs'!$A$1:$G$26,$D115,5))</f>
        <v>0</v>
      </c>
      <c r="G115">
        <f t="shared" si="1"/>
        <v>0</v>
      </c>
    </row>
    <row r="116" spans="1:7" x14ac:dyDescent="0.25">
      <c r="A116" t="str">
        <f>'Bill of Materials'!A26&amp;"/3"</f>
        <v>FL100/3</v>
      </c>
      <c r="B116" t="str">
        <f>'Bill of Materials'!B26</f>
        <v>BT100</v>
      </c>
      <c r="C116">
        <f>'Bill of Materials'!C26</f>
        <v>48</v>
      </c>
      <c r="D116" t="e">
        <f>MATCH(A116,'Production Runs'!$A$1:$A$26,FALSE)</f>
        <v>#N/A</v>
      </c>
      <c r="E116" s="13">
        <f>IF(ISERROR($D116),0,INT(INDEX('Production Runs'!$A$1:$G$26,$D116,4)))</f>
        <v>0</v>
      </c>
      <c r="F116" s="58">
        <f>IF(ISERROR($D116),0,INDEX('Production Runs'!$A$1:$G$26,$D116,5))</f>
        <v>0</v>
      </c>
      <c r="G116">
        <f t="shared" si="1"/>
        <v>0</v>
      </c>
    </row>
    <row r="117" spans="1:7" x14ac:dyDescent="0.25">
      <c r="A117" t="str">
        <f>'Bill of Materials'!A27&amp;"/3"</f>
        <v>FL100/3</v>
      </c>
      <c r="B117" t="str">
        <f>'Bill of Materials'!B27</f>
        <v>CAPF</v>
      </c>
      <c r="C117">
        <f>'Bill of Materials'!C27</f>
        <v>48</v>
      </c>
      <c r="D117" t="e">
        <f>MATCH(A117,'Production Runs'!$A$1:$A$26,FALSE)</f>
        <v>#N/A</v>
      </c>
      <c r="E117" s="13">
        <f>IF(ISERROR($D117),0,INT(INDEX('Production Runs'!$A$1:$G$26,$D117,4)))</f>
        <v>0</v>
      </c>
      <c r="F117" s="58">
        <f>IF(ISERROR($D117),0,INDEX('Production Runs'!$A$1:$G$26,$D117,5))</f>
        <v>0</v>
      </c>
      <c r="G117">
        <f t="shared" si="1"/>
        <v>0</v>
      </c>
    </row>
    <row r="118" spans="1:7" x14ac:dyDescent="0.25">
      <c r="A118" t="str">
        <f>'Bill of Materials'!A28&amp;"/3"</f>
        <v>FL100/3</v>
      </c>
      <c r="B118" t="str">
        <f>'Bill of Materials'!B28</f>
        <v>CARS</v>
      </c>
      <c r="C118">
        <f>'Bill of Materials'!C28</f>
        <v>1</v>
      </c>
      <c r="D118" t="e">
        <f>MATCH(A118,'Production Runs'!$A$1:$A$26,FALSE)</f>
        <v>#N/A</v>
      </c>
      <c r="E118" s="13">
        <f>IF(ISERROR($D118),0,INT(INDEX('Production Runs'!$A$1:$G$26,$D118,4)))</f>
        <v>0</v>
      </c>
      <c r="F118" s="58">
        <f>IF(ISERROR($D118),0,INDEX('Production Runs'!$A$1:$G$26,$D118,5))</f>
        <v>0</v>
      </c>
      <c r="G118">
        <f t="shared" si="1"/>
        <v>0</v>
      </c>
    </row>
    <row r="119" spans="1:7" x14ac:dyDescent="0.25">
      <c r="A119" t="str">
        <f>'Bill of Materials'!A29&amp;"/3"</f>
        <v>FL100/3</v>
      </c>
      <c r="B119" t="str">
        <f>'Bill of Materials'!B29</f>
        <v>ESL</v>
      </c>
      <c r="C119">
        <f>'Bill of Materials'!C29</f>
        <v>4.8000000000000001E-2</v>
      </c>
      <c r="D119" t="e">
        <f>MATCH(A119,'Production Runs'!$A$1:$A$26,FALSE)</f>
        <v>#N/A</v>
      </c>
      <c r="E119" s="13">
        <f>IF(ISERROR($D119),0,INT(INDEX('Production Runs'!$A$1:$G$26,$D119,4)))</f>
        <v>0</v>
      </c>
      <c r="F119" s="58">
        <f>IF(ISERROR($D119),0,INDEX('Production Runs'!$A$1:$G$26,$D119,5))</f>
        <v>0</v>
      </c>
      <c r="G119">
        <f t="shared" si="1"/>
        <v>0</v>
      </c>
    </row>
    <row r="120" spans="1:7" x14ac:dyDescent="0.25">
      <c r="A120" t="str">
        <f>'Bill of Materials'!A30&amp;"/3"</f>
        <v>FL100/3</v>
      </c>
      <c r="B120" t="str">
        <f>'Bill of Materials'!B30</f>
        <v>LFL10</v>
      </c>
      <c r="C120">
        <f>'Bill of Materials'!C30</f>
        <v>50</v>
      </c>
      <c r="D120" t="e">
        <f>MATCH(A120,'Production Runs'!$A$1:$A$26,FALSE)</f>
        <v>#N/A</v>
      </c>
      <c r="E120" s="13">
        <f>IF(ISERROR($D120),0,INT(INDEX('Production Runs'!$A$1:$G$26,$D120,4)))</f>
        <v>0</v>
      </c>
      <c r="F120" s="58">
        <f>IF(ISERROR($D120),0,INDEX('Production Runs'!$A$1:$G$26,$D120,5))</f>
        <v>0</v>
      </c>
      <c r="G120">
        <f t="shared" si="1"/>
        <v>0</v>
      </c>
    </row>
    <row r="121" spans="1:7" x14ac:dyDescent="0.25">
      <c r="A121" t="str">
        <f>'Bill of Materials'!A31&amp;"/3"</f>
        <v>FL250/3</v>
      </c>
      <c r="B121" t="str">
        <f>'Bill of Materials'!B31</f>
        <v>BS01</v>
      </c>
      <c r="C121">
        <f>'Bill of Materials'!C31</f>
        <v>12</v>
      </c>
      <c r="D121" t="e">
        <f>MATCH(A121,'Production Runs'!$A$1:$A$26,FALSE)</f>
        <v>#N/A</v>
      </c>
      <c r="E121" s="13">
        <f>IF(ISERROR($D121),0,INT(INDEX('Production Runs'!$A$1:$G$26,$D121,4)))</f>
        <v>0</v>
      </c>
      <c r="F121" s="58">
        <f>IF(ISERROR($D121),0,INDEX('Production Runs'!$A$1:$G$26,$D121,5))</f>
        <v>0</v>
      </c>
      <c r="G121">
        <f t="shared" si="1"/>
        <v>0</v>
      </c>
    </row>
    <row r="122" spans="1:7" x14ac:dyDescent="0.25">
      <c r="A122" t="str">
        <f>'Bill of Materials'!A32&amp;"/3"</f>
        <v>FL250/3</v>
      </c>
      <c r="B122" t="str">
        <f>'Bill of Materials'!B32</f>
        <v>BT250</v>
      </c>
      <c r="C122">
        <f>'Bill of Materials'!C32</f>
        <v>48</v>
      </c>
      <c r="D122" t="e">
        <f>MATCH(A122,'Production Runs'!$A$1:$A$26,FALSE)</f>
        <v>#N/A</v>
      </c>
      <c r="E122" s="13">
        <f>IF(ISERROR($D122),0,INT(INDEX('Production Runs'!$A$1:$G$26,$D122,4)))</f>
        <v>0</v>
      </c>
      <c r="F122" s="58">
        <f>IF(ISERROR($D122),0,INDEX('Production Runs'!$A$1:$G$26,$D122,5))</f>
        <v>0</v>
      </c>
      <c r="G122">
        <f t="shared" si="1"/>
        <v>0</v>
      </c>
    </row>
    <row r="123" spans="1:7" x14ac:dyDescent="0.25">
      <c r="A123" t="str">
        <f>'Bill of Materials'!A33&amp;"/3"</f>
        <v>FL250/3</v>
      </c>
      <c r="B123" t="str">
        <f>'Bill of Materials'!B33</f>
        <v>CAPF</v>
      </c>
      <c r="C123">
        <f>'Bill of Materials'!C33</f>
        <v>48</v>
      </c>
      <c r="D123" t="e">
        <f>MATCH(A123,'Production Runs'!$A$1:$A$26,FALSE)</f>
        <v>#N/A</v>
      </c>
      <c r="E123" s="13">
        <f>IF(ISERROR($D123),0,INT(INDEX('Production Runs'!$A$1:$G$26,$D123,4)))</f>
        <v>0</v>
      </c>
      <c r="F123" s="58">
        <f>IF(ISERROR($D123),0,INDEX('Production Runs'!$A$1:$G$26,$D123,5))</f>
        <v>0</v>
      </c>
      <c r="G123">
        <f t="shared" si="1"/>
        <v>0</v>
      </c>
    </row>
    <row r="124" spans="1:7" x14ac:dyDescent="0.25">
      <c r="A124" t="str">
        <f>'Bill of Materials'!A34&amp;"/3"</f>
        <v>FL250/3</v>
      </c>
      <c r="B124" t="str">
        <f>'Bill of Materials'!B34</f>
        <v>CARL</v>
      </c>
      <c r="C124">
        <f>'Bill of Materials'!C34</f>
        <v>1</v>
      </c>
      <c r="D124" t="e">
        <f>MATCH(A124,'Production Runs'!$A$1:$A$26,FALSE)</f>
        <v>#N/A</v>
      </c>
      <c r="E124" s="13">
        <f>IF(ISERROR($D124),0,INT(INDEX('Production Runs'!$A$1:$G$26,$D124,4)))</f>
        <v>0</v>
      </c>
      <c r="F124" s="58">
        <f>IF(ISERROR($D124),0,INDEX('Production Runs'!$A$1:$G$26,$D124,5))</f>
        <v>0</v>
      </c>
      <c r="G124">
        <f t="shared" si="1"/>
        <v>0</v>
      </c>
    </row>
    <row r="125" spans="1:7" x14ac:dyDescent="0.25">
      <c r="A125" t="str">
        <f>'Bill of Materials'!A35&amp;"/3"</f>
        <v>FL250/3</v>
      </c>
      <c r="B125" t="str">
        <f>'Bill of Materials'!B35</f>
        <v>ESL</v>
      </c>
      <c r="C125">
        <f>'Bill of Materials'!C35</f>
        <v>0.12</v>
      </c>
      <c r="D125" t="e">
        <f>MATCH(A125,'Production Runs'!$A$1:$A$26,FALSE)</f>
        <v>#N/A</v>
      </c>
      <c r="E125" s="13">
        <f>IF(ISERROR($D125),0,INT(INDEX('Production Runs'!$A$1:$G$26,$D125,4)))</f>
        <v>0</v>
      </c>
      <c r="F125" s="58">
        <f>IF(ISERROR($D125),0,INDEX('Production Runs'!$A$1:$G$26,$D125,5))</f>
        <v>0</v>
      </c>
      <c r="G125">
        <f t="shared" si="1"/>
        <v>0</v>
      </c>
    </row>
    <row r="126" spans="1:7" x14ac:dyDescent="0.25">
      <c r="A126" t="str">
        <f>'Bill of Materials'!A36&amp;"/3"</f>
        <v>FL250/3</v>
      </c>
      <c r="B126" t="str">
        <f>'Bill of Materials'!B36</f>
        <v>LFL25</v>
      </c>
      <c r="C126">
        <f>'Bill of Materials'!C36</f>
        <v>50</v>
      </c>
      <c r="D126" t="e">
        <f>MATCH(A126,'Production Runs'!$A$1:$A$26,FALSE)</f>
        <v>#N/A</v>
      </c>
      <c r="E126" s="13">
        <f>IF(ISERROR($D126),0,INT(INDEX('Production Runs'!$A$1:$G$26,$D126,4)))</f>
        <v>0</v>
      </c>
      <c r="F126" s="58">
        <f>IF(ISERROR($D126),0,INDEX('Production Runs'!$A$1:$G$26,$D126,5))</f>
        <v>0</v>
      </c>
      <c r="G126">
        <f t="shared" si="1"/>
        <v>0</v>
      </c>
    </row>
    <row r="127" spans="1:7" x14ac:dyDescent="0.25">
      <c r="A127" t="str">
        <f>'Bill of Materials'!A37&amp;"/3"</f>
        <v>FL500/3</v>
      </c>
      <c r="B127" t="str">
        <f>'Bill of Materials'!B37</f>
        <v>BS01</v>
      </c>
      <c r="C127">
        <f>'Bill of Materials'!C37</f>
        <v>12</v>
      </c>
      <c r="D127">
        <f>MATCH(A127,'Production Runs'!$A$1:$A$26,FALSE)</f>
        <v>18</v>
      </c>
      <c r="E127" s="13">
        <f>IF(ISERROR($D127),0,INT(INDEX('Production Runs'!$A$1:$G$26,$D127,4)))</f>
        <v>36621</v>
      </c>
      <c r="F127" s="58">
        <f>IF(ISERROR($D127),0,INDEX('Production Runs'!$A$1:$G$26,$D127,5))</f>
        <v>2538</v>
      </c>
      <c r="G127">
        <f t="shared" si="1"/>
        <v>30456</v>
      </c>
    </row>
    <row r="128" spans="1:7" x14ac:dyDescent="0.25">
      <c r="A128" t="str">
        <f>'Bill of Materials'!A38&amp;"/3"</f>
        <v>FL500/3</v>
      </c>
      <c r="B128" t="str">
        <f>'Bill of Materials'!B38</f>
        <v>BT500</v>
      </c>
      <c r="C128">
        <f>'Bill of Materials'!C38</f>
        <v>24</v>
      </c>
      <c r="D128">
        <f>MATCH(A128,'Production Runs'!$A$1:$A$26,FALSE)</f>
        <v>18</v>
      </c>
      <c r="E128" s="13">
        <f>IF(ISERROR($D128),0,INT(INDEX('Production Runs'!$A$1:$G$26,$D128,4)))</f>
        <v>36621</v>
      </c>
      <c r="F128" s="58">
        <f>IF(ISERROR($D128),0,INDEX('Production Runs'!$A$1:$G$26,$D128,5))</f>
        <v>2538</v>
      </c>
      <c r="G128">
        <f t="shared" si="1"/>
        <v>60912</v>
      </c>
    </row>
    <row r="129" spans="1:7" x14ac:dyDescent="0.25">
      <c r="A129" t="str">
        <f>'Bill of Materials'!A39&amp;"/3"</f>
        <v>FL500/3</v>
      </c>
      <c r="B129" t="str">
        <f>'Bill of Materials'!B39</f>
        <v>CAPS</v>
      </c>
      <c r="C129">
        <f>'Bill of Materials'!C39</f>
        <v>24</v>
      </c>
      <c r="D129">
        <f>MATCH(A129,'Production Runs'!$A$1:$A$26,FALSE)</f>
        <v>18</v>
      </c>
      <c r="E129" s="13">
        <f>IF(ISERROR($D129),0,INT(INDEX('Production Runs'!$A$1:$G$26,$D129,4)))</f>
        <v>36621</v>
      </c>
      <c r="F129" s="58">
        <f>IF(ISERROR($D129),0,INDEX('Production Runs'!$A$1:$G$26,$D129,5))</f>
        <v>2538</v>
      </c>
      <c r="G129">
        <f t="shared" si="1"/>
        <v>60912</v>
      </c>
    </row>
    <row r="130" spans="1:7" x14ac:dyDescent="0.25">
      <c r="A130" t="str">
        <f>'Bill of Materials'!A40&amp;"/3"</f>
        <v>FL500/3</v>
      </c>
      <c r="B130" t="str">
        <f>'Bill of Materials'!B40</f>
        <v>CARL</v>
      </c>
      <c r="C130">
        <f>'Bill of Materials'!C40</f>
        <v>1</v>
      </c>
      <c r="D130">
        <f>MATCH(A130,'Production Runs'!$A$1:$A$26,FALSE)</f>
        <v>18</v>
      </c>
      <c r="E130" s="13">
        <f>IF(ISERROR($D130),0,INT(INDEX('Production Runs'!$A$1:$G$26,$D130,4)))</f>
        <v>36621</v>
      </c>
      <c r="F130" s="58">
        <f>IF(ISERROR($D130),0,INDEX('Production Runs'!$A$1:$G$26,$D130,5))</f>
        <v>2538</v>
      </c>
      <c r="G130">
        <f t="shared" si="1"/>
        <v>2538</v>
      </c>
    </row>
    <row r="131" spans="1:7" x14ac:dyDescent="0.25">
      <c r="A131" t="str">
        <f>'Bill of Materials'!A41&amp;"/3"</f>
        <v>FL500/3</v>
      </c>
      <c r="B131" t="str">
        <f>'Bill of Materials'!B41</f>
        <v>ESL</v>
      </c>
      <c r="C131">
        <f>'Bill of Materials'!C41</f>
        <v>0.12</v>
      </c>
      <c r="D131">
        <f>MATCH(A131,'Production Runs'!$A$1:$A$26,FALSE)</f>
        <v>18</v>
      </c>
      <c r="E131" s="13">
        <f>IF(ISERROR($D131),0,INT(INDEX('Production Runs'!$A$1:$G$26,$D131,4)))</f>
        <v>36621</v>
      </c>
      <c r="F131" s="58">
        <f>IF(ISERROR($D131),0,INDEX('Production Runs'!$A$1:$G$26,$D131,5))</f>
        <v>2538</v>
      </c>
      <c r="G131">
        <f t="shared" si="1"/>
        <v>304.56</v>
      </c>
    </row>
    <row r="132" spans="1:7" x14ac:dyDescent="0.25">
      <c r="A132" t="str">
        <f>'Bill of Materials'!A42&amp;"/3"</f>
        <v>FL500/3</v>
      </c>
      <c r="B132" t="str">
        <f>'Bill of Materials'!B42</f>
        <v>LFL50</v>
      </c>
      <c r="C132">
        <f>'Bill of Materials'!C42</f>
        <v>26</v>
      </c>
      <c r="D132">
        <f>MATCH(A132,'Production Runs'!$A$1:$A$26,FALSE)</f>
        <v>18</v>
      </c>
      <c r="E132" s="13">
        <f>IF(ISERROR($D132),0,INT(INDEX('Production Runs'!$A$1:$G$26,$D132,4)))</f>
        <v>36621</v>
      </c>
      <c r="F132" s="58">
        <f>IF(ISERROR($D132),0,INDEX('Production Runs'!$A$1:$G$26,$D132,5))</f>
        <v>2538</v>
      </c>
      <c r="G132">
        <f t="shared" si="1"/>
        <v>65988</v>
      </c>
    </row>
    <row r="133" spans="1:7" x14ac:dyDescent="0.25">
      <c r="A133" t="str">
        <f>'Bill of Materials'!A43&amp;"/3"</f>
        <v>/3</v>
      </c>
      <c r="B133">
        <f>'Bill of Materials'!B43</f>
        <v>0</v>
      </c>
      <c r="C133">
        <f>'Bill of Materials'!C43</f>
        <v>0</v>
      </c>
      <c r="D133" t="e">
        <f>MATCH(A133,'Production Runs'!$A$1:$A$26,FALSE)</f>
        <v>#N/A</v>
      </c>
      <c r="E133" s="13">
        <f>IF(ISERROR($D133),0,INT(INDEX('Production Runs'!$A$1:$G$26,$D133,4)))</f>
        <v>0</v>
      </c>
      <c r="F133" s="58">
        <f>IF(ISERROR($D133),0,INDEX('Production Runs'!$A$1:$G$26,$D133,5))</f>
        <v>0</v>
      </c>
      <c r="G133">
        <f t="shared" si="1"/>
        <v>0</v>
      </c>
    </row>
    <row r="134" spans="1:7" x14ac:dyDescent="0.25">
      <c r="A134" t="str">
        <f>'Bill of Materials'!A44&amp;"/3"</f>
        <v>/3</v>
      </c>
      <c r="B134">
        <f>'Bill of Materials'!B44</f>
        <v>0</v>
      </c>
      <c r="C134">
        <f>'Bill of Materials'!C44</f>
        <v>0</v>
      </c>
      <c r="D134" t="e">
        <f>MATCH(A134,'Production Runs'!$A$1:$A$26,FALSE)</f>
        <v>#N/A</v>
      </c>
      <c r="E134" s="13">
        <f>IF(ISERROR($D134),0,INT(INDEX('Production Runs'!$A$1:$G$26,$D134,4)))</f>
        <v>0</v>
      </c>
      <c r="F134" s="58">
        <f>IF(ISERROR($D134),0,INDEX('Production Runs'!$A$1:$G$26,$D134,5))</f>
        <v>0</v>
      </c>
      <c r="G134">
        <f t="shared" ref="G134:G142" si="2">F134*C134</f>
        <v>0</v>
      </c>
    </row>
    <row r="135" spans="1:7" x14ac:dyDescent="0.25">
      <c r="A135" t="str">
        <f>'Bill of Materials'!A45&amp;"/3"</f>
        <v>/3</v>
      </c>
      <c r="B135">
        <f>'Bill of Materials'!B45</f>
        <v>0</v>
      </c>
      <c r="C135">
        <f>'Bill of Materials'!C45</f>
        <v>0</v>
      </c>
      <c r="D135" t="e">
        <f>MATCH(A135,'Production Runs'!$A$1:$A$26,FALSE)</f>
        <v>#N/A</v>
      </c>
      <c r="E135" s="13">
        <f>IF(ISERROR($D135),0,INT(INDEX('Production Runs'!$A$1:$G$26,$D135,4)))</f>
        <v>0</v>
      </c>
      <c r="F135" s="58">
        <f>IF(ISERROR($D135),0,INDEX('Production Runs'!$A$1:$G$26,$D135,5))</f>
        <v>0</v>
      </c>
      <c r="G135">
        <f t="shared" si="2"/>
        <v>0</v>
      </c>
    </row>
    <row r="136" spans="1:7" x14ac:dyDescent="0.25">
      <c r="A136" t="str">
        <f>'Bill of Materials'!A46&amp;"/3"</f>
        <v>/3</v>
      </c>
      <c r="B136">
        <f>'Bill of Materials'!B46</f>
        <v>0</v>
      </c>
      <c r="C136">
        <f>'Bill of Materials'!C46</f>
        <v>0</v>
      </c>
      <c r="D136" t="e">
        <f>MATCH(A136,'Production Runs'!$A$1:$A$26,FALSE)</f>
        <v>#N/A</v>
      </c>
      <c r="E136" s="13">
        <f>IF(ISERROR($D136),0,INT(INDEX('Production Runs'!$A$1:$G$26,$D136,4)))</f>
        <v>0</v>
      </c>
      <c r="F136" s="58">
        <f>IF(ISERROR($D136),0,INDEX('Production Runs'!$A$1:$G$26,$D136,5))</f>
        <v>0</v>
      </c>
      <c r="G136">
        <f t="shared" si="2"/>
        <v>0</v>
      </c>
    </row>
    <row r="137" spans="1:7" x14ac:dyDescent="0.25">
      <c r="A137" t="str">
        <f>'Bill of Materials'!A47&amp;"/3"</f>
        <v>/3</v>
      </c>
      <c r="B137">
        <f>'Bill of Materials'!B47</f>
        <v>0</v>
      </c>
      <c r="C137">
        <f>'Bill of Materials'!C47</f>
        <v>0</v>
      </c>
      <c r="D137" t="e">
        <f>MATCH(A137,'Production Runs'!$A$1:$A$26,FALSE)</f>
        <v>#N/A</v>
      </c>
      <c r="E137" s="13">
        <f>IF(ISERROR($D137),0,INT(INDEX('Production Runs'!$A$1:$G$26,$D137,4)))</f>
        <v>0</v>
      </c>
      <c r="F137" s="58">
        <f>IF(ISERROR($D137),0,INDEX('Production Runs'!$A$1:$G$26,$D137,5))</f>
        <v>0</v>
      </c>
      <c r="G137">
        <f t="shared" si="2"/>
        <v>0</v>
      </c>
    </row>
    <row r="138" spans="1:7" x14ac:dyDescent="0.25">
      <c r="A138" t="str">
        <f>'Bill of Materials'!A48&amp;"/3"</f>
        <v>/3</v>
      </c>
      <c r="B138">
        <f>'Bill of Materials'!B48</f>
        <v>0</v>
      </c>
      <c r="C138">
        <f>'Bill of Materials'!C48</f>
        <v>0</v>
      </c>
      <c r="D138" t="e">
        <f>MATCH(A138,'Production Runs'!$A$1:$A$26,FALSE)</f>
        <v>#N/A</v>
      </c>
      <c r="E138" s="13">
        <f>IF(ISERROR($D138),0,INT(INDEX('Production Runs'!$A$1:$G$26,$D138,4)))</f>
        <v>0</v>
      </c>
      <c r="F138" s="58">
        <f>IF(ISERROR($D138),0,INDEX('Production Runs'!$A$1:$G$26,$D138,5))</f>
        <v>0</v>
      </c>
      <c r="G138">
        <f t="shared" si="2"/>
        <v>0</v>
      </c>
    </row>
    <row r="139" spans="1:7" x14ac:dyDescent="0.25">
      <c r="A139" t="str">
        <f>'Bill of Materials'!A49&amp;"/3"</f>
        <v>/3</v>
      </c>
      <c r="B139">
        <f>'Bill of Materials'!B49</f>
        <v>0</v>
      </c>
      <c r="C139">
        <f>'Bill of Materials'!C49</f>
        <v>0</v>
      </c>
      <c r="D139" t="e">
        <f>MATCH(A139,'Production Runs'!$A$1:$A$26,FALSE)</f>
        <v>#N/A</v>
      </c>
      <c r="E139" s="13">
        <f>IF(ISERROR($D139),0,INT(INDEX('Production Runs'!$A$1:$G$26,$D139,4)))</f>
        <v>0</v>
      </c>
      <c r="F139" s="58">
        <f>IF(ISERROR($D139),0,INDEX('Production Runs'!$A$1:$G$26,$D139,5))</f>
        <v>0</v>
      </c>
      <c r="G139">
        <f t="shared" si="2"/>
        <v>0</v>
      </c>
    </row>
    <row r="140" spans="1:7" x14ac:dyDescent="0.25">
      <c r="A140" t="str">
        <f>'Bill of Materials'!A50&amp;"/3"</f>
        <v>/3</v>
      </c>
      <c r="B140">
        <f>'Bill of Materials'!B50</f>
        <v>0</v>
      </c>
      <c r="C140">
        <f>'Bill of Materials'!C50</f>
        <v>0</v>
      </c>
      <c r="D140" t="e">
        <f>MATCH(A140,'Production Runs'!$A$1:$A$26,FALSE)</f>
        <v>#N/A</v>
      </c>
      <c r="E140" s="13">
        <f>IF(ISERROR($D140),0,INT(INDEX('Production Runs'!$A$1:$G$26,$D140,4)))</f>
        <v>0</v>
      </c>
      <c r="F140" s="58">
        <f>IF(ISERROR($D140),0,INDEX('Production Runs'!$A$1:$G$26,$D140,5))</f>
        <v>0</v>
      </c>
      <c r="G140">
        <f t="shared" si="2"/>
        <v>0</v>
      </c>
    </row>
    <row r="141" spans="1:7" x14ac:dyDescent="0.25">
      <c r="A141" t="str">
        <f>'Bill of Materials'!A51&amp;"/3"</f>
        <v>/3</v>
      </c>
      <c r="B141">
        <f>'Bill of Materials'!B51</f>
        <v>0</v>
      </c>
      <c r="C141">
        <f>'Bill of Materials'!C51</f>
        <v>0</v>
      </c>
      <c r="D141" t="e">
        <f>MATCH(A141,'Production Runs'!$A$1:$A$26,FALSE)</f>
        <v>#N/A</v>
      </c>
      <c r="E141" s="13">
        <f>IF(ISERROR($D141),0,INT(INDEX('Production Runs'!$A$1:$G$26,$D141,4)))</f>
        <v>0</v>
      </c>
      <c r="F141" s="58">
        <f>IF(ISERROR($D141),0,INDEX('Production Runs'!$A$1:$G$26,$D141,5))</f>
        <v>0</v>
      </c>
      <c r="G141">
        <f t="shared" si="2"/>
        <v>0</v>
      </c>
    </row>
    <row r="142" spans="1:7" x14ac:dyDescent="0.25">
      <c r="A142" t="str">
        <f>'Bill of Materials'!A52&amp;"/3"</f>
        <v>/3</v>
      </c>
      <c r="B142">
        <f>'Bill of Materials'!B52</f>
        <v>0</v>
      </c>
      <c r="C142">
        <f>'Bill of Materials'!C52</f>
        <v>0</v>
      </c>
      <c r="D142" t="e">
        <f>MATCH(A142,'Production Runs'!$A$1:$A$26,FALSE)</f>
        <v>#N/A</v>
      </c>
      <c r="E142" s="13">
        <f>IF(ISERROR($D142),0,INT(INDEX('Production Runs'!$A$1:$G$26,$D142,4)))</f>
        <v>0</v>
      </c>
      <c r="F142" s="58">
        <f>IF(ISERROR($D142),0,INDEX('Production Runs'!$A$1:$G$26,$D142,5))</f>
        <v>0</v>
      </c>
      <c r="G142">
        <f t="shared" si="2"/>
        <v>0</v>
      </c>
    </row>
  </sheetData>
  <pageMargins left="0.75" right="0.75" top="1" bottom="1" header="0.5" footer="0.5"/>
  <pageSetup paperSize="9" orientation="portrait" horizontalDpi="300" verticalDpi="300" r:id="rId1"/>
  <headerFooter alignWithMargins="0">
    <oddHeader>&amp;Chttp://www.production-scheduling.com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9"/>
  <sheetViews>
    <sheetView zoomScale="85" workbookViewId="0"/>
  </sheetViews>
  <sheetFormatPr defaultRowHeight="13.2" x14ac:dyDescent="0.25"/>
  <cols>
    <col min="2" max="2" width="9.5546875" bestFit="1" customWidth="1"/>
    <col min="3" max="3" width="11.33203125" bestFit="1" customWidth="1"/>
    <col min="4" max="4" width="7.109375" customWidth="1"/>
    <col min="6" max="6" width="9.5546875" bestFit="1" customWidth="1"/>
    <col min="7" max="7" width="7.33203125" customWidth="1"/>
    <col min="8" max="8" width="19.109375" customWidth="1"/>
    <col min="10" max="10" width="17.44140625" bestFit="1" customWidth="1"/>
    <col min="11" max="11" width="9.5546875" customWidth="1"/>
    <col min="12" max="12" width="10.88671875" customWidth="1"/>
  </cols>
  <sheetData>
    <row r="1" spans="1:14" x14ac:dyDescent="0.25">
      <c r="A1" t="s">
        <v>247</v>
      </c>
    </row>
    <row r="2" spans="1:14" x14ac:dyDescent="0.25">
      <c r="A2" t="s">
        <v>248</v>
      </c>
    </row>
    <row r="3" spans="1:14" x14ac:dyDescent="0.25">
      <c r="A3" t="s">
        <v>249</v>
      </c>
    </row>
    <row r="4" spans="1:14" x14ac:dyDescent="0.25">
      <c r="H4">
        <f>MATCH(H6,'Item Master'!$A$6:$AA$6,FALSE)</f>
        <v>2</v>
      </c>
      <c r="I4">
        <f>MATCH(I6,'Item Master'!$A$6:$AA$6,FALSE)</f>
        <v>5</v>
      </c>
      <c r="J4">
        <f>MATCH(J6,'Item Master'!$A$6:$AA$6,FALSE)</f>
        <v>6</v>
      </c>
      <c r="K4">
        <f>MATCH(K6,'Item Master'!$A$6:$AA$6,FALSE)</f>
        <v>8</v>
      </c>
    </row>
    <row r="5" spans="1:14" x14ac:dyDescent="0.25">
      <c r="A5" s="128" t="s">
        <v>134</v>
      </c>
      <c r="B5" s="61"/>
      <c r="C5" s="61"/>
      <c r="D5" s="62"/>
    </row>
    <row r="6" spans="1:14" ht="26.4" x14ac:dyDescent="0.25">
      <c r="A6" s="63" t="s">
        <v>99</v>
      </c>
      <c r="B6" s="63" t="s">
        <v>133</v>
      </c>
      <c r="C6" s="63" t="s">
        <v>135</v>
      </c>
      <c r="D6" s="62" t="s">
        <v>103</v>
      </c>
      <c r="E6" s="11" t="s">
        <v>99</v>
      </c>
      <c r="F6" s="11" t="s">
        <v>133</v>
      </c>
      <c r="G6" s="8" t="s">
        <v>147</v>
      </c>
      <c r="H6" s="8" t="s">
        <v>23</v>
      </c>
      <c r="I6" s="8" t="s">
        <v>47</v>
      </c>
      <c r="J6" s="8" t="s">
        <v>48</v>
      </c>
      <c r="K6" s="8" t="s">
        <v>50</v>
      </c>
      <c r="L6" s="8" t="s">
        <v>148</v>
      </c>
      <c r="M6" s="11" t="s">
        <v>149</v>
      </c>
      <c r="N6" s="11" t="s">
        <v>150</v>
      </c>
    </row>
    <row r="7" spans="1:14" x14ac:dyDescent="0.25">
      <c r="A7" s="60" t="s">
        <v>53</v>
      </c>
      <c r="B7" s="73">
        <v>36599</v>
      </c>
      <c r="C7" s="60" t="s">
        <v>141</v>
      </c>
      <c r="D7" s="65">
        <v>1320</v>
      </c>
      <c r="E7" t="str">
        <f>IF(D7,IF(ISBLANK(A7),E6,A7),"")</f>
        <v>BS01</v>
      </c>
      <c r="F7" s="13">
        <f>IF(D7,IF(ISBLANK(B7),F6,B7),"")</f>
        <v>36599</v>
      </c>
      <c r="G7">
        <f>MATCH(E7,'Item Master'!$A$1:$A$31,FALSE)</f>
        <v>13</v>
      </c>
      <c r="H7" t="str">
        <f>INDEX('Item Master'!$A$1:$H$31,$G7,H$4)</f>
        <v>Base Shampoo</v>
      </c>
      <c r="I7" t="str">
        <f>INDEX('Item Master'!$A$1:$H$31,$G7,I$4)</f>
        <v>AC01</v>
      </c>
      <c r="J7" t="str">
        <f>INDEX('Item Master'!$A$1:$H$31,$G7,J$4)</f>
        <v>Ace Chemicals</v>
      </c>
      <c r="K7" s="10">
        <f>INDEX('Item Master'!$A$1:$H$31,$G7,K$4)</f>
        <v>34276</v>
      </c>
      <c r="L7" s="10">
        <f>IF(E7=E6,L6,K7)-D7</f>
        <v>32956</v>
      </c>
      <c r="M7" s="10">
        <f>IF(L7&gt;0,0,MIN(D7,L7*-1))</f>
        <v>0</v>
      </c>
    </row>
    <row r="8" spans="1:14" x14ac:dyDescent="0.25">
      <c r="A8" s="66"/>
      <c r="B8" s="66"/>
      <c r="C8" s="74" t="s">
        <v>137</v>
      </c>
      <c r="D8" s="68">
        <v>30960</v>
      </c>
      <c r="E8" t="str">
        <f t="shared" ref="E8:E71" si="0">IF(D8,IF(ISBLANK(A8),E7,A8),"")</f>
        <v>BS01</v>
      </c>
      <c r="F8" s="13">
        <f t="shared" ref="F8:F71" si="1">IF(D8,IF(ISBLANK(B8),F7,B8),"")</f>
        <v>36599</v>
      </c>
      <c r="G8">
        <f>MATCH(E8,'Item Master'!$A$1:$A$31,FALSE)</f>
        <v>13</v>
      </c>
      <c r="H8" t="str">
        <f>INDEX('Item Master'!$A$1:$H$31,$G8,H$4)</f>
        <v>Base Shampoo</v>
      </c>
      <c r="I8" t="str">
        <f>INDEX('Item Master'!$A$1:$H$31,$G8,I$4)</f>
        <v>AC01</v>
      </c>
      <c r="J8" t="str">
        <f>INDEX('Item Master'!$A$1:$H$31,$G8,J$4)</f>
        <v>Ace Chemicals</v>
      </c>
      <c r="K8" s="10">
        <f>INDEX('Item Master'!$A$1:$H$31,$G8,K$4)</f>
        <v>34276</v>
      </c>
      <c r="L8" s="10">
        <f t="shared" ref="L8:L71" si="2">IF(E8=E7,L7,K8)-D8</f>
        <v>1996</v>
      </c>
      <c r="M8" s="10">
        <f t="shared" ref="M8:M71" si="3">IF(L8&gt;0,0,MIN(D8,L8*-1))</f>
        <v>0</v>
      </c>
    </row>
    <row r="9" spans="1:14" x14ac:dyDescent="0.25">
      <c r="A9" s="66"/>
      <c r="B9" s="73">
        <v>36600</v>
      </c>
      <c r="C9" s="60" t="s">
        <v>146</v>
      </c>
      <c r="D9" s="65">
        <v>14808</v>
      </c>
      <c r="E9" t="str">
        <f t="shared" si="0"/>
        <v>BS01</v>
      </c>
      <c r="F9" s="13">
        <f t="shared" si="1"/>
        <v>36600</v>
      </c>
      <c r="G9">
        <f>MATCH(E9,'Item Master'!$A$1:$A$31,FALSE)</f>
        <v>13</v>
      </c>
      <c r="H9" t="str">
        <f>INDEX('Item Master'!$A$1:$H$31,$G9,H$4)</f>
        <v>Base Shampoo</v>
      </c>
      <c r="I9" t="str">
        <f>INDEX('Item Master'!$A$1:$H$31,$G9,I$4)</f>
        <v>AC01</v>
      </c>
      <c r="J9" t="str">
        <f>INDEX('Item Master'!$A$1:$H$31,$G9,J$4)</f>
        <v>Ace Chemicals</v>
      </c>
      <c r="K9" s="10">
        <f>INDEX('Item Master'!$A$1:$H$31,$G9,K$4)</f>
        <v>34276</v>
      </c>
      <c r="L9" s="10">
        <f t="shared" si="2"/>
        <v>-12812</v>
      </c>
      <c r="M9" s="10">
        <f t="shared" si="3"/>
        <v>12812</v>
      </c>
    </row>
    <row r="10" spans="1:14" x14ac:dyDescent="0.25">
      <c r="A10" s="66"/>
      <c r="B10" s="73">
        <v>36602</v>
      </c>
      <c r="C10" s="60" t="s">
        <v>138</v>
      </c>
      <c r="D10" s="65">
        <v>23520</v>
      </c>
      <c r="E10" t="str">
        <f t="shared" si="0"/>
        <v>BS01</v>
      </c>
      <c r="F10" s="13">
        <f t="shared" si="1"/>
        <v>36602</v>
      </c>
      <c r="G10">
        <f>MATCH(E10,'Item Master'!$A$1:$A$31,FALSE)</f>
        <v>13</v>
      </c>
      <c r="H10" t="str">
        <f>INDEX('Item Master'!$A$1:$H$31,$G10,H$4)</f>
        <v>Base Shampoo</v>
      </c>
      <c r="I10" t="str">
        <f>INDEX('Item Master'!$A$1:$H$31,$G10,I$4)</f>
        <v>AC01</v>
      </c>
      <c r="J10" t="str">
        <f>INDEX('Item Master'!$A$1:$H$31,$G10,J$4)</f>
        <v>Ace Chemicals</v>
      </c>
      <c r="K10" s="10">
        <f>INDEX('Item Master'!$A$1:$H$31,$G10,K$4)</f>
        <v>34276</v>
      </c>
      <c r="L10" s="10">
        <f t="shared" si="2"/>
        <v>-36332</v>
      </c>
      <c r="M10" s="10">
        <f t="shared" si="3"/>
        <v>23520</v>
      </c>
    </row>
    <row r="11" spans="1:14" x14ac:dyDescent="0.25">
      <c r="A11" s="66"/>
      <c r="B11" s="73">
        <v>36603</v>
      </c>
      <c r="C11" s="60" t="s">
        <v>139</v>
      </c>
      <c r="D11" s="65">
        <v>28596</v>
      </c>
      <c r="E11" t="str">
        <f t="shared" si="0"/>
        <v>BS01</v>
      </c>
      <c r="F11" s="13">
        <f t="shared" si="1"/>
        <v>36603</v>
      </c>
      <c r="G11">
        <f>MATCH(E11,'Item Master'!$A$1:$A$31,FALSE)</f>
        <v>13</v>
      </c>
      <c r="H11" t="str">
        <f>INDEX('Item Master'!$A$1:$H$31,$G11,H$4)</f>
        <v>Base Shampoo</v>
      </c>
      <c r="I11" t="str">
        <f>INDEX('Item Master'!$A$1:$H$31,$G11,I$4)</f>
        <v>AC01</v>
      </c>
      <c r="J11" t="str">
        <f>INDEX('Item Master'!$A$1:$H$31,$G11,J$4)</f>
        <v>Ace Chemicals</v>
      </c>
      <c r="K11" s="10">
        <f>INDEX('Item Master'!$A$1:$H$31,$G11,K$4)</f>
        <v>34276</v>
      </c>
      <c r="L11" s="10">
        <f t="shared" si="2"/>
        <v>-64928</v>
      </c>
      <c r="M11" s="10">
        <f t="shared" si="3"/>
        <v>28596</v>
      </c>
    </row>
    <row r="12" spans="1:14" x14ac:dyDescent="0.25">
      <c r="A12" s="66"/>
      <c r="B12" s="73">
        <v>36608</v>
      </c>
      <c r="C12" s="60" t="s">
        <v>140</v>
      </c>
      <c r="D12" s="65">
        <v>7723.2</v>
      </c>
      <c r="E12" t="str">
        <f t="shared" si="0"/>
        <v>BS01</v>
      </c>
      <c r="F12" s="13">
        <f t="shared" si="1"/>
        <v>36608</v>
      </c>
      <c r="G12">
        <f>MATCH(E12,'Item Master'!$A$1:$A$31,FALSE)</f>
        <v>13</v>
      </c>
      <c r="H12" t="str">
        <f>INDEX('Item Master'!$A$1:$H$31,$G12,H$4)</f>
        <v>Base Shampoo</v>
      </c>
      <c r="I12" t="str">
        <f>INDEX('Item Master'!$A$1:$H$31,$G12,I$4)</f>
        <v>AC01</v>
      </c>
      <c r="J12" t="str">
        <f>INDEX('Item Master'!$A$1:$H$31,$G12,J$4)</f>
        <v>Ace Chemicals</v>
      </c>
      <c r="K12" s="10">
        <f>INDEX('Item Master'!$A$1:$H$31,$G12,K$4)</f>
        <v>34276</v>
      </c>
      <c r="L12" s="10">
        <f t="shared" si="2"/>
        <v>-72651.199999999997</v>
      </c>
      <c r="M12" s="10">
        <f t="shared" si="3"/>
        <v>7723.2</v>
      </c>
    </row>
    <row r="13" spans="1:14" x14ac:dyDescent="0.25">
      <c r="A13" s="66"/>
      <c r="B13" s="73">
        <v>36610</v>
      </c>
      <c r="C13" s="60" t="s">
        <v>142</v>
      </c>
      <c r="D13" s="65">
        <v>30456</v>
      </c>
      <c r="E13" t="str">
        <f t="shared" si="0"/>
        <v>BS01</v>
      </c>
      <c r="F13" s="13">
        <f t="shared" si="1"/>
        <v>36610</v>
      </c>
      <c r="G13">
        <f>MATCH(E13,'Item Master'!$A$1:$A$31,FALSE)</f>
        <v>13</v>
      </c>
      <c r="H13" t="str">
        <f>INDEX('Item Master'!$A$1:$H$31,$G13,H$4)</f>
        <v>Base Shampoo</v>
      </c>
      <c r="I13" t="str">
        <f>INDEX('Item Master'!$A$1:$H$31,$G13,I$4)</f>
        <v>AC01</v>
      </c>
      <c r="J13" t="str">
        <f>INDEX('Item Master'!$A$1:$H$31,$G13,J$4)</f>
        <v>Ace Chemicals</v>
      </c>
      <c r="K13" s="10">
        <f>INDEX('Item Master'!$A$1:$H$31,$G13,K$4)</f>
        <v>34276</v>
      </c>
      <c r="L13" s="10">
        <f t="shared" si="2"/>
        <v>-103107.2</v>
      </c>
      <c r="M13" s="10">
        <f t="shared" si="3"/>
        <v>30456</v>
      </c>
    </row>
    <row r="14" spans="1:14" x14ac:dyDescent="0.25">
      <c r="A14" s="66"/>
      <c r="B14" s="73">
        <v>36611</v>
      </c>
      <c r="C14" s="60" t="s">
        <v>172</v>
      </c>
      <c r="D14" s="65">
        <v>14808</v>
      </c>
      <c r="E14" t="str">
        <f t="shared" si="0"/>
        <v>BS01</v>
      </c>
      <c r="F14" s="13">
        <f t="shared" si="1"/>
        <v>36611</v>
      </c>
      <c r="G14">
        <f>MATCH(E14,'Item Master'!$A$1:$A$31,FALSE)</f>
        <v>13</v>
      </c>
      <c r="H14" t="str">
        <f>INDEX('Item Master'!$A$1:$H$31,$G14,H$4)</f>
        <v>Base Shampoo</v>
      </c>
      <c r="I14" t="str">
        <f>INDEX('Item Master'!$A$1:$H$31,$G14,I$4)</f>
        <v>AC01</v>
      </c>
      <c r="J14" t="str">
        <f>INDEX('Item Master'!$A$1:$H$31,$G14,J$4)</f>
        <v>Ace Chemicals</v>
      </c>
      <c r="K14" s="10">
        <f>INDEX('Item Master'!$A$1:$H$31,$G14,K$4)</f>
        <v>34276</v>
      </c>
      <c r="L14" s="10">
        <f t="shared" si="2"/>
        <v>-117915.2</v>
      </c>
      <c r="M14" s="10">
        <f t="shared" si="3"/>
        <v>14808</v>
      </c>
    </row>
    <row r="15" spans="1:14" x14ac:dyDescent="0.25">
      <c r="A15" s="66"/>
      <c r="B15" s="73">
        <v>36612</v>
      </c>
      <c r="C15" s="60" t="s">
        <v>136</v>
      </c>
      <c r="D15" s="65">
        <v>1459.2</v>
      </c>
      <c r="E15" t="str">
        <f t="shared" si="0"/>
        <v>BS01</v>
      </c>
      <c r="F15" s="13">
        <f t="shared" si="1"/>
        <v>36612</v>
      </c>
      <c r="G15">
        <f>MATCH(E15,'Item Master'!$A$1:$A$31,FALSE)</f>
        <v>13</v>
      </c>
      <c r="H15" t="str">
        <f>INDEX('Item Master'!$A$1:$H$31,$G15,H$4)</f>
        <v>Base Shampoo</v>
      </c>
      <c r="I15" t="str">
        <f>INDEX('Item Master'!$A$1:$H$31,$G15,I$4)</f>
        <v>AC01</v>
      </c>
      <c r="J15" t="str">
        <f>INDEX('Item Master'!$A$1:$H$31,$G15,J$4)</f>
        <v>Ace Chemicals</v>
      </c>
      <c r="K15" s="10">
        <f>INDEX('Item Master'!$A$1:$H$31,$G15,K$4)</f>
        <v>34276</v>
      </c>
      <c r="L15" s="10">
        <f t="shared" si="2"/>
        <v>-119374.39999999999</v>
      </c>
      <c r="M15" s="10">
        <f t="shared" si="3"/>
        <v>1459.2</v>
      </c>
    </row>
    <row r="16" spans="1:14" x14ac:dyDescent="0.25">
      <c r="A16" s="66"/>
      <c r="B16" s="73">
        <v>36613</v>
      </c>
      <c r="C16" s="60" t="s">
        <v>143</v>
      </c>
      <c r="D16" s="65">
        <v>23520</v>
      </c>
      <c r="E16" t="str">
        <f t="shared" si="0"/>
        <v>BS01</v>
      </c>
      <c r="F16" s="13">
        <f t="shared" si="1"/>
        <v>36613</v>
      </c>
      <c r="G16">
        <f>MATCH(E16,'Item Master'!$A$1:$A$31,FALSE)</f>
        <v>13</v>
      </c>
      <c r="H16" t="str">
        <f>INDEX('Item Master'!$A$1:$H$31,$G16,H$4)</f>
        <v>Base Shampoo</v>
      </c>
      <c r="I16" t="str">
        <f>INDEX('Item Master'!$A$1:$H$31,$G16,I$4)</f>
        <v>AC01</v>
      </c>
      <c r="J16" t="str">
        <f>INDEX('Item Master'!$A$1:$H$31,$G16,J$4)</f>
        <v>Ace Chemicals</v>
      </c>
      <c r="K16" s="10">
        <f>INDEX('Item Master'!$A$1:$H$31,$G16,K$4)</f>
        <v>34276</v>
      </c>
      <c r="L16" s="10">
        <f t="shared" si="2"/>
        <v>-142894.39999999999</v>
      </c>
      <c r="M16" s="10">
        <f t="shared" si="3"/>
        <v>23520</v>
      </c>
    </row>
    <row r="17" spans="1:13" x14ac:dyDescent="0.25">
      <c r="A17" s="66"/>
      <c r="B17" s="73">
        <v>36615</v>
      </c>
      <c r="C17" s="60" t="s">
        <v>144</v>
      </c>
      <c r="D17" s="65">
        <v>27852</v>
      </c>
      <c r="E17" t="str">
        <f t="shared" si="0"/>
        <v>BS01</v>
      </c>
      <c r="F17" s="13">
        <f t="shared" si="1"/>
        <v>36615</v>
      </c>
      <c r="G17">
        <f>MATCH(E17,'Item Master'!$A$1:$A$31,FALSE)</f>
        <v>13</v>
      </c>
      <c r="H17" t="str">
        <f>INDEX('Item Master'!$A$1:$H$31,$G17,H$4)</f>
        <v>Base Shampoo</v>
      </c>
      <c r="I17" t="str">
        <f>INDEX('Item Master'!$A$1:$H$31,$G17,I$4)</f>
        <v>AC01</v>
      </c>
      <c r="J17" t="str">
        <f>INDEX('Item Master'!$A$1:$H$31,$G17,J$4)</f>
        <v>Ace Chemicals</v>
      </c>
      <c r="K17" s="10">
        <f>INDEX('Item Master'!$A$1:$H$31,$G17,K$4)</f>
        <v>34276</v>
      </c>
      <c r="L17" s="10">
        <f t="shared" si="2"/>
        <v>-170746.4</v>
      </c>
      <c r="M17" s="10">
        <f t="shared" si="3"/>
        <v>27852</v>
      </c>
    </row>
    <row r="18" spans="1:13" x14ac:dyDescent="0.25">
      <c r="A18" s="66"/>
      <c r="B18" s="73">
        <v>36620</v>
      </c>
      <c r="C18" s="60" t="s">
        <v>145</v>
      </c>
      <c r="D18" s="65">
        <v>7723.2</v>
      </c>
      <c r="E18" t="str">
        <f t="shared" si="0"/>
        <v>BS01</v>
      </c>
      <c r="F18" s="13">
        <f t="shared" si="1"/>
        <v>36620</v>
      </c>
      <c r="G18">
        <f>MATCH(E18,'Item Master'!$A$1:$A$31,FALSE)</f>
        <v>13</v>
      </c>
      <c r="H18" t="str">
        <f>INDEX('Item Master'!$A$1:$H$31,$G18,H$4)</f>
        <v>Base Shampoo</v>
      </c>
      <c r="I18" t="str">
        <f>INDEX('Item Master'!$A$1:$H$31,$G18,I$4)</f>
        <v>AC01</v>
      </c>
      <c r="J18" t="str">
        <f>INDEX('Item Master'!$A$1:$H$31,$G18,J$4)</f>
        <v>Ace Chemicals</v>
      </c>
      <c r="K18" s="10">
        <f>INDEX('Item Master'!$A$1:$H$31,$G18,K$4)</f>
        <v>34276</v>
      </c>
      <c r="L18" s="10">
        <f t="shared" si="2"/>
        <v>-178469.6</v>
      </c>
      <c r="M18" s="10">
        <f t="shared" si="3"/>
        <v>7723.2</v>
      </c>
    </row>
    <row r="19" spans="1:13" x14ac:dyDescent="0.25">
      <c r="A19" s="66"/>
      <c r="B19" s="73">
        <v>36621</v>
      </c>
      <c r="C19" s="60" t="s">
        <v>173</v>
      </c>
      <c r="D19" s="65">
        <v>30456</v>
      </c>
      <c r="E19" t="str">
        <f t="shared" si="0"/>
        <v>BS01</v>
      </c>
      <c r="F19" s="13">
        <f t="shared" si="1"/>
        <v>36621</v>
      </c>
      <c r="G19">
        <f>MATCH(E19,'Item Master'!$A$1:$A$31,FALSE)</f>
        <v>13</v>
      </c>
      <c r="H19" t="str">
        <f>INDEX('Item Master'!$A$1:$H$31,$G19,H$4)</f>
        <v>Base Shampoo</v>
      </c>
      <c r="I19" t="str">
        <f>INDEX('Item Master'!$A$1:$H$31,$G19,I$4)</f>
        <v>AC01</v>
      </c>
      <c r="J19" t="str">
        <f>INDEX('Item Master'!$A$1:$H$31,$G19,J$4)</f>
        <v>Ace Chemicals</v>
      </c>
      <c r="K19" s="10">
        <f>INDEX('Item Master'!$A$1:$H$31,$G19,K$4)</f>
        <v>34276</v>
      </c>
      <c r="L19" s="10">
        <f t="shared" si="2"/>
        <v>-208925.6</v>
      </c>
      <c r="M19" s="10">
        <f t="shared" si="3"/>
        <v>30456</v>
      </c>
    </row>
    <row r="20" spans="1:13" x14ac:dyDescent="0.25">
      <c r="A20" s="60" t="s">
        <v>63</v>
      </c>
      <c r="B20" s="73">
        <v>36608</v>
      </c>
      <c r="C20" s="60" t="s">
        <v>140</v>
      </c>
      <c r="D20" s="65">
        <v>77232</v>
      </c>
      <c r="E20" t="str">
        <f t="shared" si="0"/>
        <v>BT100</v>
      </c>
      <c r="F20" s="13">
        <f t="shared" si="1"/>
        <v>36608</v>
      </c>
      <c r="G20">
        <f>MATCH(E20,'Item Master'!$A$1:$A$31,FALSE)</f>
        <v>16</v>
      </c>
      <c r="H20" t="str">
        <f>INDEX('Item Master'!$A$1:$H$31,$G20,H$4)</f>
        <v>Bottle 100ml</v>
      </c>
      <c r="I20" t="str">
        <f>INDEX('Item Master'!$A$1:$H$31,$G20,I$4)</f>
        <v>BP01</v>
      </c>
      <c r="J20" t="str">
        <f>INDEX('Item Master'!$A$1:$H$31,$G20,J$4)</f>
        <v>Best Plastics</v>
      </c>
      <c r="K20" s="10">
        <f>INDEX('Item Master'!$A$1:$H$31,$G20,K$4)</f>
        <v>122472</v>
      </c>
      <c r="L20" s="10">
        <f t="shared" si="2"/>
        <v>45240</v>
      </c>
      <c r="M20" s="10">
        <f t="shared" si="3"/>
        <v>0</v>
      </c>
    </row>
    <row r="21" spans="1:13" x14ac:dyDescent="0.25">
      <c r="A21" s="66"/>
      <c r="B21" s="73">
        <v>36612</v>
      </c>
      <c r="C21" s="60" t="s">
        <v>136</v>
      </c>
      <c r="D21" s="65">
        <v>14592</v>
      </c>
      <c r="E21" t="str">
        <f t="shared" si="0"/>
        <v>BT100</v>
      </c>
      <c r="F21" s="13">
        <f t="shared" si="1"/>
        <v>36612</v>
      </c>
      <c r="G21">
        <f>MATCH(E21,'Item Master'!$A$1:$A$31,FALSE)</f>
        <v>16</v>
      </c>
      <c r="H21" t="str">
        <f>INDEX('Item Master'!$A$1:$H$31,$G21,H$4)</f>
        <v>Bottle 100ml</v>
      </c>
      <c r="I21" t="str">
        <f>INDEX('Item Master'!$A$1:$H$31,$G21,I$4)</f>
        <v>BP01</v>
      </c>
      <c r="J21" t="str">
        <f>INDEX('Item Master'!$A$1:$H$31,$G21,J$4)</f>
        <v>Best Plastics</v>
      </c>
      <c r="K21" s="10">
        <f>INDEX('Item Master'!$A$1:$H$31,$G21,K$4)</f>
        <v>122472</v>
      </c>
      <c r="L21" s="10">
        <f t="shared" si="2"/>
        <v>30648</v>
      </c>
      <c r="M21" s="10">
        <f t="shared" si="3"/>
        <v>0</v>
      </c>
    </row>
    <row r="22" spans="1:13" x14ac:dyDescent="0.25">
      <c r="A22" s="66"/>
      <c r="B22" s="73">
        <v>36620</v>
      </c>
      <c r="C22" s="60" t="s">
        <v>145</v>
      </c>
      <c r="D22" s="65">
        <v>77232</v>
      </c>
      <c r="E22" t="str">
        <f t="shared" si="0"/>
        <v>BT100</v>
      </c>
      <c r="F22" s="13">
        <f t="shared" si="1"/>
        <v>36620</v>
      </c>
      <c r="G22">
        <f>MATCH(E22,'Item Master'!$A$1:$A$31,FALSE)</f>
        <v>16</v>
      </c>
      <c r="H22" t="str">
        <f>INDEX('Item Master'!$A$1:$H$31,$G22,H$4)</f>
        <v>Bottle 100ml</v>
      </c>
      <c r="I22" t="str">
        <f>INDEX('Item Master'!$A$1:$H$31,$G22,I$4)</f>
        <v>BP01</v>
      </c>
      <c r="J22" t="str">
        <f>INDEX('Item Master'!$A$1:$H$31,$G22,J$4)</f>
        <v>Best Plastics</v>
      </c>
      <c r="K22" s="10">
        <f>INDEX('Item Master'!$A$1:$H$31,$G22,K$4)</f>
        <v>122472</v>
      </c>
      <c r="L22" s="10">
        <f t="shared" si="2"/>
        <v>-46584</v>
      </c>
      <c r="M22" s="10">
        <f t="shared" si="3"/>
        <v>46584</v>
      </c>
    </row>
    <row r="23" spans="1:13" x14ac:dyDescent="0.25">
      <c r="A23" s="60" t="s">
        <v>67</v>
      </c>
      <c r="B23" s="73">
        <v>36602</v>
      </c>
      <c r="C23" s="60" t="s">
        <v>138</v>
      </c>
      <c r="D23" s="65">
        <v>94080</v>
      </c>
      <c r="E23" t="str">
        <f t="shared" si="0"/>
        <v>BT250</v>
      </c>
      <c r="F23" s="13">
        <f t="shared" si="1"/>
        <v>36602</v>
      </c>
      <c r="G23">
        <f>MATCH(E23,'Item Master'!$A$1:$A$31,FALSE)</f>
        <v>17</v>
      </c>
      <c r="H23" t="str">
        <f>INDEX('Item Master'!$A$1:$H$31,$G23,H$4)</f>
        <v>Bottle 250ml</v>
      </c>
      <c r="I23" t="str">
        <f>INDEX('Item Master'!$A$1:$H$31,$G23,I$4)</f>
        <v>BP01</v>
      </c>
      <c r="J23" t="str">
        <f>INDEX('Item Master'!$A$1:$H$31,$G23,J$4)</f>
        <v>Best Plastics</v>
      </c>
      <c r="K23" s="10">
        <f>INDEX('Item Master'!$A$1:$H$31,$G23,K$4)</f>
        <v>184968</v>
      </c>
      <c r="L23" s="10">
        <f t="shared" si="2"/>
        <v>90888</v>
      </c>
      <c r="M23" s="10">
        <f t="shared" si="3"/>
        <v>0</v>
      </c>
    </row>
    <row r="24" spans="1:13" x14ac:dyDescent="0.25">
      <c r="A24" s="66"/>
      <c r="B24" s="73">
        <v>36603</v>
      </c>
      <c r="C24" s="60" t="s">
        <v>139</v>
      </c>
      <c r="D24" s="65">
        <v>114384</v>
      </c>
      <c r="E24" t="str">
        <f t="shared" si="0"/>
        <v>BT250</v>
      </c>
      <c r="F24" s="13">
        <f t="shared" si="1"/>
        <v>36603</v>
      </c>
      <c r="G24">
        <f>MATCH(E24,'Item Master'!$A$1:$A$31,FALSE)</f>
        <v>17</v>
      </c>
      <c r="H24" t="str">
        <f>INDEX('Item Master'!$A$1:$H$31,$G24,H$4)</f>
        <v>Bottle 250ml</v>
      </c>
      <c r="I24" t="str">
        <f>INDEX('Item Master'!$A$1:$H$31,$G24,I$4)</f>
        <v>BP01</v>
      </c>
      <c r="J24" t="str">
        <f>INDEX('Item Master'!$A$1:$H$31,$G24,J$4)</f>
        <v>Best Plastics</v>
      </c>
      <c r="K24" s="10">
        <f>INDEX('Item Master'!$A$1:$H$31,$G24,K$4)</f>
        <v>184968</v>
      </c>
      <c r="L24" s="10">
        <f t="shared" si="2"/>
        <v>-23496</v>
      </c>
      <c r="M24" s="10">
        <f t="shared" si="3"/>
        <v>23496</v>
      </c>
    </row>
    <row r="25" spans="1:13" x14ac:dyDescent="0.25">
      <c r="A25" s="66"/>
      <c r="B25" s="73">
        <v>36613</v>
      </c>
      <c r="C25" s="60" t="s">
        <v>143</v>
      </c>
      <c r="D25" s="65">
        <v>94080</v>
      </c>
      <c r="E25" t="str">
        <f t="shared" si="0"/>
        <v>BT250</v>
      </c>
      <c r="F25" s="13">
        <f t="shared" si="1"/>
        <v>36613</v>
      </c>
      <c r="G25">
        <f>MATCH(E25,'Item Master'!$A$1:$A$31,FALSE)</f>
        <v>17</v>
      </c>
      <c r="H25" t="str">
        <f>INDEX('Item Master'!$A$1:$H$31,$G25,H$4)</f>
        <v>Bottle 250ml</v>
      </c>
      <c r="I25" t="str">
        <f>INDEX('Item Master'!$A$1:$H$31,$G25,I$4)</f>
        <v>BP01</v>
      </c>
      <c r="J25" t="str">
        <f>INDEX('Item Master'!$A$1:$H$31,$G25,J$4)</f>
        <v>Best Plastics</v>
      </c>
      <c r="K25" s="10">
        <f>INDEX('Item Master'!$A$1:$H$31,$G25,K$4)</f>
        <v>184968</v>
      </c>
      <c r="L25" s="10">
        <f t="shared" si="2"/>
        <v>-117576</v>
      </c>
      <c r="M25" s="10">
        <f t="shared" si="3"/>
        <v>94080</v>
      </c>
    </row>
    <row r="26" spans="1:13" x14ac:dyDescent="0.25">
      <c r="A26" s="66"/>
      <c r="B26" s="73">
        <v>36615</v>
      </c>
      <c r="C26" s="60" t="s">
        <v>144</v>
      </c>
      <c r="D26" s="65">
        <v>111408</v>
      </c>
      <c r="E26" t="str">
        <f t="shared" si="0"/>
        <v>BT250</v>
      </c>
      <c r="F26" s="13">
        <f t="shared" si="1"/>
        <v>36615</v>
      </c>
      <c r="G26">
        <f>MATCH(E26,'Item Master'!$A$1:$A$31,FALSE)</f>
        <v>17</v>
      </c>
      <c r="H26" t="str">
        <f>INDEX('Item Master'!$A$1:$H$31,$G26,H$4)</f>
        <v>Bottle 250ml</v>
      </c>
      <c r="I26" t="str">
        <f>INDEX('Item Master'!$A$1:$H$31,$G26,I$4)</f>
        <v>BP01</v>
      </c>
      <c r="J26" t="str">
        <f>INDEX('Item Master'!$A$1:$H$31,$G26,J$4)</f>
        <v>Best Plastics</v>
      </c>
      <c r="K26" s="10">
        <f>INDEX('Item Master'!$A$1:$H$31,$G26,K$4)</f>
        <v>184968</v>
      </c>
      <c r="L26" s="10">
        <f t="shared" si="2"/>
        <v>-228984</v>
      </c>
      <c r="M26" s="10">
        <f t="shared" si="3"/>
        <v>111408</v>
      </c>
    </row>
    <row r="27" spans="1:13" x14ac:dyDescent="0.25">
      <c r="A27" s="60" t="s">
        <v>69</v>
      </c>
      <c r="B27" s="73">
        <v>36599</v>
      </c>
      <c r="C27" s="60" t="s">
        <v>141</v>
      </c>
      <c r="D27" s="65">
        <v>2640</v>
      </c>
      <c r="E27" t="str">
        <f t="shared" si="0"/>
        <v>BT500</v>
      </c>
      <c r="F27" s="13">
        <f t="shared" si="1"/>
        <v>36599</v>
      </c>
      <c r="G27">
        <f>MATCH(E27,'Item Master'!$A$1:$A$31,FALSE)</f>
        <v>18</v>
      </c>
      <c r="H27" t="str">
        <f>INDEX('Item Master'!$A$1:$H$31,$G27,H$4)</f>
        <v>Bottle 500ml</v>
      </c>
      <c r="I27" t="str">
        <f>INDEX('Item Master'!$A$1:$H$31,$G27,I$4)</f>
        <v>BP01</v>
      </c>
      <c r="J27" t="str">
        <f>INDEX('Item Master'!$A$1:$H$31,$G27,J$4)</f>
        <v>Best Plastics</v>
      </c>
      <c r="K27" s="10">
        <f>INDEX('Item Master'!$A$1:$H$31,$G27,K$4)</f>
        <v>36516</v>
      </c>
      <c r="L27" s="10">
        <f t="shared" si="2"/>
        <v>33876</v>
      </c>
      <c r="M27" s="10">
        <f t="shared" si="3"/>
        <v>0</v>
      </c>
    </row>
    <row r="28" spans="1:13" x14ac:dyDescent="0.25">
      <c r="A28" s="66"/>
      <c r="B28" s="66"/>
      <c r="C28" s="74" t="s">
        <v>137</v>
      </c>
      <c r="D28" s="68">
        <v>61920</v>
      </c>
      <c r="E28" t="str">
        <f t="shared" si="0"/>
        <v>BT500</v>
      </c>
      <c r="F28" s="13">
        <f t="shared" si="1"/>
        <v>36599</v>
      </c>
      <c r="G28">
        <f>MATCH(E28,'Item Master'!$A$1:$A$31,FALSE)</f>
        <v>18</v>
      </c>
      <c r="H28" t="str">
        <f>INDEX('Item Master'!$A$1:$H$31,$G28,H$4)</f>
        <v>Bottle 500ml</v>
      </c>
      <c r="I28" t="str">
        <f>INDEX('Item Master'!$A$1:$H$31,$G28,I$4)</f>
        <v>BP01</v>
      </c>
      <c r="J28" t="str">
        <f>INDEX('Item Master'!$A$1:$H$31,$G28,J$4)</f>
        <v>Best Plastics</v>
      </c>
      <c r="K28" s="10">
        <f>INDEX('Item Master'!$A$1:$H$31,$G28,K$4)</f>
        <v>36516</v>
      </c>
      <c r="L28" s="10">
        <f t="shared" si="2"/>
        <v>-28044</v>
      </c>
      <c r="M28" s="10">
        <f t="shared" si="3"/>
        <v>28044</v>
      </c>
    </row>
    <row r="29" spans="1:13" x14ac:dyDescent="0.25">
      <c r="A29" s="66"/>
      <c r="B29" s="73">
        <v>36600</v>
      </c>
      <c r="C29" s="60" t="s">
        <v>146</v>
      </c>
      <c r="D29" s="65">
        <v>29616</v>
      </c>
      <c r="E29" t="str">
        <f t="shared" si="0"/>
        <v>BT500</v>
      </c>
      <c r="F29" s="13">
        <f t="shared" si="1"/>
        <v>36600</v>
      </c>
      <c r="G29">
        <f>MATCH(E29,'Item Master'!$A$1:$A$31,FALSE)</f>
        <v>18</v>
      </c>
      <c r="H29" t="str">
        <f>INDEX('Item Master'!$A$1:$H$31,$G29,H$4)</f>
        <v>Bottle 500ml</v>
      </c>
      <c r="I29" t="str">
        <f>INDEX('Item Master'!$A$1:$H$31,$G29,I$4)</f>
        <v>BP01</v>
      </c>
      <c r="J29" t="str">
        <f>INDEX('Item Master'!$A$1:$H$31,$G29,J$4)</f>
        <v>Best Plastics</v>
      </c>
      <c r="K29" s="10">
        <f>INDEX('Item Master'!$A$1:$H$31,$G29,K$4)</f>
        <v>36516</v>
      </c>
      <c r="L29" s="10">
        <f t="shared" si="2"/>
        <v>-57660</v>
      </c>
      <c r="M29" s="10">
        <f t="shared" si="3"/>
        <v>29616</v>
      </c>
    </row>
    <row r="30" spans="1:13" x14ac:dyDescent="0.25">
      <c r="A30" s="66"/>
      <c r="B30" s="73">
        <v>36610</v>
      </c>
      <c r="C30" s="60" t="s">
        <v>142</v>
      </c>
      <c r="D30" s="65">
        <v>60912</v>
      </c>
      <c r="E30" t="str">
        <f t="shared" si="0"/>
        <v>BT500</v>
      </c>
      <c r="F30" s="13">
        <f t="shared" si="1"/>
        <v>36610</v>
      </c>
      <c r="G30">
        <f>MATCH(E30,'Item Master'!$A$1:$A$31,FALSE)</f>
        <v>18</v>
      </c>
      <c r="H30" t="str">
        <f>INDEX('Item Master'!$A$1:$H$31,$G30,H$4)</f>
        <v>Bottle 500ml</v>
      </c>
      <c r="I30" t="str">
        <f>INDEX('Item Master'!$A$1:$H$31,$G30,I$4)</f>
        <v>BP01</v>
      </c>
      <c r="J30" t="str">
        <f>INDEX('Item Master'!$A$1:$H$31,$G30,J$4)</f>
        <v>Best Plastics</v>
      </c>
      <c r="K30" s="10">
        <f>INDEX('Item Master'!$A$1:$H$31,$G30,K$4)</f>
        <v>36516</v>
      </c>
      <c r="L30" s="10">
        <f t="shared" si="2"/>
        <v>-118572</v>
      </c>
      <c r="M30" s="10">
        <f t="shared" si="3"/>
        <v>60912</v>
      </c>
    </row>
    <row r="31" spans="1:13" x14ac:dyDescent="0.25">
      <c r="A31" s="66"/>
      <c r="B31" s="73">
        <v>36611</v>
      </c>
      <c r="C31" s="60" t="s">
        <v>172</v>
      </c>
      <c r="D31" s="65">
        <v>29616</v>
      </c>
      <c r="E31" t="str">
        <f t="shared" si="0"/>
        <v>BT500</v>
      </c>
      <c r="F31" s="13">
        <f t="shared" si="1"/>
        <v>36611</v>
      </c>
      <c r="G31">
        <f>MATCH(E31,'Item Master'!$A$1:$A$31,FALSE)</f>
        <v>18</v>
      </c>
      <c r="H31" t="str">
        <f>INDEX('Item Master'!$A$1:$H$31,$G31,H$4)</f>
        <v>Bottle 500ml</v>
      </c>
      <c r="I31" t="str">
        <f>INDEX('Item Master'!$A$1:$H$31,$G31,I$4)</f>
        <v>BP01</v>
      </c>
      <c r="J31" t="str">
        <f>INDEX('Item Master'!$A$1:$H$31,$G31,J$4)</f>
        <v>Best Plastics</v>
      </c>
      <c r="K31" s="10">
        <f>INDEX('Item Master'!$A$1:$H$31,$G31,K$4)</f>
        <v>36516</v>
      </c>
      <c r="L31" s="10">
        <f t="shared" si="2"/>
        <v>-148188</v>
      </c>
      <c r="M31" s="10">
        <f t="shared" si="3"/>
        <v>29616</v>
      </c>
    </row>
    <row r="32" spans="1:13" x14ac:dyDescent="0.25">
      <c r="A32" s="66"/>
      <c r="B32" s="73">
        <v>36621</v>
      </c>
      <c r="C32" s="60" t="s">
        <v>173</v>
      </c>
      <c r="D32" s="65">
        <v>60912</v>
      </c>
      <c r="E32" t="str">
        <f t="shared" si="0"/>
        <v>BT500</v>
      </c>
      <c r="F32" s="13">
        <f t="shared" si="1"/>
        <v>36621</v>
      </c>
      <c r="G32">
        <f>MATCH(E32,'Item Master'!$A$1:$A$31,FALSE)</f>
        <v>18</v>
      </c>
      <c r="H32" t="str">
        <f>INDEX('Item Master'!$A$1:$H$31,$G32,H$4)</f>
        <v>Bottle 500ml</v>
      </c>
      <c r="I32" t="str">
        <f>INDEX('Item Master'!$A$1:$H$31,$G32,I$4)</f>
        <v>BP01</v>
      </c>
      <c r="J32" t="str">
        <f>INDEX('Item Master'!$A$1:$H$31,$G32,J$4)</f>
        <v>Best Plastics</v>
      </c>
      <c r="K32" s="10">
        <f>INDEX('Item Master'!$A$1:$H$31,$G32,K$4)</f>
        <v>36516</v>
      </c>
      <c r="L32" s="10">
        <f t="shared" si="2"/>
        <v>-209100</v>
      </c>
      <c r="M32" s="10">
        <f t="shared" si="3"/>
        <v>60912</v>
      </c>
    </row>
    <row r="33" spans="1:13" x14ac:dyDescent="0.25">
      <c r="A33" s="60" t="s">
        <v>71</v>
      </c>
      <c r="B33" s="73">
        <v>36602</v>
      </c>
      <c r="C33" s="60" t="s">
        <v>138</v>
      </c>
      <c r="D33" s="65">
        <v>94080</v>
      </c>
      <c r="E33" t="str">
        <f t="shared" si="0"/>
        <v>CAPF</v>
      </c>
      <c r="F33" s="13">
        <f t="shared" si="1"/>
        <v>36602</v>
      </c>
      <c r="G33">
        <f>MATCH(E33,'Item Master'!$A$1:$A$31,FALSE)</f>
        <v>19</v>
      </c>
      <c r="H33" t="str">
        <f>INDEX('Item Master'!$A$1:$H$31,$G33,H$4)</f>
        <v>Flip cap</v>
      </c>
      <c r="I33" t="str">
        <f>INDEX('Item Master'!$A$1:$H$31,$G33,I$4)</f>
        <v>BP01</v>
      </c>
      <c r="J33" t="str">
        <f>INDEX('Item Master'!$A$1:$H$31,$G33,J$4)</f>
        <v>Best Plastics</v>
      </c>
      <c r="K33" s="10">
        <f>INDEX('Item Master'!$A$1:$H$31,$G33,K$4)</f>
        <v>65738</v>
      </c>
      <c r="L33" s="10">
        <f t="shared" si="2"/>
        <v>-28342</v>
      </c>
      <c r="M33" s="10">
        <f t="shared" si="3"/>
        <v>28342</v>
      </c>
    </row>
    <row r="34" spans="1:13" x14ac:dyDescent="0.25">
      <c r="A34" s="66"/>
      <c r="B34" s="73">
        <v>36603</v>
      </c>
      <c r="C34" s="60" t="s">
        <v>139</v>
      </c>
      <c r="D34" s="65">
        <v>114384</v>
      </c>
      <c r="E34" t="str">
        <f t="shared" si="0"/>
        <v>CAPF</v>
      </c>
      <c r="F34" s="13">
        <f t="shared" si="1"/>
        <v>36603</v>
      </c>
      <c r="G34">
        <f>MATCH(E34,'Item Master'!$A$1:$A$31,FALSE)</f>
        <v>19</v>
      </c>
      <c r="H34" t="str">
        <f>INDEX('Item Master'!$A$1:$H$31,$G34,H$4)</f>
        <v>Flip cap</v>
      </c>
      <c r="I34" t="str">
        <f>INDEX('Item Master'!$A$1:$H$31,$G34,I$4)</f>
        <v>BP01</v>
      </c>
      <c r="J34" t="str">
        <f>INDEX('Item Master'!$A$1:$H$31,$G34,J$4)</f>
        <v>Best Plastics</v>
      </c>
      <c r="K34" s="10">
        <f>INDEX('Item Master'!$A$1:$H$31,$G34,K$4)</f>
        <v>65738</v>
      </c>
      <c r="L34" s="10">
        <f t="shared" si="2"/>
        <v>-142726</v>
      </c>
      <c r="M34" s="10">
        <f t="shared" si="3"/>
        <v>114384</v>
      </c>
    </row>
    <row r="35" spans="1:13" x14ac:dyDescent="0.25">
      <c r="A35" s="66"/>
      <c r="B35" s="73">
        <v>36608</v>
      </c>
      <c r="C35" s="60" t="s">
        <v>140</v>
      </c>
      <c r="D35" s="65">
        <v>77232</v>
      </c>
      <c r="E35" t="str">
        <f t="shared" si="0"/>
        <v>CAPF</v>
      </c>
      <c r="F35" s="13">
        <f t="shared" si="1"/>
        <v>36608</v>
      </c>
      <c r="G35">
        <f>MATCH(E35,'Item Master'!$A$1:$A$31,FALSE)</f>
        <v>19</v>
      </c>
      <c r="H35" t="str">
        <f>INDEX('Item Master'!$A$1:$H$31,$G35,H$4)</f>
        <v>Flip cap</v>
      </c>
      <c r="I35" t="str">
        <f>INDEX('Item Master'!$A$1:$H$31,$G35,I$4)</f>
        <v>BP01</v>
      </c>
      <c r="J35" t="str">
        <f>INDEX('Item Master'!$A$1:$H$31,$G35,J$4)</f>
        <v>Best Plastics</v>
      </c>
      <c r="K35" s="10">
        <f>INDEX('Item Master'!$A$1:$H$31,$G35,K$4)</f>
        <v>65738</v>
      </c>
      <c r="L35" s="10">
        <f t="shared" si="2"/>
        <v>-219958</v>
      </c>
      <c r="M35" s="10">
        <f t="shared" si="3"/>
        <v>77232</v>
      </c>
    </row>
    <row r="36" spans="1:13" x14ac:dyDescent="0.25">
      <c r="A36" s="66"/>
      <c r="B36" s="73">
        <v>36612</v>
      </c>
      <c r="C36" s="60" t="s">
        <v>136</v>
      </c>
      <c r="D36" s="65">
        <v>14592</v>
      </c>
      <c r="E36" t="str">
        <f t="shared" si="0"/>
        <v>CAPF</v>
      </c>
      <c r="F36" s="13">
        <f t="shared" si="1"/>
        <v>36612</v>
      </c>
      <c r="G36">
        <f>MATCH(E36,'Item Master'!$A$1:$A$31,FALSE)</f>
        <v>19</v>
      </c>
      <c r="H36" t="str">
        <f>INDEX('Item Master'!$A$1:$H$31,$G36,H$4)</f>
        <v>Flip cap</v>
      </c>
      <c r="I36" t="str">
        <f>INDEX('Item Master'!$A$1:$H$31,$G36,I$4)</f>
        <v>BP01</v>
      </c>
      <c r="J36" t="str">
        <f>INDEX('Item Master'!$A$1:$H$31,$G36,J$4)</f>
        <v>Best Plastics</v>
      </c>
      <c r="K36" s="10">
        <f>INDEX('Item Master'!$A$1:$H$31,$G36,K$4)</f>
        <v>65738</v>
      </c>
      <c r="L36" s="10">
        <f t="shared" si="2"/>
        <v>-234550</v>
      </c>
      <c r="M36" s="10">
        <f t="shared" si="3"/>
        <v>14592</v>
      </c>
    </row>
    <row r="37" spans="1:13" x14ac:dyDescent="0.25">
      <c r="A37" s="66"/>
      <c r="B37" s="73">
        <v>36613</v>
      </c>
      <c r="C37" s="60" t="s">
        <v>143</v>
      </c>
      <c r="D37" s="65">
        <v>94080</v>
      </c>
      <c r="E37" t="str">
        <f t="shared" si="0"/>
        <v>CAPF</v>
      </c>
      <c r="F37" s="13">
        <f t="shared" si="1"/>
        <v>36613</v>
      </c>
      <c r="G37">
        <f>MATCH(E37,'Item Master'!$A$1:$A$31,FALSE)</f>
        <v>19</v>
      </c>
      <c r="H37" t="str">
        <f>INDEX('Item Master'!$A$1:$H$31,$G37,H$4)</f>
        <v>Flip cap</v>
      </c>
      <c r="I37" t="str">
        <f>INDEX('Item Master'!$A$1:$H$31,$G37,I$4)</f>
        <v>BP01</v>
      </c>
      <c r="J37" t="str">
        <f>INDEX('Item Master'!$A$1:$H$31,$G37,J$4)</f>
        <v>Best Plastics</v>
      </c>
      <c r="K37" s="10">
        <f>INDEX('Item Master'!$A$1:$H$31,$G37,K$4)</f>
        <v>65738</v>
      </c>
      <c r="L37" s="10">
        <f t="shared" si="2"/>
        <v>-328630</v>
      </c>
      <c r="M37" s="10">
        <f t="shared" si="3"/>
        <v>94080</v>
      </c>
    </row>
    <row r="38" spans="1:13" x14ac:dyDescent="0.25">
      <c r="A38" s="66"/>
      <c r="B38" s="73">
        <v>36615</v>
      </c>
      <c r="C38" s="60" t="s">
        <v>144</v>
      </c>
      <c r="D38" s="65">
        <v>111408</v>
      </c>
      <c r="E38" t="str">
        <f t="shared" si="0"/>
        <v>CAPF</v>
      </c>
      <c r="F38" s="13">
        <f t="shared" si="1"/>
        <v>36615</v>
      </c>
      <c r="G38">
        <f>MATCH(E38,'Item Master'!$A$1:$A$31,FALSE)</f>
        <v>19</v>
      </c>
      <c r="H38" t="str">
        <f>INDEX('Item Master'!$A$1:$H$31,$G38,H$4)</f>
        <v>Flip cap</v>
      </c>
      <c r="I38" t="str">
        <f>INDEX('Item Master'!$A$1:$H$31,$G38,I$4)</f>
        <v>BP01</v>
      </c>
      <c r="J38" t="str">
        <f>INDEX('Item Master'!$A$1:$H$31,$G38,J$4)</f>
        <v>Best Plastics</v>
      </c>
      <c r="K38" s="10">
        <f>INDEX('Item Master'!$A$1:$H$31,$G38,K$4)</f>
        <v>65738</v>
      </c>
      <c r="L38" s="10">
        <f t="shared" si="2"/>
        <v>-440038</v>
      </c>
      <c r="M38" s="10">
        <f t="shared" si="3"/>
        <v>111408</v>
      </c>
    </row>
    <row r="39" spans="1:13" x14ac:dyDescent="0.25">
      <c r="A39" s="66"/>
      <c r="B39" s="73">
        <v>36620</v>
      </c>
      <c r="C39" s="60" t="s">
        <v>145</v>
      </c>
      <c r="D39" s="65">
        <v>77232</v>
      </c>
      <c r="E39" t="str">
        <f t="shared" si="0"/>
        <v>CAPF</v>
      </c>
      <c r="F39" s="13">
        <f t="shared" si="1"/>
        <v>36620</v>
      </c>
      <c r="G39">
        <f>MATCH(E39,'Item Master'!$A$1:$A$31,FALSE)</f>
        <v>19</v>
      </c>
      <c r="H39" t="str">
        <f>INDEX('Item Master'!$A$1:$H$31,$G39,H$4)</f>
        <v>Flip cap</v>
      </c>
      <c r="I39" t="str">
        <f>INDEX('Item Master'!$A$1:$H$31,$G39,I$4)</f>
        <v>BP01</v>
      </c>
      <c r="J39" t="str">
        <f>INDEX('Item Master'!$A$1:$H$31,$G39,J$4)</f>
        <v>Best Plastics</v>
      </c>
      <c r="K39" s="10">
        <f>INDEX('Item Master'!$A$1:$H$31,$G39,K$4)</f>
        <v>65738</v>
      </c>
      <c r="L39" s="10">
        <f t="shared" si="2"/>
        <v>-517270</v>
      </c>
      <c r="M39" s="10">
        <f t="shared" si="3"/>
        <v>77232</v>
      </c>
    </row>
    <row r="40" spans="1:13" x14ac:dyDescent="0.25">
      <c r="A40" s="60" t="s">
        <v>73</v>
      </c>
      <c r="B40" s="73">
        <v>36599</v>
      </c>
      <c r="C40" s="60" t="s">
        <v>141</v>
      </c>
      <c r="D40" s="65">
        <v>2640</v>
      </c>
      <c r="E40" t="str">
        <f t="shared" si="0"/>
        <v>CAPS</v>
      </c>
      <c r="F40" s="13">
        <f t="shared" si="1"/>
        <v>36599</v>
      </c>
      <c r="G40">
        <f>MATCH(E40,'Item Master'!$A$1:$A$31,FALSE)</f>
        <v>20</v>
      </c>
      <c r="H40" t="str">
        <f>INDEX('Item Master'!$A$1:$H$31,$G40,H$4)</f>
        <v>Screw cap</v>
      </c>
      <c r="I40" t="str">
        <f>INDEX('Item Master'!$A$1:$H$31,$G40,I$4)</f>
        <v>BP01</v>
      </c>
      <c r="J40" t="str">
        <f>INDEX('Item Master'!$A$1:$H$31,$G40,J$4)</f>
        <v>Best Plastics</v>
      </c>
      <c r="K40" s="10">
        <f>INDEX('Item Master'!$A$1:$H$31,$G40,K$4)</f>
        <v>37818</v>
      </c>
      <c r="L40" s="10">
        <f t="shared" si="2"/>
        <v>35178</v>
      </c>
      <c r="M40" s="10">
        <f t="shared" si="3"/>
        <v>0</v>
      </c>
    </row>
    <row r="41" spans="1:13" x14ac:dyDescent="0.25">
      <c r="A41" s="66"/>
      <c r="B41" s="66"/>
      <c r="C41" s="74" t="s">
        <v>137</v>
      </c>
      <c r="D41" s="68">
        <v>61920</v>
      </c>
      <c r="E41" t="str">
        <f t="shared" si="0"/>
        <v>CAPS</v>
      </c>
      <c r="F41" s="13">
        <f t="shared" si="1"/>
        <v>36599</v>
      </c>
      <c r="G41">
        <f>MATCH(E41,'Item Master'!$A$1:$A$31,FALSE)</f>
        <v>20</v>
      </c>
      <c r="H41" t="str">
        <f>INDEX('Item Master'!$A$1:$H$31,$G41,H$4)</f>
        <v>Screw cap</v>
      </c>
      <c r="I41" t="str">
        <f>INDEX('Item Master'!$A$1:$H$31,$G41,I$4)</f>
        <v>BP01</v>
      </c>
      <c r="J41" t="str">
        <f>INDEX('Item Master'!$A$1:$H$31,$G41,J$4)</f>
        <v>Best Plastics</v>
      </c>
      <c r="K41" s="10">
        <f>INDEX('Item Master'!$A$1:$H$31,$G41,K$4)</f>
        <v>37818</v>
      </c>
      <c r="L41" s="10">
        <f t="shared" si="2"/>
        <v>-26742</v>
      </c>
      <c r="M41" s="10">
        <f t="shared" si="3"/>
        <v>26742</v>
      </c>
    </row>
    <row r="42" spans="1:13" x14ac:dyDescent="0.25">
      <c r="A42" s="66"/>
      <c r="B42" s="73">
        <v>36600</v>
      </c>
      <c r="C42" s="60" t="s">
        <v>146</v>
      </c>
      <c r="D42" s="65">
        <v>29616</v>
      </c>
      <c r="E42" t="str">
        <f t="shared" si="0"/>
        <v>CAPS</v>
      </c>
      <c r="F42" s="13">
        <f t="shared" si="1"/>
        <v>36600</v>
      </c>
      <c r="G42">
        <f>MATCH(E42,'Item Master'!$A$1:$A$31,FALSE)</f>
        <v>20</v>
      </c>
      <c r="H42" t="str">
        <f>INDEX('Item Master'!$A$1:$H$31,$G42,H$4)</f>
        <v>Screw cap</v>
      </c>
      <c r="I42" t="str">
        <f>INDEX('Item Master'!$A$1:$H$31,$G42,I$4)</f>
        <v>BP01</v>
      </c>
      <c r="J42" t="str">
        <f>INDEX('Item Master'!$A$1:$H$31,$G42,J$4)</f>
        <v>Best Plastics</v>
      </c>
      <c r="K42" s="10">
        <f>INDEX('Item Master'!$A$1:$H$31,$G42,K$4)</f>
        <v>37818</v>
      </c>
      <c r="L42" s="10">
        <f t="shared" si="2"/>
        <v>-56358</v>
      </c>
      <c r="M42" s="10">
        <f t="shared" si="3"/>
        <v>29616</v>
      </c>
    </row>
    <row r="43" spans="1:13" x14ac:dyDescent="0.25">
      <c r="A43" s="66"/>
      <c r="B43" s="73">
        <v>36610</v>
      </c>
      <c r="C43" s="60" t="s">
        <v>142</v>
      </c>
      <c r="D43" s="65">
        <v>60912</v>
      </c>
      <c r="E43" t="str">
        <f t="shared" si="0"/>
        <v>CAPS</v>
      </c>
      <c r="F43" s="13">
        <f t="shared" si="1"/>
        <v>36610</v>
      </c>
      <c r="G43">
        <f>MATCH(E43,'Item Master'!$A$1:$A$31,FALSE)</f>
        <v>20</v>
      </c>
      <c r="H43" t="str">
        <f>INDEX('Item Master'!$A$1:$H$31,$G43,H$4)</f>
        <v>Screw cap</v>
      </c>
      <c r="I43" t="str">
        <f>INDEX('Item Master'!$A$1:$H$31,$G43,I$4)</f>
        <v>BP01</v>
      </c>
      <c r="J43" t="str">
        <f>INDEX('Item Master'!$A$1:$H$31,$G43,J$4)</f>
        <v>Best Plastics</v>
      </c>
      <c r="K43" s="10">
        <f>INDEX('Item Master'!$A$1:$H$31,$G43,K$4)</f>
        <v>37818</v>
      </c>
      <c r="L43" s="10">
        <f t="shared" si="2"/>
        <v>-117270</v>
      </c>
      <c r="M43" s="10">
        <f t="shared" si="3"/>
        <v>60912</v>
      </c>
    </row>
    <row r="44" spans="1:13" x14ac:dyDescent="0.25">
      <c r="A44" s="66"/>
      <c r="B44" s="73">
        <v>36611</v>
      </c>
      <c r="C44" s="60" t="s">
        <v>172</v>
      </c>
      <c r="D44" s="65">
        <v>29616</v>
      </c>
      <c r="E44" t="str">
        <f t="shared" si="0"/>
        <v>CAPS</v>
      </c>
      <c r="F44" s="13">
        <f t="shared" si="1"/>
        <v>36611</v>
      </c>
      <c r="G44">
        <f>MATCH(E44,'Item Master'!$A$1:$A$31,FALSE)</f>
        <v>20</v>
      </c>
      <c r="H44" t="str">
        <f>INDEX('Item Master'!$A$1:$H$31,$G44,H$4)</f>
        <v>Screw cap</v>
      </c>
      <c r="I44" t="str">
        <f>INDEX('Item Master'!$A$1:$H$31,$G44,I$4)</f>
        <v>BP01</v>
      </c>
      <c r="J44" t="str">
        <f>INDEX('Item Master'!$A$1:$H$31,$G44,J$4)</f>
        <v>Best Plastics</v>
      </c>
      <c r="K44" s="10">
        <f>INDEX('Item Master'!$A$1:$H$31,$G44,K$4)</f>
        <v>37818</v>
      </c>
      <c r="L44" s="10">
        <f t="shared" si="2"/>
        <v>-146886</v>
      </c>
      <c r="M44" s="10">
        <f t="shared" si="3"/>
        <v>29616</v>
      </c>
    </row>
    <row r="45" spans="1:13" x14ac:dyDescent="0.25">
      <c r="A45" s="66"/>
      <c r="B45" s="73">
        <v>36621</v>
      </c>
      <c r="C45" s="60" t="s">
        <v>173</v>
      </c>
      <c r="D45" s="65">
        <v>60912</v>
      </c>
      <c r="E45" t="str">
        <f t="shared" si="0"/>
        <v>CAPS</v>
      </c>
      <c r="F45" s="13">
        <f t="shared" si="1"/>
        <v>36621</v>
      </c>
      <c r="G45">
        <f>MATCH(E45,'Item Master'!$A$1:$A$31,FALSE)</f>
        <v>20</v>
      </c>
      <c r="H45" t="str">
        <f>INDEX('Item Master'!$A$1:$H$31,$G45,H$4)</f>
        <v>Screw cap</v>
      </c>
      <c r="I45" t="str">
        <f>INDEX('Item Master'!$A$1:$H$31,$G45,I$4)</f>
        <v>BP01</v>
      </c>
      <c r="J45" t="str">
        <f>INDEX('Item Master'!$A$1:$H$31,$G45,J$4)</f>
        <v>Best Plastics</v>
      </c>
      <c r="K45" s="10">
        <f>INDEX('Item Master'!$A$1:$H$31,$G45,K$4)</f>
        <v>37818</v>
      </c>
      <c r="L45" s="10">
        <f t="shared" si="2"/>
        <v>-207798</v>
      </c>
      <c r="M45" s="10">
        <f t="shared" si="3"/>
        <v>60912</v>
      </c>
    </row>
    <row r="46" spans="1:13" x14ac:dyDescent="0.25">
      <c r="A46" s="60" t="s">
        <v>91</v>
      </c>
      <c r="B46" s="73">
        <v>36599</v>
      </c>
      <c r="C46" s="60" t="s">
        <v>141</v>
      </c>
      <c r="D46" s="65">
        <v>110</v>
      </c>
      <c r="E46" t="str">
        <f t="shared" si="0"/>
        <v>CARL</v>
      </c>
      <c r="F46" s="13">
        <f t="shared" si="1"/>
        <v>36599</v>
      </c>
      <c r="G46">
        <f>MATCH(E46,'Item Master'!$A$1:$A$31,FALSE)</f>
        <v>28</v>
      </c>
      <c r="H46" t="str">
        <f>INDEX('Item Master'!$A$1:$H$31,$G46,H$4)</f>
        <v>Carton large</v>
      </c>
      <c r="I46" t="str">
        <f>INDEX('Item Master'!$A$1:$H$31,$G46,I$4)</f>
        <v>EC01</v>
      </c>
      <c r="J46" t="str">
        <f>INDEX('Item Master'!$A$1:$H$31,$G46,J$4)</f>
        <v>Eduardo Corrugates</v>
      </c>
      <c r="K46" s="10">
        <f>INDEX('Item Master'!$A$1:$H$31,$G46,K$4)</f>
        <v>4368</v>
      </c>
      <c r="L46" s="10">
        <f t="shared" si="2"/>
        <v>4258</v>
      </c>
      <c r="M46" s="10">
        <f t="shared" si="3"/>
        <v>0</v>
      </c>
    </row>
    <row r="47" spans="1:13" x14ac:dyDescent="0.25">
      <c r="A47" s="66"/>
      <c r="B47" s="66"/>
      <c r="C47" s="74" t="s">
        <v>137</v>
      </c>
      <c r="D47" s="68">
        <v>2580</v>
      </c>
      <c r="E47" t="str">
        <f t="shared" si="0"/>
        <v>CARL</v>
      </c>
      <c r="F47" s="13">
        <f t="shared" si="1"/>
        <v>36599</v>
      </c>
      <c r="G47">
        <f>MATCH(E47,'Item Master'!$A$1:$A$31,FALSE)</f>
        <v>28</v>
      </c>
      <c r="H47" t="str">
        <f>INDEX('Item Master'!$A$1:$H$31,$G47,H$4)</f>
        <v>Carton large</v>
      </c>
      <c r="I47" t="str">
        <f>INDEX('Item Master'!$A$1:$H$31,$G47,I$4)</f>
        <v>EC01</v>
      </c>
      <c r="J47" t="str">
        <f>INDEX('Item Master'!$A$1:$H$31,$G47,J$4)</f>
        <v>Eduardo Corrugates</v>
      </c>
      <c r="K47" s="10">
        <f>INDEX('Item Master'!$A$1:$H$31,$G47,K$4)</f>
        <v>4368</v>
      </c>
      <c r="L47" s="10">
        <f t="shared" si="2"/>
        <v>1678</v>
      </c>
      <c r="M47" s="10">
        <f t="shared" si="3"/>
        <v>0</v>
      </c>
    </row>
    <row r="48" spans="1:13" x14ac:dyDescent="0.25">
      <c r="A48" s="66"/>
      <c r="B48" s="73">
        <v>36600</v>
      </c>
      <c r="C48" s="60" t="s">
        <v>146</v>
      </c>
      <c r="D48" s="65">
        <v>1234</v>
      </c>
      <c r="E48" t="str">
        <f t="shared" si="0"/>
        <v>CARL</v>
      </c>
      <c r="F48" s="13">
        <f t="shared" si="1"/>
        <v>36600</v>
      </c>
      <c r="G48">
        <f>MATCH(E48,'Item Master'!$A$1:$A$31,FALSE)</f>
        <v>28</v>
      </c>
      <c r="H48" t="str">
        <f>INDEX('Item Master'!$A$1:$H$31,$G48,H$4)</f>
        <v>Carton large</v>
      </c>
      <c r="I48" t="str">
        <f>INDEX('Item Master'!$A$1:$H$31,$G48,I$4)</f>
        <v>EC01</v>
      </c>
      <c r="J48" t="str">
        <f>INDEX('Item Master'!$A$1:$H$31,$G48,J$4)</f>
        <v>Eduardo Corrugates</v>
      </c>
      <c r="K48" s="10">
        <f>INDEX('Item Master'!$A$1:$H$31,$G48,K$4)</f>
        <v>4368</v>
      </c>
      <c r="L48" s="10">
        <f t="shared" si="2"/>
        <v>444</v>
      </c>
      <c r="M48" s="10">
        <f t="shared" si="3"/>
        <v>0</v>
      </c>
    </row>
    <row r="49" spans="1:13" x14ac:dyDescent="0.25">
      <c r="A49" s="66"/>
      <c r="B49" s="73">
        <v>36602</v>
      </c>
      <c r="C49" s="60" t="s">
        <v>138</v>
      </c>
      <c r="D49" s="65">
        <v>1960</v>
      </c>
      <c r="E49" t="str">
        <f t="shared" si="0"/>
        <v>CARL</v>
      </c>
      <c r="F49" s="13">
        <f t="shared" si="1"/>
        <v>36602</v>
      </c>
      <c r="G49">
        <f>MATCH(E49,'Item Master'!$A$1:$A$31,FALSE)</f>
        <v>28</v>
      </c>
      <c r="H49" t="str">
        <f>INDEX('Item Master'!$A$1:$H$31,$G49,H$4)</f>
        <v>Carton large</v>
      </c>
      <c r="I49" t="str">
        <f>INDEX('Item Master'!$A$1:$H$31,$G49,I$4)</f>
        <v>EC01</v>
      </c>
      <c r="J49" t="str">
        <f>INDEX('Item Master'!$A$1:$H$31,$G49,J$4)</f>
        <v>Eduardo Corrugates</v>
      </c>
      <c r="K49" s="10">
        <f>INDEX('Item Master'!$A$1:$H$31,$G49,K$4)</f>
        <v>4368</v>
      </c>
      <c r="L49" s="10">
        <f t="shared" si="2"/>
        <v>-1516</v>
      </c>
      <c r="M49" s="10">
        <f t="shared" si="3"/>
        <v>1516</v>
      </c>
    </row>
    <row r="50" spans="1:13" x14ac:dyDescent="0.25">
      <c r="A50" s="66"/>
      <c r="B50" s="73">
        <v>36603</v>
      </c>
      <c r="C50" s="60" t="s">
        <v>139</v>
      </c>
      <c r="D50" s="65">
        <v>2383</v>
      </c>
      <c r="E50" t="str">
        <f t="shared" si="0"/>
        <v>CARL</v>
      </c>
      <c r="F50" s="13">
        <f t="shared" si="1"/>
        <v>36603</v>
      </c>
      <c r="G50">
        <f>MATCH(E50,'Item Master'!$A$1:$A$31,FALSE)</f>
        <v>28</v>
      </c>
      <c r="H50" t="str">
        <f>INDEX('Item Master'!$A$1:$H$31,$G50,H$4)</f>
        <v>Carton large</v>
      </c>
      <c r="I50" t="str">
        <f>INDEX('Item Master'!$A$1:$H$31,$G50,I$4)</f>
        <v>EC01</v>
      </c>
      <c r="J50" t="str">
        <f>INDEX('Item Master'!$A$1:$H$31,$G50,J$4)</f>
        <v>Eduardo Corrugates</v>
      </c>
      <c r="K50" s="10">
        <f>INDEX('Item Master'!$A$1:$H$31,$G50,K$4)</f>
        <v>4368</v>
      </c>
      <c r="L50" s="10">
        <f t="shared" si="2"/>
        <v>-3899</v>
      </c>
      <c r="M50" s="10">
        <f t="shared" si="3"/>
        <v>2383</v>
      </c>
    </row>
    <row r="51" spans="1:13" x14ac:dyDescent="0.25">
      <c r="A51" s="66"/>
      <c r="B51" s="73">
        <v>36610</v>
      </c>
      <c r="C51" s="60" t="s">
        <v>142</v>
      </c>
      <c r="D51" s="65">
        <v>2538</v>
      </c>
      <c r="E51" t="str">
        <f t="shared" si="0"/>
        <v>CARL</v>
      </c>
      <c r="F51" s="13">
        <f t="shared" si="1"/>
        <v>36610</v>
      </c>
      <c r="G51">
        <f>MATCH(E51,'Item Master'!$A$1:$A$31,FALSE)</f>
        <v>28</v>
      </c>
      <c r="H51" t="str">
        <f>INDEX('Item Master'!$A$1:$H$31,$G51,H$4)</f>
        <v>Carton large</v>
      </c>
      <c r="I51" t="str">
        <f>INDEX('Item Master'!$A$1:$H$31,$G51,I$4)</f>
        <v>EC01</v>
      </c>
      <c r="J51" t="str">
        <f>INDEX('Item Master'!$A$1:$H$31,$G51,J$4)</f>
        <v>Eduardo Corrugates</v>
      </c>
      <c r="K51" s="10">
        <f>INDEX('Item Master'!$A$1:$H$31,$G51,K$4)</f>
        <v>4368</v>
      </c>
      <c r="L51" s="10">
        <f t="shared" si="2"/>
        <v>-6437</v>
      </c>
      <c r="M51" s="10">
        <f t="shared" si="3"/>
        <v>2538</v>
      </c>
    </row>
    <row r="52" spans="1:13" x14ac:dyDescent="0.25">
      <c r="A52" s="66"/>
      <c r="B52" s="73">
        <v>36611</v>
      </c>
      <c r="C52" s="60" t="s">
        <v>172</v>
      </c>
      <c r="D52" s="65">
        <v>1234</v>
      </c>
      <c r="E52" t="str">
        <f t="shared" si="0"/>
        <v>CARL</v>
      </c>
      <c r="F52" s="13">
        <f t="shared" si="1"/>
        <v>36611</v>
      </c>
      <c r="G52">
        <f>MATCH(E52,'Item Master'!$A$1:$A$31,FALSE)</f>
        <v>28</v>
      </c>
      <c r="H52" t="str">
        <f>INDEX('Item Master'!$A$1:$H$31,$G52,H$4)</f>
        <v>Carton large</v>
      </c>
      <c r="I52" t="str">
        <f>INDEX('Item Master'!$A$1:$H$31,$G52,I$4)</f>
        <v>EC01</v>
      </c>
      <c r="J52" t="str">
        <f>INDEX('Item Master'!$A$1:$H$31,$G52,J$4)</f>
        <v>Eduardo Corrugates</v>
      </c>
      <c r="K52" s="10">
        <f>INDEX('Item Master'!$A$1:$H$31,$G52,K$4)</f>
        <v>4368</v>
      </c>
      <c r="L52" s="10">
        <f t="shared" si="2"/>
        <v>-7671</v>
      </c>
      <c r="M52" s="10">
        <f t="shared" si="3"/>
        <v>1234</v>
      </c>
    </row>
    <row r="53" spans="1:13" x14ac:dyDescent="0.25">
      <c r="A53" s="66"/>
      <c r="B53" s="73">
        <v>36613</v>
      </c>
      <c r="C53" s="60" t="s">
        <v>143</v>
      </c>
      <c r="D53" s="65">
        <v>1960</v>
      </c>
      <c r="E53" t="str">
        <f t="shared" si="0"/>
        <v>CARL</v>
      </c>
      <c r="F53" s="13">
        <f t="shared" si="1"/>
        <v>36613</v>
      </c>
      <c r="G53">
        <f>MATCH(E53,'Item Master'!$A$1:$A$31,FALSE)</f>
        <v>28</v>
      </c>
      <c r="H53" t="str">
        <f>INDEX('Item Master'!$A$1:$H$31,$G53,H$4)</f>
        <v>Carton large</v>
      </c>
      <c r="I53" t="str">
        <f>INDEX('Item Master'!$A$1:$H$31,$G53,I$4)</f>
        <v>EC01</v>
      </c>
      <c r="J53" t="str">
        <f>INDEX('Item Master'!$A$1:$H$31,$G53,J$4)</f>
        <v>Eduardo Corrugates</v>
      </c>
      <c r="K53" s="10">
        <f>INDEX('Item Master'!$A$1:$H$31,$G53,K$4)</f>
        <v>4368</v>
      </c>
      <c r="L53" s="10">
        <f t="shared" si="2"/>
        <v>-9631</v>
      </c>
      <c r="M53" s="10">
        <f t="shared" si="3"/>
        <v>1960</v>
      </c>
    </row>
    <row r="54" spans="1:13" x14ac:dyDescent="0.25">
      <c r="A54" s="66"/>
      <c r="B54" s="73">
        <v>36615</v>
      </c>
      <c r="C54" s="60" t="s">
        <v>144</v>
      </c>
      <c r="D54" s="65">
        <v>2321</v>
      </c>
      <c r="E54" t="str">
        <f t="shared" si="0"/>
        <v>CARL</v>
      </c>
      <c r="F54" s="13">
        <f t="shared" si="1"/>
        <v>36615</v>
      </c>
      <c r="G54">
        <f>MATCH(E54,'Item Master'!$A$1:$A$31,FALSE)</f>
        <v>28</v>
      </c>
      <c r="H54" t="str">
        <f>INDEX('Item Master'!$A$1:$H$31,$G54,H$4)</f>
        <v>Carton large</v>
      </c>
      <c r="I54" t="str">
        <f>INDEX('Item Master'!$A$1:$H$31,$G54,I$4)</f>
        <v>EC01</v>
      </c>
      <c r="J54" t="str">
        <f>INDEX('Item Master'!$A$1:$H$31,$G54,J$4)</f>
        <v>Eduardo Corrugates</v>
      </c>
      <c r="K54" s="10">
        <f>INDEX('Item Master'!$A$1:$H$31,$G54,K$4)</f>
        <v>4368</v>
      </c>
      <c r="L54" s="10">
        <f t="shared" si="2"/>
        <v>-11952</v>
      </c>
      <c r="M54" s="10">
        <f t="shared" si="3"/>
        <v>2321</v>
      </c>
    </row>
    <row r="55" spans="1:13" x14ac:dyDescent="0.25">
      <c r="A55" s="66"/>
      <c r="B55" s="73">
        <v>36621</v>
      </c>
      <c r="C55" s="60" t="s">
        <v>173</v>
      </c>
      <c r="D55" s="65">
        <v>2538</v>
      </c>
      <c r="E55" t="str">
        <f t="shared" si="0"/>
        <v>CARL</v>
      </c>
      <c r="F55" s="13">
        <f t="shared" si="1"/>
        <v>36621</v>
      </c>
      <c r="G55">
        <f>MATCH(E55,'Item Master'!$A$1:$A$31,FALSE)</f>
        <v>28</v>
      </c>
      <c r="H55" t="str">
        <f>INDEX('Item Master'!$A$1:$H$31,$G55,H$4)</f>
        <v>Carton large</v>
      </c>
      <c r="I55" t="str">
        <f>INDEX('Item Master'!$A$1:$H$31,$G55,I$4)</f>
        <v>EC01</v>
      </c>
      <c r="J55" t="str">
        <f>INDEX('Item Master'!$A$1:$H$31,$G55,J$4)</f>
        <v>Eduardo Corrugates</v>
      </c>
      <c r="K55" s="10">
        <f>INDEX('Item Master'!$A$1:$H$31,$G55,K$4)</f>
        <v>4368</v>
      </c>
      <c r="L55" s="10">
        <f t="shared" si="2"/>
        <v>-14490</v>
      </c>
      <c r="M55" s="10">
        <f t="shared" si="3"/>
        <v>2538</v>
      </c>
    </row>
    <row r="56" spans="1:13" x14ac:dyDescent="0.25">
      <c r="A56" s="60" t="s">
        <v>88</v>
      </c>
      <c r="B56" s="73">
        <v>36608</v>
      </c>
      <c r="C56" s="60" t="s">
        <v>140</v>
      </c>
      <c r="D56" s="65">
        <v>1609</v>
      </c>
      <c r="E56" t="str">
        <f t="shared" si="0"/>
        <v>CARS</v>
      </c>
      <c r="F56" s="13">
        <f t="shared" si="1"/>
        <v>36608</v>
      </c>
      <c r="G56">
        <f>MATCH(E56,'Item Master'!$A$1:$A$31,FALSE)</f>
        <v>27</v>
      </c>
      <c r="H56" t="str">
        <f>INDEX('Item Master'!$A$1:$H$31,$G56,H$4)</f>
        <v>Carton small</v>
      </c>
      <c r="I56" t="str">
        <f>INDEX('Item Master'!$A$1:$H$31,$G56,I$4)</f>
        <v>EC01</v>
      </c>
      <c r="J56" t="str">
        <f>INDEX('Item Master'!$A$1:$H$31,$G56,J$4)</f>
        <v>Eduardo Corrugates</v>
      </c>
      <c r="K56" s="10">
        <f>INDEX('Item Master'!$A$1:$H$31,$G56,K$4)</f>
        <v>998</v>
      </c>
      <c r="L56" s="10">
        <f t="shared" si="2"/>
        <v>-611</v>
      </c>
      <c r="M56" s="10">
        <f t="shared" si="3"/>
        <v>611</v>
      </c>
    </row>
    <row r="57" spans="1:13" x14ac:dyDescent="0.25">
      <c r="A57" s="66"/>
      <c r="B57" s="73">
        <v>36612</v>
      </c>
      <c r="C57" s="60" t="s">
        <v>136</v>
      </c>
      <c r="D57" s="65">
        <v>304</v>
      </c>
      <c r="E57" t="str">
        <f t="shared" si="0"/>
        <v>CARS</v>
      </c>
      <c r="F57" s="13">
        <f t="shared" si="1"/>
        <v>36612</v>
      </c>
      <c r="G57">
        <f>MATCH(E57,'Item Master'!$A$1:$A$31,FALSE)</f>
        <v>27</v>
      </c>
      <c r="H57" t="str">
        <f>INDEX('Item Master'!$A$1:$H$31,$G57,H$4)</f>
        <v>Carton small</v>
      </c>
      <c r="I57" t="str">
        <f>INDEX('Item Master'!$A$1:$H$31,$G57,I$4)</f>
        <v>EC01</v>
      </c>
      <c r="J57" t="str">
        <f>INDEX('Item Master'!$A$1:$H$31,$G57,J$4)</f>
        <v>Eduardo Corrugates</v>
      </c>
      <c r="K57" s="10">
        <f>INDEX('Item Master'!$A$1:$H$31,$G57,K$4)</f>
        <v>998</v>
      </c>
      <c r="L57" s="10">
        <f t="shared" si="2"/>
        <v>-915</v>
      </c>
      <c r="M57" s="10">
        <f t="shared" si="3"/>
        <v>304</v>
      </c>
    </row>
    <row r="58" spans="1:13" x14ac:dyDescent="0.25">
      <c r="A58" s="66"/>
      <c r="B58" s="73">
        <v>36620</v>
      </c>
      <c r="C58" s="60" t="s">
        <v>145</v>
      </c>
      <c r="D58" s="65">
        <v>1609</v>
      </c>
      <c r="E58" t="str">
        <f t="shared" si="0"/>
        <v>CARS</v>
      </c>
      <c r="F58" s="13">
        <f t="shared" si="1"/>
        <v>36620</v>
      </c>
      <c r="G58">
        <f>MATCH(E58,'Item Master'!$A$1:$A$31,FALSE)</f>
        <v>27</v>
      </c>
      <c r="H58" t="str">
        <f>INDEX('Item Master'!$A$1:$H$31,$G58,H$4)</f>
        <v>Carton small</v>
      </c>
      <c r="I58" t="str">
        <f>INDEX('Item Master'!$A$1:$H$31,$G58,I$4)</f>
        <v>EC01</v>
      </c>
      <c r="J58" t="str">
        <f>INDEX('Item Master'!$A$1:$H$31,$G58,J$4)</f>
        <v>Eduardo Corrugates</v>
      </c>
      <c r="K58" s="10">
        <f>INDEX('Item Master'!$A$1:$H$31,$G58,K$4)</f>
        <v>998</v>
      </c>
      <c r="L58" s="10">
        <f t="shared" si="2"/>
        <v>-2524</v>
      </c>
      <c r="M58" s="10">
        <f t="shared" si="3"/>
        <v>1609</v>
      </c>
    </row>
    <row r="59" spans="1:13" x14ac:dyDescent="0.25">
      <c r="A59" s="60" t="s">
        <v>58</v>
      </c>
      <c r="B59" s="73">
        <v>36599</v>
      </c>
      <c r="C59" s="60" t="s">
        <v>141</v>
      </c>
      <c r="D59" s="65">
        <v>13.2</v>
      </c>
      <c r="E59" t="str">
        <f t="shared" si="0"/>
        <v>ESA</v>
      </c>
      <c r="F59" s="13">
        <f t="shared" si="1"/>
        <v>36599</v>
      </c>
      <c r="G59">
        <f>MATCH(E59,'Item Master'!$A$1:$A$31,FALSE)</f>
        <v>14</v>
      </c>
      <c r="H59" t="str">
        <f>INDEX('Item Master'!$A$1:$H$31,$G59,H$4)</f>
        <v>Apple essence</v>
      </c>
      <c r="I59" t="str">
        <f>INDEX('Item Master'!$A$1:$H$31,$G59,I$4)</f>
        <v>CE01</v>
      </c>
      <c r="J59" t="str">
        <f>INDEX('Item Master'!$A$1:$H$31,$G59,J$4)</f>
        <v>Chang Essences</v>
      </c>
      <c r="K59" s="10">
        <f>INDEX('Item Master'!$A$1:$H$31,$G59,K$4)</f>
        <v>1494</v>
      </c>
      <c r="L59" s="10">
        <f t="shared" si="2"/>
        <v>1480.8</v>
      </c>
      <c r="M59" s="10">
        <f t="shared" si="3"/>
        <v>0</v>
      </c>
    </row>
    <row r="60" spans="1:13" x14ac:dyDescent="0.25">
      <c r="A60" s="66"/>
      <c r="B60" s="73">
        <v>36600</v>
      </c>
      <c r="C60" s="60" t="s">
        <v>146</v>
      </c>
      <c r="D60" s="65">
        <v>148.08000000000001</v>
      </c>
      <c r="E60" t="str">
        <f t="shared" si="0"/>
        <v>ESA</v>
      </c>
      <c r="F60" s="13">
        <f t="shared" si="1"/>
        <v>36600</v>
      </c>
      <c r="G60">
        <f>MATCH(E60,'Item Master'!$A$1:$A$31,FALSE)</f>
        <v>14</v>
      </c>
      <c r="H60" t="str">
        <f>INDEX('Item Master'!$A$1:$H$31,$G60,H$4)</f>
        <v>Apple essence</v>
      </c>
      <c r="I60" t="str">
        <f>INDEX('Item Master'!$A$1:$H$31,$G60,I$4)</f>
        <v>CE01</v>
      </c>
      <c r="J60" t="str">
        <f>INDEX('Item Master'!$A$1:$H$31,$G60,J$4)</f>
        <v>Chang Essences</v>
      </c>
      <c r="K60" s="10">
        <f>INDEX('Item Master'!$A$1:$H$31,$G60,K$4)</f>
        <v>1494</v>
      </c>
      <c r="L60" s="10">
        <f t="shared" si="2"/>
        <v>1332.72</v>
      </c>
      <c r="M60" s="10">
        <f t="shared" si="3"/>
        <v>0</v>
      </c>
    </row>
    <row r="61" spans="1:13" x14ac:dyDescent="0.25">
      <c r="A61" s="66"/>
      <c r="B61" s="73">
        <v>36603</v>
      </c>
      <c r="C61" s="60" t="s">
        <v>139</v>
      </c>
      <c r="D61" s="65">
        <v>285.95999999999998</v>
      </c>
      <c r="E61" t="str">
        <f t="shared" si="0"/>
        <v>ESA</v>
      </c>
      <c r="F61" s="13">
        <f t="shared" si="1"/>
        <v>36603</v>
      </c>
      <c r="G61">
        <f>MATCH(E61,'Item Master'!$A$1:$A$31,FALSE)</f>
        <v>14</v>
      </c>
      <c r="H61" t="str">
        <f>INDEX('Item Master'!$A$1:$H$31,$G61,H$4)</f>
        <v>Apple essence</v>
      </c>
      <c r="I61" t="str">
        <f>INDEX('Item Master'!$A$1:$H$31,$G61,I$4)</f>
        <v>CE01</v>
      </c>
      <c r="J61" t="str">
        <f>INDEX('Item Master'!$A$1:$H$31,$G61,J$4)</f>
        <v>Chang Essences</v>
      </c>
      <c r="K61" s="10">
        <f>INDEX('Item Master'!$A$1:$H$31,$G61,K$4)</f>
        <v>1494</v>
      </c>
      <c r="L61" s="10">
        <f t="shared" si="2"/>
        <v>1046.76</v>
      </c>
      <c r="M61" s="10">
        <f t="shared" si="3"/>
        <v>0</v>
      </c>
    </row>
    <row r="62" spans="1:13" x14ac:dyDescent="0.25">
      <c r="A62" s="66"/>
      <c r="B62" s="73">
        <v>36608</v>
      </c>
      <c r="C62" s="60" t="s">
        <v>140</v>
      </c>
      <c r="D62" s="65">
        <v>77.231999999999999</v>
      </c>
      <c r="E62" t="str">
        <f t="shared" si="0"/>
        <v>ESA</v>
      </c>
      <c r="F62" s="13">
        <f t="shared" si="1"/>
        <v>36608</v>
      </c>
      <c r="G62">
        <f>MATCH(E62,'Item Master'!$A$1:$A$31,FALSE)</f>
        <v>14</v>
      </c>
      <c r="H62" t="str">
        <f>INDEX('Item Master'!$A$1:$H$31,$G62,H$4)</f>
        <v>Apple essence</v>
      </c>
      <c r="I62" t="str">
        <f>INDEX('Item Master'!$A$1:$H$31,$G62,I$4)</f>
        <v>CE01</v>
      </c>
      <c r="J62" t="str">
        <f>INDEX('Item Master'!$A$1:$H$31,$G62,J$4)</f>
        <v>Chang Essences</v>
      </c>
      <c r="K62" s="10">
        <f>INDEX('Item Master'!$A$1:$H$31,$G62,K$4)</f>
        <v>1494</v>
      </c>
      <c r="L62" s="10">
        <f t="shared" si="2"/>
        <v>969.52800000000002</v>
      </c>
      <c r="M62" s="10">
        <f t="shared" si="3"/>
        <v>0</v>
      </c>
    </row>
    <row r="63" spans="1:13" x14ac:dyDescent="0.25">
      <c r="A63" s="66"/>
      <c r="B63" s="73">
        <v>36611</v>
      </c>
      <c r="C63" s="60" t="s">
        <v>172</v>
      </c>
      <c r="D63" s="65">
        <v>148.08000000000001</v>
      </c>
      <c r="E63" t="str">
        <f t="shared" si="0"/>
        <v>ESA</v>
      </c>
      <c r="F63" s="13">
        <f t="shared" si="1"/>
        <v>36611</v>
      </c>
      <c r="G63">
        <f>MATCH(E63,'Item Master'!$A$1:$A$31,FALSE)</f>
        <v>14</v>
      </c>
      <c r="H63" t="str">
        <f>INDEX('Item Master'!$A$1:$H$31,$G63,H$4)</f>
        <v>Apple essence</v>
      </c>
      <c r="I63" t="str">
        <f>INDEX('Item Master'!$A$1:$H$31,$G63,I$4)</f>
        <v>CE01</v>
      </c>
      <c r="J63" t="str">
        <f>INDEX('Item Master'!$A$1:$H$31,$G63,J$4)</f>
        <v>Chang Essences</v>
      </c>
      <c r="K63" s="10">
        <f>INDEX('Item Master'!$A$1:$H$31,$G63,K$4)</f>
        <v>1494</v>
      </c>
      <c r="L63" s="10">
        <f t="shared" si="2"/>
        <v>821.44799999999998</v>
      </c>
      <c r="M63" s="10">
        <f t="shared" si="3"/>
        <v>0</v>
      </c>
    </row>
    <row r="64" spans="1:13" x14ac:dyDescent="0.25">
      <c r="A64" s="66"/>
      <c r="B64" s="73">
        <v>36615</v>
      </c>
      <c r="C64" s="60" t="s">
        <v>144</v>
      </c>
      <c r="D64" s="65">
        <v>278.52</v>
      </c>
      <c r="E64" t="str">
        <f t="shared" si="0"/>
        <v>ESA</v>
      </c>
      <c r="F64" s="13">
        <f t="shared" si="1"/>
        <v>36615</v>
      </c>
      <c r="G64">
        <f>MATCH(E64,'Item Master'!$A$1:$A$31,FALSE)</f>
        <v>14</v>
      </c>
      <c r="H64" t="str">
        <f>INDEX('Item Master'!$A$1:$H$31,$G64,H$4)</f>
        <v>Apple essence</v>
      </c>
      <c r="I64" t="str">
        <f>INDEX('Item Master'!$A$1:$H$31,$G64,I$4)</f>
        <v>CE01</v>
      </c>
      <c r="J64" t="str">
        <f>INDEX('Item Master'!$A$1:$H$31,$G64,J$4)</f>
        <v>Chang Essences</v>
      </c>
      <c r="K64" s="10">
        <f>INDEX('Item Master'!$A$1:$H$31,$G64,K$4)</f>
        <v>1494</v>
      </c>
      <c r="L64" s="10">
        <f t="shared" si="2"/>
        <v>542.928</v>
      </c>
      <c r="M64" s="10">
        <f t="shared" si="3"/>
        <v>0</v>
      </c>
    </row>
    <row r="65" spans="1:13" x14ac:dyDescent="0.25">
      <c r="A65" s="66"/>
      <c r="B65" s="73">
        <v>36620</v>
      </c>
      <c r="C65" s="60" t="s">
        <v>145</v>
      </c>
      <c r="D65" s="65">
        <v>77.231999999999999</v>
      </c>
      <c r="E65" t="str">
        <f t="shared" si="0"/>
        <v>ESA</v>
      </c>
      <c r="F65" s="13">
        <f t="shared" si="1"/>
        <v>36620</v>
      </c>
      <c r="G65">
        <f>MATCH(E65,'Item Master'!$A$1:$A$31,FALSE)</f>
        <v>14</v>
      </c>
      <c r="H65" t="str">
        <f>INDEX('Item Master'!$A$1:$H$31,$G65,H$4)</f>
        <v>Apple essence</v>
      </c>
      <c r="I65" t="str">
        <f>INDEX('Item Master'!$A$1:$H$31,$G65,I$4)</f>
        <v>CE01</v>
      </c>
      <c r="J65" t="str">
        <f>INDEX('Item Master'!$A$1:$H$31,$G65,J$4)</f>
        <v>Chang Essences</v>
      </c>
      <c r="K65" s="10">
        <f>INDEX('Item Master'!$A$1:$H$31,$G65,K$4)</f>
        <v>1494</v>
      </c>
      <c r="L65" s="10">
        <f t="shared" si="2"/>
        <v>465.69600000000003</v>
      </c>
      <c r="M65" s="10">
        <f t="shared" si="3"/>
        <v>0</v>
      </c>
    </row>
    <row r="66" spans="1:13" x14ac:dyDescent="0.25">
      <c r="A66" s="60" t="s">
        <v>61</v>
      </c>
      <c r="B66" s="73">
        <v>36599</v>
      </c>
      <c r="C66" s="60" t="s">
        <v>137</v>
      </c>
      <c r="D66" s="65">
        <v>309.60000000000002</v>
      </c>
      <c r="E66" t="str">
        <f t="shared" si="0"/>
        <v>ESL</v>
      </c>
      <c r="F66" s="13">
        <f t="shared" si="1"/>
        <v>36599</v>
      </c>
      <c r="G66">
        <f>MATCH(E66,'Item Master'!$A$1:$A$31,FALSE)</f>
        <v>15</v>
      </c>
      <c r="H66" t="str">
        <f>INDEX('Item Master'!$A$1:$H$31,$G66,H$4)</f>
        <v>Lemon essence</v>
      </c>
      <c r="I66" t="str">
        <f>INDEX('Item Master'!$A$1:$H$31,$G66,I$4)</f>
        <v>CE01</v>
      </c>
      <c r="J66" t="str">
        <f>INDEX('Item Master'!$A$1:$H$31,$G66,J$4)</f>
        <v>Chang Essences</v>
      </c>
      <c r="K66" s="10">
        <f>INDEX('Item Master'!$A$1:$H$31,$G66,K$4)</f>
        <v>1002</v>
      </c>
      <c r="L66" s="10">
        <f t="shared" si="2"/>
        <v>692.4</v>
      </c>
      <c r="M66" s="10">
        <f t="shared" si="3"/>
        <v>0</v>
      </c>
    </row>
    <row r="67" spans="1:13" x14ac:dyDescent="0.25">
      <c r="A67" s="66"/>
      <c r="B67" s="73">
        <v>36602</v>
      </c>
      <c r="C67" s="60" t="s">
        <v>138</v>
      </c>
      <c r="D67" s="65">
        <v>235.2</v>
      </c>
      <c r="E67" t="str">
        <f t="shared" si="0"/>
        <v>ESL</v>
      </c>
      <c r="F67" s="13">
        <f t="shared" si="1"/>
        <v>36602</v>
      </c>
      <c r="G67">
        <f>MATCH(E67,'Item Master'!$A$1:$A$31,FALSE)</f>
        <v>15</v>
      </c>
      <c r="H67" t="str">
        <f>INDEX('Item Master'!$A$1:$H$31,$G67,H$4)</f>
        <v>Lemon essence</v>
      </c>
      <c r="I67" t="str">
        <f>INDEX('Item Master'!$A$1:$H$31,$G67,I$4)</f>
        <v>CE01</v>
      </c>
      <c r="J67" t="str">
        <f>INDEX('Item Master'!$A$1:$H$31,$G67,J$4)</f>
        <v>Chang Essences</v>
      </c>
      <c r="K67" s="10">
        <f>INDEX('Item Master'!$A$1:$H$31,$G67,K$4)</f>
        <v>1002</v>
      </c>
      <c r="L67" s="10">
        <f t="shared" si="2"/>
        <v>457.2</v>
      </c>
      <c r="M67" s="10">
        <f t="shared" si="3"/>
        <v>0</v>
      </c>
    </row>
    <row r="68" spans="1:13" x14ac:dyDescent="0.25">
      <c r="A68" s="66"/>
      <c r="B68" s="73">
        <v>36610</v>
      </c>
      <c r="C68" s="60" t="s">
        <v>142</v>
      </c>
      <c r="D68" s="65">
        <v>304.56</v>
      </c>
      <c r="E68" t="str">
        <f t="shared" si="0"/>
        <v>ESL</v>
      </c>
      <c r="F68" s="13">
        <f t="shared" si="1"/>
        <v>36610</v>
      </c>
      <c r="G68">
        <f>MATCH(E68,'Item Master'!$A$1:$A$31,FALSE)</f>
        <v>15</v>
      </c>
      <c r="H68" t="str">
        <f>INDEX('Item Master'!$A$1:$H$31,$G68,H$4)</f>
        <v>Lemon essence</v>
      </c>
      <c r="I68" t="str">
        <f>INDEX('Item Master'!$A$1:$H$31,$G68,I$4)</f>
        <v>CE01</v>
      </c>
      <c r="J68" t="str">
        <f>INDEX('Item Master'!$A$1:$H$31,$G68,J$4)</f>
        <v>Chang Essences</v>
      </c>
      <c r="K68" s="10">
        <f>INDEX('Item Master'!$A$1:$H$31,$G68,K$4)</f>
        <v>1002</v>
      </c>
      <c r="L68" s="10">
        <f t="shared" si="2"/>
        <v>152.63999999999999</v>
      </c>
      <c r="M68" s="10">
        <f t="shared" si="3"/>
        <v>0</v>
      </c>
    </row>
    <row r="69" spans="1:13" x14ac:dyDescent="0.25">
      <c r="A69" s="66"/>
      <c r="B69" s="73">
        <v>36612</v>
      </c>
      <c r="C69" s="60" t="s">
        <v>136</v>
      </c>
      <c r="D69" s="65">
        <v>14.592000000000001</v>
      </c>
      <c r="E69" t="str">
        <f t="shared" si="0"/>
        <v>ESL</v>
      </c>
      <c r="F69" s="13">
        <f t="shared" si="1"/>
        <v>36612</v>
      </c>
      <c r="G69">
        <f>MATCH(E69,'Item Master'!$A$1:$A$31,FALSE)</f>
        <v>15</v>
      </c>
      <c r="H69" t="str">
        <f>INDEX('Item Master'!$A$1:$H$31,$G69,H$4)</f>
        <v>Lemon essence</v>
      </c>
      <c r="I69" t="str">
        <f>INDEX('Item Master'!$A$1:$H$31,$G69,I$4)</f>
        <v>CE01</v>
      </c>
      <c r="J69" t="str">
        <f>INDEX('Item Master'!$A$1:$H$31,$G69,J$4)</f>
        <v>Chang Essences</v>
      </c>
      <c r="K69" s="10">
        <f>INDEX('Item Master'!$A$1:$H$31,$G69,K$4)</f>
        <v>1002</v>
      </c>
      <c r="L69" s="10">
        <f t="shared" si="2"/>
        <v>138.04799999999997</v>
      </c>
      <c r="M69" s="10">
        <f t="shared" si="3"/>
        <v>0</v>
      </c>
    </row>
    <row r="70" spans="1:13" x14ac:dyDescent="0.25">
      <c r="A70" s="66"/>
      <c r="B70" s="73">
        <v>36613</v>
      </c>
      <c r="C70" s="60" t="s">
        <v>143</v>
      </c>
      <c r="D70" s="65">
        <v>235.2</v>
      </c>
      <c r="E70" t="str">
        <f t="shared" si="0"/>
        <v>ESL</v>
      </c>
      <c r="F70" s="13">
        <f t="shared" si="1"/>
        <v>36613</v>
      </c>
      <c r="G70">
        <f>MATCH(E70,'Item Master'!$A$1:$A$31,FALSE)</f>
        <v>15</v>
      </c>
      <c r="H70" t="str">
        <f>INDEX('Item Master'!$A$1:$H$31,$G70,H$4)</f>
        <v>Lemon essence</v>
      </c>
      <c r="I70" t="str">
        <f>INDEX('Item Master'!$A$1:$H$31,$G70,I$4)</f>
        <v>CE01</v>
      </c>
      <c r="J70" t="str">
        <f>INDEX('Item Master'!$A$1:$H$31,$G70,J$4)</f>
        <v>Chang Essences</v>
      </c>
      <c r="K70" s="10">
        <f>INDEX('Item Master'!$A$1:$H$31,$G70,K$4)</f>
        <v>1002</v>
      </c>
      <c r="L70" s="10">
        <f t="shared" si="2"/>
        <v>-97.152000000000015</v>
      </c>
      <c r="M70" s="10">
        <f t="shared" si="3"/>
        <v>97.152000000000015</v>
      </c>
    </row>
    <row r="71" spans="1:13" x14ac:dyDescent="0.25">
      <c r="A71" s="66"/>
      <c r="B71" s="73">
        <v>36621</v>
      </c>
      <c r="C71" s="60" t="s">
        <v>173</v>
      </c>
      <c r="D71" s="65">
        <v>304.56</v>
      </c>
      <c r="E71" t="str">
        <f t="shared" si="0"/>
        <v>ESL</v>
      </c>
      <c r="F71" s="13">
        <f t="shared" si="1"/>
        <v>36621</v>
      </c>
      <c r="G71">
        <f>MATCH(E71,'Item Master'!$A$1:$A$31,FALSE)</f>
        <v>15</v>
      </c>
      <c r="H71" t="str">
        <f>INDEX('Item Master'!$A$1:$H$31,$G71,H$4)</f>
        <v>Lemon essence</v>
      </c>
      <c r="I71" t="str">
        <f>INDEX('Item Master'!$A$1:$H$31,$G71,I$4)</f>
        <v>CE01</v>
      </c>
      <c r="J71" t="str">
        <f>INDEX('Item Master'!$A$1:$H$31,$G71,J$4)</f>
        <v>Chang Essences</v>
      </c>
      <c r="K71" s="10">
        <f>INDEX('Item Master'!$A$1:$H$31,$G71,K$4)</f>
        <v>1002</v>
      </c>
      <c r="L71" s="10">
        <f t="shared" si="2"/>
        <v>-401.71199999999999</v>
      </c>
      <c r="M71" s="10">
        <f t="shared" si="3"/>
        <v>304.56</v>
      </c>
    </row>
    <row r="72" spans="1:13" x14ac:dyDescent="0.25">
      <c r="A72" s="60" t="s">
        <v>75</v>
      </c>
      <c r="B72" s="73">
        <v>36608</v>
      </c>
      <c r="C72" s="60" t="s">
        <v>140</v>
      </c>
      <c r="D72" s="65">
        <v>80450</v>
      </c>
      <c r="E72" t="str">
        <f t="shared" ref="E72:E135" si="4">IF(D72,IF(ISBLANK(A72),E71,A72),"")</f>
        <v>LAB10</v>
      </c>
      <c r="F72" s="13">
        <f t="shared" ref="F72:F135" si="5">IF(D72,IF(ISBLANK(B72),F71,B72),"")</f>
        <v>36608</v>
      </c>
      <c r="G72">
        <f>MATCH(E72,'Item Master'!$A$1:$A$31,FALSE)</f>
        <v>21</v>
      </c>
      <c r="H72" t="str">
        <f>INDEX('Item Master'!$A$1:$H$31,$G72,H$4)</f>
        <v>Label Apple Blossom 100ml</v>
      </c>
      <c r="I72" t="str">
        <f>INDEX('Item Master'!$A$1:$H$31,$G72,I$4)</f>
        <v>DP01</v>
      </c>
      <c r="J72" t="str">
        <f>INDEX('Item Master'!$A$1:$H$31,$G72,J$4)</f>
        <v>Dave's Printing</v>
      </c>
      <c r="K72" s="10">
        <f>INDEX('Item Master'!$A$1:$H$31,$G72,K$4)</f>
        <v>211796</v>
      </c>
      <c r="L72" s="10">
        <f t="shared" ref="L72:L135" si="6">IF(E72=E71,L71,K72)-D72</f>
        <v>131346</v>
      </c>
      <c r="M72" s="10">
        <f t="shared" ref="M72:M135" si="7">IF(L72&gt;0,0,MIN(D72,L72*-1))</f>
        <v>0</v>
      </c>
    </row>
    <row r="73" spans="1:13" x14ac:dyDescent="0.25">
      <c r="A73" s="66"/>
      <c r="B73" s="73">
        <v>36620</v>
      </c>
      <c r="C73" s="60" t="s">
        <v>145</v>
      </c>
      <c r="D73" s="65">
        <v>80450</v>
      </c>
      <c r="E73" t="str">
        <f t="shared" si="4"/>
        <v>LAB10</v>
      </c>
      <c r="F73" s="13">
        <f t="shared" si="5"/>
        <v>36620</v>
      </c>
      <c r="G73">
        <f>MATCH(E73,'Item Master'!$A$1:$A$31,FALSE)</f>
        <v>21</v>
      </c>
      <c r="H73" t="str">
        <f>INDEX('Item Master'!$A$1:$H$31,$G73,H$4)</f>
        <v>Label Apple Blossom 100ml</v>
      </c>
      <c r="I73" t="str">
        <f>INDEX('Item Master'!$A$1:$H$31,$G73,I$4)</f>
        <v>DP01</v>
      </c>
      <c r="J73" t="str">
        <f>INDEX('Item Master'!$A$1:$H$31,$G73,J$4)</f>
        <v>Dave's Printing</v>
      </c>
      <c r="K73" s="10">
        <f>INDEX('Item Master'!$A$1:$H$31,$G73,K$4)</f>
        <v>211796</v>
      </c>
      <c r="L73" s="10">
        <f t="shared" si="6"/>
        <v>50896</v>
      </c>
      <c r="M73" s="10">
        <f t="shared" si="7"/>
        <v>0</v>
      </c>
    </row>
    <row r="74" spans="1:13" x14ac:dyDescent="0.25">
      <c r="A74" s="60" t="s">
        <v>78</v>
      </c>
      <c r="B74" s="73">
        <v>36603</v>
      </c>
      <c r="C74" s="60" t="s">
        <v>139</v>
      </c>
      <c r="D74" s="65">
        <v>119150</v>
      </c>
      <c r="E74" t="str">
        <f t="shared" si="4"/>
        <v>LAB25</v>
      </c>
      <c r="F74" s="13">
        <f t="shared" si="5"/>
        <v>36603</v>
      </c>
      <c r="G74">
        <f>MATCH(E74,'Item Master'!$A$1:$A$31,FALSE)</f>
        <v>22</v>
      </c>
      <c r="H74" t="str">
        <f>INDEX('Item Master'!$A$1:$H$31,$G74,H$4)</f>
        <v>Label Apple Blossom 250ml</v>
      </c>
      <c r="I74" t="str">
        <f>INDEX('Item Master'!$A$1:$H$31,$G74,I$4)</f>
        <v>DP01</v>
      </c>
      <c r="J74" t="str">
        <f>INDEX('Item Master'!$A$1:$H$31,$G74,J$4)</f>
        <v>Dave's Printing</v>
      </c>
      <c r="K74" s="10">
        <f>INDEX('Item Master'!$A$1:$H$31,$G74,K$4)</f>
        <v>266776</v>
      </c>
      <c r="L74" s="10">
        <f t="shared" si="6"/>
        <v>147626</v>
      </c>
      <c r="M74" s="10">
        <f t="shared" si="7"/>
        <v>0</v>
      </c>
    </row>
    <row r="75" spans="1:13" x14ac:dyDescent="0.25">
      <c r="A75" s="66"/>
      <c r="B75" s="73">
        <v>36615</v>
      </c>
      <c r="C75" s="60" t="s">
        <v>144</v>
      </c>
      <c r="D75" s="65">
        <v>116050</v>
      </c>
      <c r="E75" t="str">
        <f t="shared" si="4"/>
        <v>LAB25</v>
      </c>
      <c r="F75" s="13">
        <f t="shared" si="5"/>
        <v>36615</v>
      </c>
      <c r="G75">
        <f>MATCH(E75,'Item Master'!$A$1:$A$31,FALSE)</f>
        <v>22</v>
      </c>
      <c r="H75" t="str">
        <f>INDEX('Item Master'!$A$1:$H$31,$G75,H$4)</f>
        <v>Label Apple Blossom 250ml</v>
      </c>
      <c r="I75" t="str">
        <f>INDEX('Item Master'!$A$1:$H$31,$G75,I$4)</f>
        <v>DP01</v>
      </c>
      <c r="J75" t="str">
        <f>INDEX('Item Master'!$A$1:$H$31,$G75,J$4)</f>
        <v>Dave's Printing</v>
      </c>
      <c r="K75" s="10">
        <f>INDEX('Item Master'!$A$1:$H$31,$G75,K$4)</f>
        <v>266776</v>
      </c>
      <c r="L75" s="10">
        <f t="shared" si="6"/>
        <v>31576</v>
      </c>
      <c r="M75" s="10">
        <f t="shared" si="7"/>
        <v>0</v>
      </c>
    </row>
    <row r="76" spans="1:13" x14ac:dyDescent="0.25">
      <c r="A76" s="60" t="s">
        <v>80</v>
      </c>
      <c r="B76" s="73">
        <v>36599</v>
      </c>
      <c r="C76" s="60" t="s">
        <v>141</v>
      </c>
      <c r="D76" s="65">
        <v>2860</v>
      </c>
      <c r="E76" t="str">
        <f t="shared" si="4"/>
        <v>LAB50</v>
      </c>
      <c r="F76" s="13">
        <f t="shared" si="5"/>
        <v>36599</v>
      </c>
      <c r="G76">
        <f>MATCH(E76,'Item Master'!$A$1:$A$31,FALSE)</f>
        <v>23</v>
      </c>
      <c r="H76" t="str">
        <f>INDEX('Item Master'!$A$1:$H$31,$G76,H$4)</f>
        <v>Label Apple Blossom 500ml</v>
      </c>
      <c r="I76" t="str">
        <f>INDEX('Item Master'!$A$1:$H$31,$G76,I$4)</f>
        <v>DP01</v>
      </c>
      <c r="J76" t="str">
        <f>INDEX('Item Master'!$A$1:$H$31,$G76,J$4)</f>
        <v>Dave's Printing</v>
      </c>
      <c r="K76" s="10">
        <f>INDEX('Item Master'!$A$1:$H$31,$G76,K$4)</f>
        <v>24964</v>
      </c>
      <c r="L76" s="10">
        <f t="shared" si="6"/>
        <v>22104</v>
      </c>
      <c r="M76" s="10">
        <f t="shared" si="7"/>
        <v>0</v>
      </c>
    </row>
    <row r="77" spans="1:13" x14ac:dyDescent="0.25">
      <c r="A77" s="66"/>
      <c r="B77" s="73">
        <v>36600</v>
      </c>
      <c r="C77" s="60" t="s">
        <v>146</v>
      </c>
      <c r="D77" s="65">
        <v>32084</v>
      </c>
      <c r="E77" t="str">
        <f t="shared" si="4"/>
        <v>LAB50</v>
      </c>
      <c r="F77" s="13">
        <f t="shared" si="5"/>
        <v>36600</v>
      </c>
      <c r="G77">
        <f>MATCH(E77,'Item Master'!$A$1:$A$31,FALSE)</f>
        <v>23</v>
      </c>
      <c r="H77" t="str">
        <f>INDEX('Item Master'!$A$1:$H$31,$G77,H$4)</f>
        <v>Label Apple Blossom 500ml</v>
      </c>
      <c r="I77" t="str">
        <f>INDEX('Item Master'!$A$1:$H$31,$G77,I$4)</f>
        <v>DP01</v>
      </c>
      <c r="J77" t="str">
        <f>INDEX('Item Master'!$A$1:$H$31,$G77,J$4)</f>
        <v>Dave's Printing</v>
      </c>
      <c r="K77" s="10">
        <f>INDEX('Item Master'!$A$1:$H$31,$G77,K$4)</f>
        <v>24964</v>
      </c>
      <c r="L77" s="10">
        <f t="shared" si="6"/>
        <v>-9980</v>
      </c>
      <c r="M77" s="10">
        <f t="shared" si="7"/>
        <v>9980</v>
      </c>
    </row>
    <row r="78" spans="1:13" x14ac:dyDescent="0.25">
      <c r="A78" s="66"/>
      <c r="B78" s="73">
        <v>36611</v>
      </c>
      <c r="C78" s="60" t="s">
        <v>172</v>
      </c>
      <c r="D78" s="65">
        <v>32084</v>
      </c>
      <c r="E78" t="str">
        <f t="shared" si="4"/>
        <v>LAB50</v>
      </c>
      <c r="F78" s="13">
        <f t="shared" si="5"/>
        <v>36611</v>
      </c>
      <c r="G78">
        <f>MATCH(E78,'Item Master'!$A$1:$A$31,FALSE)</f>
        <v>23</v>
      </c>
      <c r="H78" t="str">
        <f>INDEX('Item Master'!$A$1:$H$31,$G78,H$4)</f>
        <v>Label Apple Blossom 500ml</v>
      </c>
      <c r="I78" t="str">
        <f>INDEX('Item Master'!$A$1:$H$31,$G78,I$4)</f>
        <v>DP01</v>
      </c>
      <c r="J78" t="str">
        <f>INDEX('Item Master'!$A$1:$H$31,$G78,J$4)</f>
        <v>Dave's Printing</v>
      </c>
      <c r="K78" s="10">
        <f>INDEX('Item Master'!$A$1:$H$31,$G78,K$4)</f>
        <v>24964</v>
      </c>
      <c r="L78" s="10">
        <f t="shared" si="6"/>
        <v>-42064</v>
      </c>
      <c r="M78" s="10">
        <f t="shared" si="7"/>
        <v>32084</v>
      </c>
    </row>
    <row r="79" spans="1:13" x14ac:dyDescent="0.25">
      <c r="A79" s="60" t="s">
        <v>82</v>
      </c>
      <c r="B79" s="73">
        <v>36612</v>
      </c>
      <c r="C79" s="60" t="s">
        <v>136</v>
      </c>
      <c r="D79" s="65">
        <v>15200</v>
      </c>
      <c r="E79" t="str">
        <f t="shared" si="4"/>
        <v>LFL10</v>
      </c>
      <c r="F79" s="13">
        <f t="shared" si="5"/>
        <v>36612</v>
      </c>
      <c r="G79">
        <f>MATCH(E79,'Item Master'!$A$1:$A$31,FALSE)</f>
        <v>24</v>
      </c>
      <c r="H79" t="str">
        <f>INDEX('Item Master'!$A$1:$H$31,$G79,H$4)</f>
        <v>Label Fragrant Lemon 100ml</v>
      </c>
      <c r="I79" t="str">
        <f>INDEX('Item Master'!$A$1:$H$31,$G79,I$4)</f>
        <v>DP01</v>
      </c>
      <c r="J79" t="str">
        <f>INDEX('Item Master'!$A$1:$H$31,$G79,J$4)</f>
        <v>Dave's Printing</v>
      </c>
      <c r="K79" s="10">
        <f>INDEX('Item Master'!$A$1:$H$31,$G79,K$4)</f>
        <v>32140</v>
      </c>
      <c r="L79" s="10">
        <f t="shared" si="6"/>
        <v>16940</v>
      </c>
      <c r="M79" s="10">
        <f t="shared" si="7"/>
        <v>0</v>
      </c>
    </row>
    <row r="80" spans="1:13" x14ac:dyDescent="0.25">
      <c r="A80" s="60" t="s">
        <v>84</v>
      </c>
      <c r="B80" s="73">
        <v>36602</v>
      </c>
      <c r="C80" s="60" t="s">
        <v>138</v>
      </c>
      <c r="D80" s="65">
        <v>98000</v>
      </c>
      <c r="E80" t="str">
        <f t="shared" si="4"/>
        <v>LFL25</v>
      </c>
      <c r="F80" s="13">
        <f t="shared" si="5"/>
        <v>36602</v>
      </c>
      <c r="G80">
        <f>MATCH(E80,'Item Master'!$A$1:$A$31,FALSE)</f>
        <v>25</v>
      </c>
      <c r="H80" t="str">
        <f>INDEX('Item Master'!$A$1:$H$31,$G80,H$4)</f>
        <v>Label Fragrant Lemon 250ml</v>
      </c>
      <c r="I80" t="str">
        <f>INDEX('Item Master'!$A$1:$H$31,$G80,I$4)</f>
        <v>DP01</v>
      </c>
      <c r="J80" t="str">
        <f>INDEX('Item Master'!$A$1:$H$31,$G80,J$4)</f>
        <v>Dave's Printing</v>
      </c>
      <c r="K80" s="10">
        <f>INDEX('Item Master'!$A$1:$H$31,$G80,K$4)</f>
        <v>83496</v>
      </c>
      <c r="L80" s="10">
        <f t="shared" si="6"/>
        <v>-14504</v>
      </c>
      <c r="M80" s="10">
        <f t="shared" si="7"/>
        <v>14504</v>
      </c>
    </row>
    <row r="81" spans="1:13" x14ac:dyDescent="0.25">
      <c r="A81" s="66"/>
      <c r="B81" s="73">
        <v>36613</v>
      </c>
      <c r="C81" s="60" t="s">
        <v>143</v>
      </c>
      <c r="D81" s="65">
        <v>98000</v>
      </c>
      <c r="E81" t="str">
        <f t="shared" si="4"/>
        <v>LFL25</v>
      </c>
      <c r="F81" s="13">
        <f t="shared" si="5"/>
        <v>36613</v>
      </c>
      <c r="G81">
        <f>MATCH(E81,'Item Master'!$A$1:$A$31,FALSE)</f>
        <v>25</v>
      </c>
      <c r="H81" t="str">
        <f>INDEX('Item Master'!$A$1:$H$31,$G81,H$4)</f>
        <v>Label Fragrant Lemon 250ml</v>
      </c>
      <c r="I81" t="str">
        <f>INDEX('Item Master'!$A$1:$H$31,$G81,I$4)</f>
        <v>DP01</v>
      </c>
      <c r="J81" t="str">
        <f>INDEX('Item Master'!$A$1:$H$31,$G81,J$4)</f>
        <v>Dave's Printing</v>
      </c>
      <c r="K81" s="10">
        <f>INDEX('Item Master'!$A$1:$H$31,$G81,K$4)</f>
        <v>83496</v>
      </c>
      <c r="L81" s="10">
        <f t="shared" si="6"/>
        <v>-112504</v>
      </c>
      <c r="M81" s="10">
        <f t="shared" si="7"/>
        <v>98000</v>
      </c>
    </row>
    <row r="82" spans="1:13" x14ac:dyDescent="0.25">
      <c r="A82" s="60" t="s">
        <v>86</v>
      </c>
      <c r="B82" s="73">
        <v>36599</v>
      </c>
      <c r="C82" s="60" t="s">
        <v>137</v>
      </c>
      <c r="D82" s="65">
        <v>67080</v>
      </c>
      <c r="E82" t="str">
        <f t="shared" si="4"/>
        <v>LFL50</v>
      </c>
      <c r="F82" s="13">
        <f t="shared" si="5"/>
        <v>36599</v>
      </c>
      <c r="G82">
        <f>MATCH(E82,'Item Master'!$A$1:$A$31,FALSE)</f>
        <v>26</v>
      </c>
      <c r="H82" t="str">
        <f>INDEX('Item Master'!$A$1:$H$31,$G82,H$4)</f>
        <v>Label Fragrant Lemon 500ml</v>
      </c>
      <c r="I82" t="str">
        <f>INDEX('Item Master'!$A$1:$H$31,$G82,I$4)</f>
        <v>DP01</v>
      </c>
      <c r="J82" t="str">
        <f>INDEX('Item Master'!$A$1:$H$31,$G82,J$4)</f>
        <v>Dave's Printing</v>
      </c>
      <c r="K82" s="10">
        <f>INDEX('Item Master'!$A$1:$H$31,$G82,K$4)</f>
        <v>117354</v>
      </c>
      <c r="L82" s="10">
        <f t="shared" si="6"/>
        <v>50274</v>
      </c>
      <c r="M82" s="10">
        <f t="shared" si="7"/>
        <v>0</v>
      </c>
    </row>
    <row r="83" spans="1:13" x14ac:dyDescent="0.25">
      <c r="A83" s="66"/>
      <c r="B83" s="73">
        <v>36610</v>
      </c>
      <c r="C83" s="60" t="s">
        <v>142</v>
      </c>
      <c r="D83" s="65">
        <v>65988</v>
      </c>
      <c r="E83" t="str">
        <f t="shared" si="4"/>
        <v>LFL50</v>
      </c>
      <c r="F83" s="13">
        <f t="shared" si="5"/>
        <v>36610</v>
      </c>
      <c r="G83">
        <f>MATCH(E83,'Item Master'!$A$1:$A$31,FALSE)</f>
        <v>26</v>
      </c>
      <c r="H83" t="str">
        <f>INDEX('Item Master'!$A$1:$H$31,$G83,H$4)</f>
        <v>Label Fragrant Lemon 500ml</v>
      </c>
      <c r="I83" t="str">
        <f>INDEX('Item Master'!$A$1:$H$31,$G83,I$4)</f>
        <v>DP01</v>
      </c>
      <c r="J83" t="str">
        <f>INDEX('Item Master'!$A$1:$H$31,$G83,J$4)</f>
        <v>Dave's Printing</v>
      </c>
      <c r="K83" s="10">
        <f>INDEX('Item Master'!$A$1:$H$31,$G83,K$4)</f>
        <v>117354</v>
      </c>
      <c r="L83" s="10">
        <f t="shared" si="6"/>
        <v>-15714</v>
      </c>
      <c r="M83" s="10">
        <f t="shared" si="7"/>
        <v>15714</v>
      </c>
    </row>
    <row r="84" spans="1:13" x14ac:dyDescent="0.25">
      <c r="A84" s="83"/>
      <c r="B84" s="84">
        <v>36621</v>
      </c>
      <c r="C84" s="69" t="s">
        <v>173</v>
      </c>
      <c r="D84" s="71">
        <v>65988</v>
      </c>
      <c r="E84" t="str">
        <f t="shared" si="4"/>
        <v>LFL50</v>
      </c>
      <c r="F84" s="13">
        <f t="shared" si="5"/>
        <v>36621</v>
      </c>
      <c r="G84">
        <f>MATCH(E84,'Item Master'!$A$1:$A$31,FALSE)</f>
        <v>26</v>
      </c>
      <c r="H84" t="str">
        <f>INDEX('Item Master'!$A$1:$H$31,$G84,H$4)</f>
        <v>Label Fragrant Lemon 500ml</v>
      </c>
      <c r="I84" t="str">
        <f>INDEX('Item Master'!$A$1:$H$31,$G84,I$4)</f>
        <v>DP01</v>
      </c>
      <c r="J84" t="str">
        <f>INDEX('Item Master'!$A$1:$H$31,$G84,J$4)</f>
        <v>Dave's Printing</v>
      </c>
      <c r="K84" s="10">
        <f>INDEX('Item Master'!$A$1:$H$31,$G84,K$4)</f>
        <v>117354</v>
      </c>
      <c r="L84" s="10">
        <f t="shared" si="6"/>
        <v>-81702</v>
      </c>
      <c r="M84" s="10">
        <f t="shared" si="7"/>
        <v>65988</v>
      </c>
    </row>
    <row r="85" spans="1:13" x14ac:dyDescent="0.25">
      <c r="E85" t="str">
        <f t="shared" si="4"/>
        <v/>
      </c>
      <c r="F85" s="13" t="str">
        <f t="shared" si="5"/>
        <v/>
      </c>
      <c r="G85" t="e">
        <f>MATCH(E85,'Item Master'!$A$1:$A$31,FALSE)</f>
        <v>#N/A</v>
      </c>
      <c r="H85" t="e">
        <f>INDEX('Item Master'!$A$1:$H$31,$G85,H$4)</f>
        <v>#N/A</v>
      </c>
      <c r="I85" t="e">
        <f>INDEX('Item Master'!$A$1:$H$31,$G85,I$4)</f>
        <v>#N/A</v>
      </c>
      <c r="J85" t="e">
        <f>INDEX('Item Master'!$A$1:$H$31,$G85,J$4)</f>
        <v>#N/A</v>
      </c>
      <c r="K85" s="10" t="e">
        <f>INDEX('Item Master'!$A$1:$H$31,$G85,K$4)</f>
        <v>#N/A</v>
      </c>
      <c r="L85" s="10" t="e">
        <f t="shared" si="6"/>
        <v>#N/A</v>
      </c>
      <c r="M85" s="10" t="e">
        <f t="shared" si="7"/>
        <v>#N/A</v>
      </c>
    </row>
    <row r="86" spans="1:13" x14ac:dyDescent="0.25">
      <c r="E86" t="str">
        <f t="shared" si="4"/>
        <v/>
      </c>
      <c r="F86" s="13" t="str">
        <f t="shared" si="5"/>
        <v/>
      </c>
      <c r="G86" t="e">
        <f>MATCH(E86,'Item Master'!$A$1:$A$31,FALSE)</f>
        <v>#N/A</v>
      </c>
      <c r="H86" t="e">
        <f>INDEX('Item Master'!$A$1:$H$31,$G86,H$4)</f>
        <v>#N/A</v>
      </c>
      <c r="I86" t="e">
        <f>INDEX('Item Master'!$A$1:$H$31,$G86,I$4)</f>
        <v>#N/A</v>
      </c>
      <c r="J86" t="e">
        <f>INDEX('Item Master'!$A$1:$H$31,$G86,J$4)</f>
        <v>#N/A</v>
      </c>
      <c r="K86" s="10" t="e">
        <f>INDEX('Item Master'!$A$1:$H$31,$G86,K$4)</f>
        <v>#N/A</v>
      </c>
      <c r="L86" s="10" t="e">
        <f t="shared" si="6"/>
        <v>#N/A</v>
      </c>
      <c r="M86" s="10" t="e">
        <f t="shared" si="7"/>
        <v>#N/A</v>
      </c>
    </row>
    <row r="87" spans="1:13" x14ac:dyDescent="0.25">
      <c r="E87" t="str">
        <f t="shared" si="4"/>
        <v/>
      </c>
      <c r="F87" s="13" t="str">
        <f t="shared" si="5"/>
        <v/>
      </c>
      <c r="G87" t="e">
        <f>MATCH(E87,'Item Master'!$A$1:$A$31,FALSE)</f>
        <v>#N/A</v>
      </c>
      <c r="H87" t="e">
        <f>INDEX('Item Master'!$A$1:$H$31,$G87,H$4)</f>
        <v>#N/A</v>
      </c>
      <c r="I87" t="e">
        <f>INDEX('Item Master'!$A$1:$H$31,$G87,I$4)</f>
        <v>#N/A</v>
      </c>
      <c r="J87" t="e">
        <f>INDEX('Item Master'!$A$1:$H$31,$G87,J$4)</f>
        <v>#N/A</v>
      </c>
      <c r="K87" s="10" t="e">
        <f>INDEX('Item Master'!$A$1:$H$31,$G87,K$4)</f>
        <v>#N/A</v>
      </c>
      <c r="L87" s="10" t="e">
        <f t="shared" si="6"/>
        <v>#N/A</v>
      </c>
      <c r="M87" s="10" t="e">
        <f t="shared" si="7"/>
        <v>#N/A</v>
      </c>
    </row>
    <row r="88" spans="1:13" x14ac:dyDescent="0.25">
      <c r="E88" t="str">
        <f t="shared" si="4"/>
        <v/>
      </c>
      <c r="F88" s="13" t="str">
        <f t="shared" si="5"/>
        <v/>
      </c>
      <c r="G88" t="e">
        <f>MATCH(E88,'Item Master'!$A$1:$A$31,FALSE)</f>
        <v>#N/A</v>
      </c>
      <c r="H88" t="e">
        <f>INDEX('Item Master'!$A$1:$H$31,$G88,H$4)</f>
        <v>#N/A</v>
      </c>
      <c r="I88" t="e">
        <f>INDEX('Item Master'!$A$1:$H$31,$G88,I$4)</f>
        <v>#N/A</v>
      </c>
      <c r="J88" t="e">
        <f>INDEX('Item Master'!$A$1:$H$31,$G88,J$4)</f>
        <v>#N/A</v>
      </c>
      <c r="K88" s="10" t="e">
        <f>INDEX('Item Master'!$A$1:$H$31,$G88,K$4)</f>
        <v>#N/A</v>
      </c>
      <c r="L88" s="10" t="e">
        <f t="shared" si="6"/>
        <v>#N/A</v>
      </c>
      <c r="M88" s="10" t="e">
        <f t="shared" si="7"/>
        <v>#N/A</v>
      </c>
    </row>
    <row r="89" spans="1:13" x14ac:dyDescent="0.25">
      <c r="E89" t="str">
        <f t="shared" si="4"/>
        <v/>
      </c>
      <c r="F89" s="13" t="str">
        <f t="shared" si="5"/>
        <v/>
      </c>
      <c r="G89" t="e">
        <f>MATCH(E89,'Item Master'!$A$1:$A$31,FALSE)</f>
        <v>#N/A</v>
      </c>
      <c r="H89" t="e">
        <f>INDEX('Item Master'!$A$1:$H$31,$G89,H$4)</f>
        <v>#N/A</v>
      </c>
      <c r="I89" t="e">
        <f>INDEX('Item Master'!$A$1:$H$31,$G89,I$4)</f>
        <v>#N/A</v>
      </c>
      <c r="J89" t="e">
        <f>INDEX('Item Master'!$A$1:$H$31,$G89,J$4)</f>
        <v>#N/A</v>
      </c>
      <c r="K89" s="10" t="e">
        <f>INDEX('Item Master'!$A$1:$H$31,$G89,K$4)</f>
        <v>#N/A</v>
      </c>
      <c r="L89" s="10" t="e">
        <f t="shared" si="6"/>
        <v>#N/A</v>
      </c>
      <c r="M89" s="10" t="e">
        <f t="shared" si="7"/>
        <v>#N/A</v>
      </c>
    </row>
    <row r="90" spans="1:13" x14ac:dyDescent="0.25">
      <c r="E90" t="str">
        <f t="shared" si="4"/>
        <v/>
      </c>
      <c r="F90" s="13" t="str">
        <f t="shared" si="5"/>
        <v/>
      </c>
      <c r="G90" t="e">
        <f>MATCH(E90,'Item Master'!$A$1:$A$31,FALSE)</f>
        <v>#N/A</v>
      </c>
      <c r="H90" t="e">
        <f>INDEX('Item Master'!$A$1:$H$31,$G90,H$4)</f>
        <v>#N/A</v>
      </c>
      <c r="I90" t="e">
        <f>INDEX('Item Master'!$A$1:$H$31,$G90,I$4)</f>
        <v>#N/A</v>
      </c>
      <c r="J90" t="e">
        <f>INDEX('Item Master'!$A$1:$H$31,$G90,J$4)</f>
        <v>#N/A</v>
      </c>
      <c r="K90" s="10" t="e">
        <f>INDEX('Item Master'!$A$1:$H$31,$G90,K$4)</f>
        <v>#N/A</v>
      </c>
      <c r="L90" s="10" t="e">
        <f t="shared" si="6"/>
        <v>#N/A</v>
      </c>
      <c r="M90" s="10" t="e">
        <f t="shared" si="7"/>
        <v>#N/A</v>
      </c>
    </row>
    <row r="91" spans="1:13" x14ac:dyDescent="0.25">
      <c r="E91" t="str">
        <f t="shared" si="4"/>
        <v/>
      </c>
      <c r="F91" s="13" t="str">
        <f t="shared" si="5"/>
        <v/>
      </c>
      <c r="G91" t="e">
        <f>MATCH(E91,'Item Master'!$A$1:$A$31,FALSE)</f>
        <v>#N/A</v>
      </c>
      <c r="H91" t="e">
        <f>INDEX('Item Master'!$A$1:$H$31,$G91,H$4)</f>
        <v>#N/A</v>
      </c>
      <c r="I91" t="e">
        <f>INDEX('Item Master'!$A$1:$H$31,$G91,I$4)</f>
        <v>#N/A</v>
      </c>
      <c r="J91" t="e">
        <f>INDEX('Item Master'!$A$1:$H$31,$G91,J$4)</f>
        <v>#N/A</v>
      </c>
      <c r="K91" s="10" t="e">
        <f>INDEX('Item Master'!$A$1:$H$31,$G91,K$4)</f>
        <v>#N/A</v>
      </c>
      <c r="L91" s="10" t="e">
        <f t="shared" si="6"/>
        <v>#N/A</v>
      </c>
      <c r="M91" s="10" t="e">
        <f t="shared" si="7"/>
        <v>#N/A</v>
      </c>
    </row>
    <row r="92" spans="1:13" x14ac:dyDescent="0.25">
      <c r="E92" t="str">
        <f t="shared" si="4"/>
        <v/>
      </c>
      <c r="F92" s="13" t="str">
        <f t="shared" si="5"/>
        <v/>
      </c>
      <c r="G92" t="e">
        <f>MATCH(E92,'Item Master'!$A$1:$A$31,FALSE)</f>
        <v>#N/A</v>
      </c>
      <c r="H92" t="e">
        <f>INDEX('Item Master'!$A$1:$H$31,$G92,H$4)</f>
        <v>#N/A</v>
      </c>
      <c r="I92" t="e">
        <f>INDEX('Item Master'!$A$1:$H$31,$G92,I$4)</f>
        <v>#N/A</v>
      </c>
      <c r="J92" t="e">
        <f>INDEX('Item Master'!$A$1:$H$31,$G92,J$4)</f>
        <v>#N/A</v>
      </c>
      <c r="K92" s="10" t="e">
        <f>INDEX('Item Master'!$A$1:$H$31,$G92,K$4)</f>
        <v>#N/A</v>
      </c>
      <c r="L92" s="10" t="e">
        <f t="shared" si="6"/>
        <v>#N/A</v>
      </c>
      <c r="M92" s="10" t="e">
        <f t="shared" si="7"/>
        <v>#N/A</v>
      </c>
    </row>
    <row r="93" spans="1:13" x14ac:dyDescent="0.25">
      <c r="E93" t="str">
        <f t="shared" si="4"/>
        <v/>
      </c>
      <c r="F93" s="13" t="str">
        <f t="shared" si="5"/>
        <v/>
      </c>
      <c r="G93" t="e">
        <f>MATCH(E93,'Item Master'!$A$1:$A$31,FALSE)</f>
        <v>#N/A</v>
      </c>
      <c r="H93" t="e">
        <f>INDEX('Item Master'!$A$1:$H$31,$G93,H$4)</f>
        <v>#N/A</v>
      </c>
      <c r="I93" t="e">
        <f>INDEX('Item Master'!$A$1:$H$31,$G93,I$4)</f>
        <v>#N/A</v>
      </c>
      <c r="J93" t="e">
        <f>INDEX('Item Master'!$A$1:$H$31,$G93,J$4)</f>
        <v>#N/A</v>
      </c>
      <c r="K93" s="10" t="e">
        <f>INDEX('Item Master'!$A$1:$H$31,$G93,K$4)</f>
        <v>#N/A</v>
      </c>
      <c r="L93" s="10" t="e">
        <f t="shared" si="6"/>
        <v>#N/A</v>
      </c>
      <c r="M93" s="10" t="e">
        <f t="shared" si="7"/>
        <v>#N/A</v>
      </c>
    </row>
    <row r="94" spans="1:13" x14ac:dyDescent="0.25">
      <c r="E94" t="str">
        <f t="shared" si="4"/>
        <v/>
      </c>
      <c r="F94" s="13" t="str">
        <f t="shared" si="5"/>
        <v/>
      </c>
      <c r="G94" t="e">
        <f>MATCH(E94,'Item Master'!$A$1:$A$31,FALSE)</f>
        <v>#N/A</v>
      </c>
      <c r="H94" t="e">
        <f>INDEX('Item Master'!$A$1:$H$31,$G94,H$4)</f>
        <v>#N/A</v>
      </c>
      <c r="I94" t="e">
        <f>INDEX('Item Master'!$A$1:$H$31,$G94,I$4)</f>
        <v>#N/A</v>
      </c>
      <c r="J94" t="e">
        <f>INDEX('Item Master'!$A$1:$H$31,$G94,J$4)</f>
        <v>#N/A</v>
      </c>
      <c r="K94" s="10" t="e">
        <f>INDEX('Item Master'!$A$1:$H$31,$G94,K$4)</f>
        <v>#N/A</v>
      </c>
      <c r="L94" s="10" t="e">
        <f t="shared" si="6"/>
        <v>#N/A</v>
      </c>
      <c r="M94" s="10" t="e">
        <f t="shared" si="7"/>
        <v>#N/A</v>
      </c>
    </row>
    <row r="95" spans="1:13" x14ac:dyDescent="0.25">
      <c r="E95" t="str">
        <f t="shared" si="4"/>
        <v/>
      </c>
      <c r="F95" s="13" t="str">
        <f t="shared" si="5"/>
        <v/>
      </c>
      <c r="G95" t="e">
        <f>MATCH(E95,'Item Master'!$A$1:$A$31,FALSE)</f>
        <v>#N/A</v>
      </c>
      <c r="H95" t="e">
        <f>INDEX('Item Master'!$A$1:$H$31,$G95,H$4)</f>
        <v>#N/A</v>
      </c>
      <c r="I95" t="e">
        <f>INDEX('Item Master'!$A$1:$H$31,$G95,I$4)</f>
        <v>#N/A</v>
      </c>
      <c r="J95" t="e">
        <f>INDEX('Item Master'!$A$1:$H$31,$G95,J$4)</f>
        <v>#N/A</v>
      </c>
      <c r="K95" s="10" t="e">
        <f>INDEX('Item Master'!$A$1:$H$31,$G95,K$4)</f>
        <v>#N/A</v>
      </c>
      <c r="L95" s="10" t="e">
        <f t="shared" si="6"/>
        <v>#N/A</v>
      </c>
      <c r="M95" s="10" t="e">
        <f t="shared" si="7"/>
        <v>#N/A</v>
      </c>
    </row>
    <row r="96" spans="1:13" x14ac:dyDescent="0.25">
      <c r="E96" t="str">
        <f t="shared" si="4"/>
        <v/>
      </c>
      <c r="F96" s="13" t="str">
        <f t="shared" si="5"/>
        <v/>
      </c>
      <c r="G96" t="e">
        <f>MATCH(E96,'Item Master'!$A$1:$A$31,FALSE)</f>
        <v>#N/A</v>
      </c>
      <c r="H96" t="e">
        <f>INDEX('Item Master'!$A$1:$H$31,$G96,H$4)</f>
        <v>#N/A</v>
      </c>
      <c r="I96" t="e">
        <f>INDEX('Item Master'!$A$1:$H$31,$G96,I$4)</f>
        <v>#N/A</v>
      </c>
      <c r="J96" t="e">
        <f>INDEX('Item Master'!$A$1:$H$31,$G96,J$4)</f>
        <v>#N/A</v>
      </c>
      <c r="K96" s="10" t="e">
        <f>INDEX('Item Master'!$A$1:$H$31,$G96,K$4)</f>
        <v>#N/A</v>
      </c>
      <c r="L96" s="10" t="e">
        <f t="shared" si="6"/>
        <v>#N/A</v>
      </c>
      <c r="M96" s="10" t="e">
        <f t="shared" si="7"/>
        <v>#N/A</v>
      </c>
    </row>
    <row r="97" spans="5:13" x14ac:dyDescent="0.25">
      <c r="E97" t="str">
        <f t="shared" si="4"/>
        <v/>
      </c>
      <c r="F97" s="13" t="str">
        <f t="shared" si="5"/>
        <v/>
      </c>
      <c r="G97" t="e">
        <f>MATCH(E97,'Item Master'!$A$1:$A$31,FALSE)</f>
        <v>#N/A</v>
      </c>
      <c r="H97" t="e">
        <f>INDEX('Item Master'!$A$1:$H$31,$G97,H$4)</f>
        <v>#N/A</v>
      </c>
      <c r="I97" t="e">
        <f>INDEX('Item Master'!$A$1:$H$31,$G97,I$4)</f>
        <v>#N/A</v>
      </c>
      <c r="J97" t="e">
        <f>INDEX('Item Master'!$A$1:$H$31,$G97,J$4)</f>
        <v>#N/A</v>
      </c>
      <c r="K97" s="10" t="e">
        <f>INDEX('Item Master'!$A$1:$H$31,$G97,K$4)</f>
        <v>#N/A</v>
      </c>
      <c r="L97" s="10" t="e">
        <f t="shared" si="6"/>
        <v>#N/A</v>
      </c>
      <c r="M97" s="10" t="e">
        <f t="shared" si="7"/>
        <v>#N/A</v>
      </c>
    </row>
    <row r="98" spans="5:13" x14ac:dyDescent="0.25">
      <c r="E98" t="str">
        <f t="shared" si="4"/>
        <v/>
      </c>
      <c r="F98" s="13" t="str">
        <f t="shared" si="5"/>
        <v/>
      </c>
      <c r="G98" t="e">
        <f>MATCH(E98,'Item Master'!$A$1:$A$31,FALSE)</f>
        <v>#N/A</v>
      </c>
      <c r="H98" t="e">
        <f>INDEX('Item Master'!$A$1:$H$31,$G98,H$4)</f>
        <v>#N/A</v>
      </c>
      <c r="I98" t="e">
        <f>INDEX('Item Master'!$A$1:$H$31,$G98,I$4)</f>
        <v>#N/A</v>
      </c>
      <c r="J98" t="e">
        <f>INDEX('Item Master'!$A$1:$H$31,$G98,J$4)</f>
        <v>#N/A</v>
      </c>
      <c r="K98" s="10" t="e">
        <f>INDEX('Item Master'!$A$1:$H$31,$G98,K$4)</f>
        <v>#N/A</v>
      </c>
      <c r="L98" s="10" t="e">
        <f t="shared" si="6"/>
        <v>#N/A</v>
      </c>
      <c r="M98" s="10" t="e">
        <f t="shared" si="7"/>
        <v>#N/A</v>
      </c>
    </row>
    <row r="99" spans="5:13" x14ac:dyDescent="0.25">
      <c r="E99" t="str">
        <f t="shared" si="4"/>
        <v/>
      </c>
      <c r="F99" s="13" t="str">
        <f t="shared" si="5"/>
        <v/>
      </c>
      <c r="G99" t="e">
        <f>MATCH(E99,'Item Master'!$A$1:$A$31,FALSE)</f>
        <v>#N/A</v>
      </c>
      <c r="H99" t="e">
        <f>INDEX('Item Master'!$A$1:$H$31,$G99,H$4)</f>
        <v>#N/A</v>
      </c>
      <c r="I99" t="e">
        <f>INDEX('Item Master'!$A$1:$H$31,$G99,I$4)</f>
        <v>#N/A</v>
      </c>
      <c r="J99" t="e">
        <f>INDEX('Item Master'!$A$1:$H$31,$G99,J$4)</f>
        <v>#N/A</v>
      </c>
      <c r="K99" s="10" t="e">
        <f>INDEX('Item Master'!$A$1:$H$31,$G99,K$4)</f>
        <v>#N/A</v>
      </c>
      <c r="L99" s="10" t="e">
        <f t="shared" si="6"/>
        <v>#N/A</v>
      </c>
      <c r="M99" s="10" t="e">
        <f t="shared" si="7"/>
        <v>#N/A</v>
      </c>
    </row>
    <row r="100" spans="5:13" x14ac:dyDescent="0.25">
      <c r="E100" t="str">
        <f t="shared" si="4"/>
        <v/>
      </c>
      <c r="F100" s="13" t="str">
        <f t="shared" si="5"/>
        <v/>
      </c>
      <c r="G100" t="e">
        <f>MATCH(E100,'Item Master'!$A$1:$A$31,FALSE)</f>
        <v>#N/A</v>
      </c>
      <c r="H100" t="e">
        <f>INDEX('Item Master'!$A$1:$H$31,$G100,H$4)</f>
        <v>#N/A</v>
      </c>
      <c r="I100" t="e">
        <f>INDEX('Item Master'!$A$1:$H$31,$G100,I$4)</f>
        <v>#N/A</v>
      </c>
      <c r="J100" t="e">
        <f>INDEX('Item Master'!$A$1:$H$31,$G100,J$4)</f>
        <v>#N/A</v>
      </c>
      <c r="K100" s="10" t="e">
        <f>INDEX('Item Master'!$A$1:$H$31,$G100,K$4)</f>
        <v>#N/A</v>
      </c>
      <c r="L100" s="10" t="e">
        <f t="shared" si="6"/>
        <v>#N/A</v>
      </c>
      <c r="M100" s="10" t="e">
        <f t="shared" si="7"/>
        <v>#N/A</v>
      </c>
    </row>
    <row r="101" spans="5:13" x14ac:dyDescent="0.25">
      <c r="E101" t="str">
        <f t="shared" si="4"/>
        <v/>
      </c>
      <c r="F101" s="13" t="str">
        <f t="shared" si="5"/>
        <v/>
      </c>
      <c r="G101" t="e">
        <f>MATCH(E101,'Item Master'!$A$1:$A$31,FALSE)</f>
        <v>#N/A</v>
      </c>
      <c r="H101" t="e">
        <f>INDEX('Item Master'!$A$1:$H$31,$G101,H$4)</f>
        <v>#N/A</v>
      </c>
      <c r="I101" t="e">
        <f>INDEX('Item Master'!$A$1:$H$31,$G101,I$4)</f>
        <v>#N/A</v>
      </c>
      <c r="J101" t="e">
        <f>INDEX('Item Master'!$A$1:$H$31,$G101,J$4)</f>
        <v>#N/A</v>
      </c>
      <c r="K101" s="10" t="e">
        <f>INDEX('Item Master'!$A$1:$H$31,$G101,K$4)</f>
        <v>#N/A</v>
      </c>
      <c r="L101" s="10" t="e">
        <f t="shared" si="6"/>
        <v>#N/A</v>
      </c>
      <c r="M101" s="10" t="e">
        <f t="shared" si="7"/>
        <v>#N/A</v>
      </c>
    </row>
    <row r="102" spans="5:13" x14ac:dyDescent="0.25">
      <c r="E102" t="str">
        <f t="shared" si="4"/>
        <v/>
      </c>
      <c r="F102" s="13" t="str">
        <f t="shared" si="5"/>
        <v/>
      </c>
      <c r="G102" t="e">
        <f>MATCH(E102,'Item Master'!$A$1:$A$31,FALSE)</f>
        <v>#N/A</v>
      </c>
      <c r="H102" t="e">
        <f>INDEX('Item Master'!$A$1:$H$31,$G102,H$4)</f>
        <v>#N/A</v>
      </c>
      <c r="I102" t="e">
        <f>INDEX('Item Master'!$A$1:$H$31,$G102,I$4)</f>
        <v>#N/A</v>
      </c>
      <c r="J102" t="e">
        <f>INDEX('Item Master'!$A$1:$H$31,$G102,J$4)</f>
        <v>#N/A</v>
      </c>
      <c r="K102" s="10" t="e">
        <f>INDEX('Item Master'!$A$1:$H$31,$G102,K$4)</f>
        <v>#N/A</v>
      </c>
      <c r="L102" s="10" t="e">
        <f t="shared" si="6"/>
        <v>#N/A</v>
      </c>
      <c r="M102" s="10" t="e">
        <f t="shared" si="7"/>
        <v>#N/A</v>
      </c>
    </row>
    <row r="103" spans="5:13" x14ac:dyDescent="0.25">
      <c r="E103" t="str">
        <f t="shared" si="4"/>
        <v/>
      </c>
      <c r="F103" s="13" t="str">
        <f t="shared" si="5"/>
        <v/>
      </c>
      <c r="G103" t="e">
        <f>MATCH(E103,'Item Master'!$A$1:$A$31,FALSE)</f>
        <v>#N/A</v>
      </c>
      <c r="H103" t="e">
        <f>INDEX('Item Master'!$A$1:$H$31,$G103,H$4)</f>
        <v>#N/A</v>
      </c>
      <c r="I103" t="e">
        <f>INDEX('Item Master'!$A$1:$H$31,$G103,I$4)</f>
        <v>#N/A</v>
      </c>
      <c r="J103" t="e">
        <f>INDEX('Item Master'!$A$1:$H$31,$G103,J$4)</f>
        <v>#N/A</v>
      </c>
      <c r="K103" s="10" t="e">
        <f>INDEX('Item Master'!$A$1:$H$31,$G103,K$4)</f>
        <v>#N/A</v>
      </c>
      <c r="L103" s="10" t="e">
        <f t="shared" si="6"/>
        <v>#N/A</v>
      </c>
      <c r="M103" s="10" t="e">
        <f t="shared" si="7"/>
        <v>#N/A</v>
      </c>
    </row>
    <row r="104" spans="5:13" x14ac:dyDescent="0.25">
      <c r="E104" t="str">
        <f t="shared" si="4"/>
        <v/>
      </c>
      <c r="F104" s="13" t="str">
        <f t="shared" si="5"/>
        <v/>
      </c>
      <c r="G104" t="e">
        <f>MATCH(E104,'Item Master'!$A$1:$A$31,FALSE)</f>
        <v>#N/A</v>
      </c>
      <c r="H104" t="e">
        <f>INDEX('Item Master'!$A$1:$H$31,$G104,H$4)</f>
        <v>#N/A</v>
      </c>
      <c r="I104" t="e">
        <f>INDEX('Item Master'!$A$1:$H$31,$G104,I$4)</f>
        <v>#N/A</v>
      </c>
      <c r="J104" t="e">
        <f>INDEX('Item Master'!$A$1:$H$31,$G104,J$4)</f>
        <v>#N/A</v>
      </c>
      <c r="K104" s="10" t="e">
        <f>INDEX('Item Master'!$A$1:$H$31,$G104,K$4)</f>
        <v>#N/A</v>
      </c>
      <c r="L104" s="10" t="e">
        <f t="shared" si="6"/>
        <v>#N/A</v>
      </c>
      <c r="M104" s="10" t="e">
        <f t="shared" si="7"/>
        <v>#N/A</v>
      </c>
    </row>
    <row r="105" spans="5:13" x14ac:dyDescent="0.25">
      <c r="E105" t="str">
        <f t="shared" si="4"/>
        <v/>
      </c>
      <c r="F105" s="13" t="str">
        <f t="shared" si="5"/>
        <v/>
      </c>
      <c r="G105" t="e">
        <f>MATCH(E105,'Item Master'!$A$1:$A$31,FALSE)</f>
        <v>#N/A</v>
      </c>
      <c r="H105" t="e">
        <f>INDEX('Item Master'!$A$1:$H$31,$G105,H$4)</f>
        <v>#N/A</v>
      </c>
      <c r="I105" t="e">
        <f>INDEX('Item Master'!$A$1:$H$31,$G105,I$4)</f>
        <v>#N/A</v>
      </c>
      <c r="J105" t="e">
        <f>INDEX('Item Master'!$A$1:$H$31,$G105,J$4)</f>
        <v>#N/A</v>
      </c>
      <c r="K105" s="10" t="e">
        <f>INDEX('Item Master'!$A$1:$H$31,$G105,K$4)</f>
        <v>#N/A</v>
      </c>
      <c r="L105" s="10" t="e">
        <f t="shared" si="6"/>
        <v>#N/A</v>
      </c>
      <c r="M105" s="10" t="e">
        <f t="shared" si="7"/>
        <v>#N/A</v>
      </c>
    </row>
    <row r="106" spans="5:13" x14ac:dyDescent="0.25">
      <c r="E106" t="str">
        <f t="shared" si="4"/>
        <v/>
      </c>
      <c r="F106" s="13" t="str">
        <f t="shared" si="5"/>
        <v/>
      </c>
      <c r="G106" t="e">
        <f>MATCH(E106,'Item Master'!$A$1:$A$31,FALSE)</f>
        <v>#N/A</v>
      </c>
      <c r="H106" t="e">
        <f>INDEX('Item Master'!$A$1:$H$31,$G106,H$4)</f>
        <v>#N/A</v>
      </c>
      <c r="I106" t="e">
        <f>INDEX('Item Master'!$A$1:$H$31,$G106,I$4)</f>
        <v>#N/A</v>
      </c>
      <c r="J106" t="e">
        <f>INDEX('Item Master'!$A$1:$H$31,$G106,J$4)</f>
        <v>#N/A</v>
      </c>
      <c r="K106" s="10" t="e">
        <f>INDEX('Item Master'!$A$1:$H$31,$G106,K$4)</f>
        <v>#N/A</v>
      </c>
      <c r="L106" s="10" t="e">
        <f t="shared" si="6"/>
        <v>#N/A</v>
      </c>
      <c r="M106" s="10" t="e">
        <f t="shared" si="7"/>
        <v>#N/A</v>
      </c>
    </row>
    <row r="107" spans="5:13" x14ac:dyDescent="0.25">
      <c r="E107" t="str">
        <f t="shared" si="4"/>
        <v/>
      </c>
      <c r="F107" s="13" t="str">
        <f t="shared" si="5"/>
        <v/>
      </c>
      <c r="G107" t="e">
        <f>MATCH(E107,'Item Master'!$A$1:$A$31,FALSE)</f>
        <v>#N/A</v>
      </c>
      <c r="H107" t="e">
        <f>INDEX('Item Master'!$A$1:$H$31,$G107,H$4)</f>
        <v>#N/A</v>
      </c>
      <c r="I107" t="e">
        <f>INDEX('Item Master'!$A$1:$H$31,$G107,I$4)</f>
        <v>#N/A</v>
      </c>
      <c r="J107" t="e">
        <f>INDEX('Item Master'!$A$1:$H$31,$G107,J$4)</f>
        <v>#N/A</v>
      </c>
      <c r="K107" s="10" t="e">
        <f>INDEX('Item Master'!$A$1:$H$31,$G107,K$4)</f>
        <v>#N/A</v>
      </c>
      <c r="L107" s="10" t="e">
        <f t="shared" si="6"/>
        <v>#N/A</v>
      </c>
      <c r="M107" s="10" t="e">
        <f t="shared" si="7"/>
        <v>#N/A</v>
      </c>
    </row>
    <row r="108" spans="5:13" x14ac:dyDescent="0.25">
      <c r="E108" t="str">
        <f t="shared" si="4"/>
        <v/>
      </c>
      <c r="F108" s="13" t="str">
        <f t="shared" si="5"/>
        <v/>
      </c>
      <c r="G108" t="e">
        <f>MATCH(E108,'Item Master'!$A$1:$A$31,FALSE)</f>
        <v>#N/A</v>
      </c>
      <c r="H108" t="e">
        <f>INDEX('Item Master'!$A$1:$H$31,$G108,H$4)</f>
        <v>#N/A</v>
      </c>
      <c r="I108" t="e">
        <f>INDEX('Item Master'!$A$1:$H$31,$G108,I$4)</f>
        <v>#N/A</v>
      </c>
      <c r="J108" t="e">
        <f>INDEX('Item Master'!$A$1:$H$31,$G108,J$4)</f>
        <v>#N/A</v>
      </c>
      <c r="K108" s="10" t="e">
        <f>INDEX('Item Master'!$A$1:$H$31,$G108,K$4)</f>
        <v>#N/A</v>
      </c>
      <c r="L108" s="10" t="e">
        <f t="shared" si="6"/>
        <v>#N/A</v>
      </c>
      <c r="M108" s="10" t="e">
        <f t="shared" si="7"/>
        <v>#N/A</v>
      </c>
    </row>
    <row r="109" spans="5:13" x14ac:dyDescent="0.25">
      <c r="E109" t="str">
        <f t="shared" si="4"/>
        <v/>
      </c>
      <c r="F109" s="13" t="str">
        <f t="shared" si="5"/>
        <v/>
      </c>
      <c r="G109" t="e">
        <f>MATCH(E109,'Item Master'!$A$1:$A$31,FALSE)</f>
        <v>#N/A</v>
      </c>
      <c r="H109" t="e">
        <f>INDEX('Item Master'!$A$1:$H$31,$G109,H$4)</f>
        <v>#N/A</v>
      </c>
      <c r="I109" t="e">
        <f>INDEX('Item Master'!$A$1:$H$31,$G109,I$4)</f>
        <v>#N/A</v>
      </c>
      <c r="J109" t="e">
        <f>INDEX('Item Master'!$A$1:$H$31,$G109,J$4)</f>
        <v>#N/A</v>
      </c>
      <c r="K109" s="10" t="e">
        <f>INDEX('Item Master'!$A$1:$H$31,$G109,K$4)</f>
        <v>#N/A</v>
      </c>
      <c r="L109" s="10" t="e">
        <f t="shared" si="6"/>
        <v>#N/A</v>
      </c>
      <c r="M109" s="10" t="e">
        <f t="shared" si="7"/>
        <v>#N/A</v>
      </c>
    </row>
    <row r="110" spans="5:13" x14ac:dyDescent="0.25">
      <c r="E110" t="str">
        <f t="shared" si="4"/>
        <v/>
      </c>
      <c r="F110" s="13" t="str">
        <f t="shared" si="5"/>
        <v/>
      </c>
      <c r="G110" t="e">
        <f>MATCH(E110,'Item Master'!$A$1:$A$31,FALSE)</f>
        <v>#N/A</v>
      </c>
      <c r="H110" t="e">
        <f>INDEX('Item Master'!$A$1:$H$31,$G110,H$4)</f>
        <v>#N/A</v>
      </c>
      <c r="I110" t="e">
        <f>INDEX('Item Master'!$A$1:$H$31,$G110,I$4)</f>
        <v>#N/A</v>
      </c>
      <c r="J110" t="e">
        <f>INDEX('Item Master'!$A$1:$H$31,$G110,J$4)</f>
        <v>#N/A</v>
      </c>
      <c r="K110" s="10" t="e">
        <f>INDEX('Item Master'!$A$1:$H$31,$G110,K$4)</f>
        <v>#N/A</v>
      </c>
      <c r="L110" s="10" t="e">
        <f t="shared" si="6"/>
        <v>#N/A</v>
      </c>
      <c r="M110" s="10" t="e">
        <f t="shared" si="7"/>
        <v>#N/A</v>
      </c>
    </row>
    <row r="111" spans="5:13" x14ac:dyDescent="0.25">
      <c r="E111" t="str">
        <f t="shared" si="4"/>
        <v/>
      </c>
      <c r="F111" s="13" t="str">
        <f t="shared" si="5"/>
        <v/>
      </c>
      <c r="G111" t="e">
        <f>MATCH(E111,'Item Master'!$A$1:$A$31,FALSE)</f>
        <v>#N/A</v>
      </c>
      <c r="H111" t="e">
        <f>INDEX('Item Master'!$A$1:$H$31,$G111,H$4)</f>
        <v>#N/A</v>
      </c>
      <c r="I111" t="e">
        <f>INDEX('Item Master'!$A$1:$H$31,$G111,I$4)</f>
        <v>#N/A</v>
      </c>
      <c r="J111" t="e">
        <f>INDEX('Item Master'!$A$1:$H$31,$G111,J$4)</f>
        <v>#N/A</v>
      </c>
      <c r="K111" s="10" t="e">
        <f>INDEX('Item Master'!$A$1:$H$31,$G111,K$4)</f>
        <v>#N/A</v>
      </c>
      <c r="L111" s="10" t="e">
        <f t="shared" si="6"/>
        <v>#N/A</v>
      </c>
      <c r="M111" s="10" t="e">
        <f t="shared" si="7"/>
        <v>#N/A</v>
      </c>
    </row>
    <row r="112" spans="5:13" x14ac:dyDescent="0.25">
      <c r="E112" t="str">
        <f t="shared" si="4"/>
        <v/>
      </c>
      <c r="F112" s="13" t="str">
        <f t="shared" si="5"/>
        <v/>
      </c>
      <c r="G112" t="e">
        <f>MATCH(E112,'Item Master'!$A$1:$A$31,FALSE)</f>
        <v>#N/A</v>
      </c>
      <c r="H112" t="e">
        <f>INDEX('Item Master'!$A$1:$H$31,$G112,H$4)</f>
        <v>#N/A</v>
      </c>
      <c r="I112" t="e">
        <f>INDEX('Item Master'!$A$1:$H$31,$G112,I$4)</f>
        <v>#N/A</v>
      </c>
      <c r="J112" t="e">
        <f>INDEX('Item Master'!$A$1:$H$31,$G112,J$4)</f>
        <v>#N/A</v>
      </c>
      <c r="K112" s="10" t="e">
        <f>INDEX('Item Master'!$A$1:$H$31,$G112,K$4)</f>
        <v>#N/A</v>
      </c>
      <c r="L112" s="10" t="e">
        <f t="shared" si="6"/>
        <v>#N/A</v>
      </c>
      <c r="M112" s="10" t="e">
        <f t="shared" si="7"/>
        <v>#N/A</v>
      </c>
    </row>
    <row r="113" spans="5:13" x14ac:dyDescent="0.25">
      <c r="E113" t="str">
        <f t="shared" si="4"/>
        <v/>
      </c>
      <c r="F113" s="13" t="str">
        <f t="shared" si="5"/>
        <v/>
      </c>
      <c r="G113" t="e">
        <f>MATCH(E113,'Item Master'!$A$1:$A$31,FALSE)</f>
        <v>#N/A</v>
      </c>
      <c r="H113" t="e">
        <f>INDEX('Item Master'!$A$1:$H$31,$G113,H$4)</f>
        <v>#N/A</v>
      </c>
      <c r="I113" t="e">
        <f>INDEX('Item Master'!$A$1:$H$31,$G113,I$4)</f>
        <v>#N/A</v>
      </c>
      <c r="J113" t="e">
        <f>INDEX('Item Master'!$A$1:$H$31,$G113,J$4)</f>
        <v>#N/A</v>
      </c>
      <c r="K113" s="10" t="e">
        <f>INDEX('Item Master'!$A$1:$H$31,$G113,K$4)</f>
        <v>#N/A</v>
      </c>
      <c r="L113" s="10" t="e">
        <f t="shared" si="6"/>
        <v>#N/A</v>
      </c>
      <c r="M113" s="10" t="e">
        <f t="shared" si="7"/>
        <v>#N/A</v>
      </c>
    </row>
    <row r="114" spans="5:13" x14ac:dyDescent="0.25">
      <c r="E114" t="str">
        <f t="shared" si="4"/>
        <v/>
      </c>
      <c r="F114" s="13" t="str">
        <f t="shared" si="5"/>
        <v/>
      </c>
      <c r="G114" t="e">
        <f>MATCH(E114,'Item Master'!$A$1:$A$31,FALSE)</f>
        <v>#N/A</v>
      </c>
      <c r="H114" t="e">
        <f>INDEX('Item Master'!$A$1:$H$31,$G114,H$4)</f>
        <v>#N/A</v>
      </c>
      <c r="I114" t="e">
        <f>INDEX('Item Master'!$A$1:$H$31,$G114,I$4)</f>
        <v>#N/A</v>
      </c>
      <c r="J114" t="e">
        <f>INDEX('Item Master'!$A$1:$H$31,$G114,J$4)</f>
        <v>#N/A</v>
      </c>
      <c r="K114" s="10" t="e">
        <f>INDEX('Item Master'!$A$1:$H$31,$G114,K$4)</f>
        <v>#N/A</v>
      </c>
      <c r="L114" s="10" t="e">
        <f t="shared" si="6"/>
        <v>#N/A</v>
      </c>
      <c r="M114" s="10" t="e">
        <f t="shared" si="7"/>
        <v>#N/A</v>
      </c>
    </row>
    <row r="115" spans="5:13" x14ac:dyDescent="0.25">
      <c r="E115" t="str">
        <f t="shared" si="4"/>
        <v/>
      </c>
      <c r="F115" s="13" t="str">
        <f t="shared" si="5"/>
        <v/>
      </c>
      <c r="G115" t="e">
        <f>MATCH(E115,'Item Master'!$A$1:$A$31,FALSE)</f>
        <v>#N/A</v>
      </c>
      <c r="H115" t="e">
        <f>INDEX('Item Master'!$A$1:$H$31,$G115,H$4)</f>
        <v>#N/A</v>
      </c>
      <c r="I115" t="e">
        <f>INDEX('Item Master'!$A$1:$H$31,$G115,I$4)</f>
        <v>#N/A</v>
      </c>
      <c r="J115" t="e">
        <f>INDEX('Item Master'!$A$1:$H$31,$G115,J$4)</f>
        <v>#N/A</v>
      </c>
      <c r="K115" s="10" t="e">
        <f>INDEX('Item Master'!$A$1:$H$31,$G115,K$4)</f>
        <v>#N/A</v>
      </c>
      <c r="L115" s="10" t="e">
        <f t="shared" si="6"/>
        <v>#N/A</v>
      </c>
      <c r="M115" s="10" t="e">
        <f t="shared" si="7"/>
        <v>#N/A</v>
      </c>
    </row>
    <row r="116" spans="5:13" x14ac:dyDescent="0.25">
      <c r="E116" t="str">
        <f t="shared" si="4"/>
        <v/>
      </c>
      <c r="F116" s="13" t="str">
        <f t="shared" si="5"/>
        <v/>
      </c>
      <c r="G116" t="e">
        <f>MATCH(E116,'Item Master'!$A$1:$A$31,FALSE)</f>
        <v>#N/A</v>
      </c>
      <c r="H116" t="e">
        <f>INDEX('Item Master'!$A$1:$H$31,$G116,H$4)</f>
        <v>#N/A</v>
      </c>
      <c r="I116" t="e">
        <f>INDEX('Item Master'!$A$1:$H$31,$G116,I$4)</f>
        <v>#N/A</v>
      </c>
      <c r="J116" t="e">
        <f>INDEX('Item Master'!$A$1:$H$31,$G116,J$4)</f>
        <v>#N/A</v>
      </c>
      <c r="K116" s="10" t="e">
        <f>INDEX('Item Master'!$A$1:$H$31,$G116,K$4)</f>
        <v>#N/A</v>
      </c>
      <c r="L116" s="10" t="e">
        <f t="shared" si="6"/>
        <v>#N/A</v>
      </c>
      <c r="M116" s="10" t="e">
        <f t="shared" si="7"/>
        <v>#N/A</v>
      </c>
    </row>
    <row r="117" spans="5:13" x14ac:dyDescent="0.25">
      <c r="E117" t="str">
        <f t="shared" si="4"/>
        <v/>
      </c>
      <c r="F117" s="13" t="str">
        <f t="shared" si="5"/>
        <v/>
      </c>
      <c r="G117" t="e">
        <f>MATCH(E117,'Item Master'!$A$1:$A$31,FALSE)</f>
        <v>#N/A</v>
      </c>
      <c r="H117" t="e">
        <f>INDEX('Item Master'!$A$1:$H$31,$G117,H$4)</f>
        <v>#N/A</v>
      </c>
      <c r="I117" t="e">
        <f>INDEX('Item Master'!$A$1:$H$31,$G117,I$4)</f>
        <v>#N/A</v>
      </c>
      <c r="J117" t="e">
        <f>INDEX('Item Master'!$A$1:$H$31,$G117,J$4)</f>
        <v>#N/A</v>
      </c>
      <c r="K117" s="10" t="e">
        <f>INDEX('Item Master'!$A$1:$H$31,$G117,K$4)</f>
        <v>#N/A</v>
      </c>
      <c r="L117" s="10" t="e">
        <f t="shared" si="6"/>
        <v>#N/A</v>
      </c>
      <c r="M117" s="10" t="e">
        <f t="shared" si="7"/>
        <v>#N/A</v>
      </c>
    </row>
    <row r="118" spans="5:13" x14ac:dyDescent="0.25">
      <c r="E118" t="str">
        <f t="shared" si="4"/>
        <v/>
      </c>
      <c r="F118" s="13" t="str">
        <f t="shared" si="5"/>
        <v/>
      </c>
      <c r="G118" t="e">
        <f>MATCH(E118,'Item Master'!$A$1:$A$31,FALSE)</f>
        <v>#N/A</v>
      </c>
      <c r="H118" t="e">
        <f>INDEX('Item Master'!$A$1:$H$31,$G118,H$4)</f>
        <v>#N/A</v>
      </c>
      <c r="I118" t="e">
        <f>INDEX('Item Master'!$A$1:$H$31,$G118,I$4)</f>
        <v>#N/A</v>
      </c>
      <c r="J118" t="e">
        <f>INDEX('Item Master'!$A$1:$H$31,$G118,J$4)</f>
        <v>#N/A</v>
      </c>
      <c r="K118" s="10" t="e">
        <f>INDEX('Item Master'!$A$1:$H$31,$G118,K$4)</f>
        <v>#N/A</v>
      </c>
      <c r="L118" s="10" t="e">
        <f t="shared" si="6"/>
        <v>#N/A</v>
      </c>
      <c r="M118" s="10" t="e">
        <f t="shared" si="7"/>
        <v>#N/A</v>
      </c>
    </row>
    <row r="119" spans="5:13" x14ac:dyDescent="0.25">
      <c r="E119" t="str">
        <f t="shared" si="4"/>
        <v/>
      </c>
      <c r="F119" s="13" t="str">
        <f t="shared" si="5"/>
        <v/>
      </c>
      <c r="G119" t="e">
        <f>MATCH(E119,'Item Master'!$A$1:$A$31,FALSE)</f>
        <v>#N/A</v>
      </c>
      <c r="H119" t="e">
        <f>INDEX('Item Master'!$A$1:$H$31,$G119,H$4)</f>
        <v>#N/A</v>
      </c>
      <c r="I119" t="e">
        <f>INDEX('Item Master'!$A$1:$H$31,$G119,I$4)</f>
        <v>#N/A</v>
      </c>
      <c r="J119" t="e">
        <f>INDEX('Item Master'!$A$1:$H$31,$G119,J$4)</f>
        <v>#N/A</v>
      </c>
      <c r="K119" s="10" t="e">
        <f>INDEX('Item Master'!$A$1:$H$31,$G119,K$4)</f>
        <v>#N/A</v>
      </c>
      <c r="L119" s="10" t="e">
        <f t="shared" si="6"/>
        <v>#N/A</v>
      </c>
      <c r="M119" s="10" t="e">
        <f t="shared" si="7"/>
        <v>#N/A</v>
      </c>
    </row>
    <row r="120" spans="5:13" x14ac:dyDescent="0.25">
      <c r="E120" t="str">
        <f t="shared" si="4"/>
        <v/>
      </c>
      <c r="F120" s="13" t="str">
        <f t="shared" si="5"/>
        <v/>
      </c>
      <c r="G120" t="e">
        <f>MATCH(E120,'Item Master'!$A$1:$A$31,FALSE)</f>
        <v>#N/A</v>
      </c>
      <c r="H120" t="e">
        <f>INDEX('Item Master'!$A$1:$H$31,$G120,H$4)</f>
        <v>#N/A</v>
      </c>
      <c r="I120" t="e">
        <f>INDEX('Item Master'!$A$1:$H$31,$G120,I$4)</f>
        <v>#N/A</v>
      </c>
      <c r="J120" t="e">
        <f>INDEX('Item Master'!$A$1:$H$31,$G120,J$4)</f>
        <v>#N/A</v>
      </c>
      <c r="K120" s="10" t="e">
        <f>INDEX('Item Master'!$A$1:$H$31,$G120,K$4)</f>
        <v>#N/A</v>
      </c>
      <c r="L120" s="10" t="e">
        <f t="shared" si="6"/>
        <v>#N/A</v>
      </c>
      <c r="M120" s="10" t="e">
        <f t="shared" si="7"/>
        <v>#N/A</v>
      </c>
    </row>
    <row r="121" spans="5:13" x14ac:dyDescent="0.25">
      <c r="E121" t="str">
        <f t="shared" si="4"/>
        <v/>
      </c>
      <c r="F121" s="13" t="str">
        <f t="shared" si="5"/>
        <v/>
      </c>
      <c r="G121" t="e">
        <f>MATCH(E121,'Item Master'!$A$1:$A$31,FALSE)</f>
        <v>#N/A</v>
      </c>
      <c r="H121" t="e">
        <f>INDEX('Item Master'!$A$1:$H$31,$G121,H$4)</f>
        <v>#N/A</v>
      </c>
      <c r="I121" t="e">
        <f>INDEX('Item Master'!$A$1:$H$31,$G121,I$4)</f>
        <v>#N/A</v>
      </c>
      <c r="J121" t="e">
        <f>INDEX('Item Master'!$A$1:$H$31,$G121,J$4)</f>
        <v>#N/A</v>
      </c>
      <c r="K121" s="10" t="e">
        <f>INDEX('Item Master'!$A$1:$H$31,$G121,K$4)</f>
        <v>#N/A</v>
      </c>
      <c r="L121" s="10" t="e">
        <f t="shared" si="6"/>
        <v>#N/A</v>
      </c>
      <c r="M121" s="10" t="e">
        <f t="shared" si="7"/>
        <v>#N/A</v>
      </c>
    </row>
    <row r="122" spans="5:13" x14ac:dyDescent="0.25">
      <c r="E122" t="str">
        <f t="shared" si="4"/>
        <v/>
      </c>
      <c r="F122" s="13" t="str">
        <f t="shared" si="5"/>
        <v/>
      </c>
      <c r="G122" t="e">
        <f>MATCH(E122,'Item Master'!$A$1:$A$31,FALSE)</f>
        <v>#N/A</v>
      </c>
      <c r="H122" t="e">
        <f>INDEX('Item Master'!$A$1:$H$31,$G122,H$4)</f>
        <v>#N/A</v>
      </c>
      <c r="I122" t="e">
        <f>INDEX('Item Master'!$A$1:$H$31,$G122,I$4)</f>
        <v>#N/A</v>
      </c>
      <c r="J122" t="e">
        <f>INDEX('Item Master'!$A$1:$H$31,$G122,J$4)</f>
        <v>#N/A</v>
      </c>
      <c r="K122" s="10" t="e">
        <f>INDEX('Item Master'!$A$1:$H$31,$G122,K$4)</f>
        <v>#N/A</v>
      </c>
      <c r="L122" s="10" t="e">
        <f t="shared" si="6"/>
        <v>#N/A</v>
      </c>
      <c r="M122" s="10" t="e">
        <f t="shared" si="7"/>
        <v>#N/A</v>
      </c>
    </row>
    <row r="123" spans="5:13" x14ac:dyDescent="0.25">
      <c r="E123" t="str">
        <f t="shared" si="4"/>
        <v/>
      </c>
      <c r="F123" s="13" t="str">
        <f t="shared" si="5"/>
        <v/>
      </c>
      <c r="G123" t="e">
        <f>MATCH(E123,'Item Master'!$A$1:$A$31,FALSE)</f>
        <v>#N/A</v>
      </c>
      <c r="H123" t="e">
        <f>INDEX('Item Master'!$A$1:$H$31,$G123,H$4)</f>
        <v>#N/A</v>
      </c>
      <c r="I123" t="e">
        <f>INDEX('Item Master'!$A$1:$H$31,$G123,I$4)</f>
        <v>#N/A</v>
      </c>
      <c r="J123" t="e">
        <f>INDEX('Item Master'!$A$1:$H$31,$G123,J$4)</f>
        <v>#N/A</v>
      </c>
      <c r="K123" s="10" t="e">
        <f>INDEX('Item Master'!$A$1:$H$31,$G123,K$4)</f>
        <v>#N/A</v>
      </c>
      <c r="L123" s="10" t="e">
        <f t="shared" si="6"/>
        <v>#N/A</v>
      </c>
      <c r="M123" s="10" t="e">
        <f t="shared" si="7"/>
        <v>#N/A</v>
      </c>
    </row>
    <row r="124" spans="5:13" x14ac:dyDescent="0.25">
      <c r="E124" t="str">
        <f t="shared" si="4"/>
        <v/>
      </c>
      <c r="F124" s="13" t="str">
        <f t="shared" si="5"/>
        <v/>
      </c>
      <c r="G124" t="e">
        <f>MATCH(E124,'Item Master'!$A$1:$A$31,FALSE)</f>
        <v>#N/A</v>
      </c>
      <c r="H124" t="e">
        <f>INDEX('Item Master'!$A$1:$H$31,$G124,H$4)</f>
        <v>#N/A</v>
      </c>
      <c r="I124" t="e">
        <f>INDEX('Item Master'!$A$1:$H$31,$G124,I$4)</f>
        <v>#N/A</v>
      </c>
      <c r="J124" t="e">
        <f>INDEX('Item Master'!$A$1:$H$31,$G124,J$4)</f>
        <v>#N/A</v>
      </c>
      <c r="K124" s="10" t="e">
        <f>INDEX('Item Master'!$A$1:$H$31,$G124,K$4)</f>
        <v>#N/A</v>
      </c>
      <c r="L124" s="10" t="e">
        <f t="shared" si="6"/>
        <v>#N/A</v>
      </c>
      <c r="M124" s="10" t="e">
        <f t="shared" si="7"/>
        <v>#N/A</v>
      </c>
    </row>
    <row r="125" spans="5:13" x14ac:dyDescent="0.25">
      <c r="E125" t="str">
        <f t="shared" si="4"/>
        <v/>
      </c>
      <c r="F125" s="13" t="str">
        <f t="shared" si="5"/>
        <v/>
      </c>
      <c r="G125" t="e">
        <f>MATCH(E125,'Item Master'!$A$1:$A$31,FALSE)</f>
        <v>#N/A</v>
      </c>
      <c r="H125" t="e">
        <f>INDEX('Item Master'!$A$1:$H$31,$G125,H$4)</f>
        <v>#N/A</v>
      </c>
      <c r="I125" t="e">
        <f>INDEX('Item Master'!$A$1:$H$31,$G125,I$4)</f>
        <v>#N/A</v>
      </c>
      <c r="J125" t="e">
        <f>INDEX('Item Master'!$A$1:$H$31,$G125,J$4)</f>
        <v>#N/A</v>
      </c>
      <c r="K125" s="10" t="e">
        <f>INDEX('Item Master'!$A$1:$H$31,$G125,K$4)</f>
        <v>#N/A</v>
      </c>
      <c r="L125" s="10" t="e">
        <f t="shared" si="6"/>
        <v>#N/A</v>
      </c>
      <c r="M125" s="10" t="e">
        <f t="shared" si="7"/>
        <v>#N/A</v>
      </c>
    </row>
    <row r="126" spans="5:13" x14ac:dyDescent="0.25">
      <c r="E126" t="str">
        <f t="shared" si="4"/>
        <v/>
      </c>
      <c r="F126" s="13" t="str">
        <f t="shared" si="5"/>
        <v/>
      </c>
      <c r="G126" t="e">
        <f>MATCH(E126,'Item Master'!$A$1:$A$31,FALSE)</f>
        <v>#N/A</v>
      </c>
      <c r="H126" t="e">
        <f>INDEX('Item Master'!$A$1:$H$31,$G126,H$4)</f>
        <v>#N/A</v>
      </c>
      <c r="I126" t="e">
        <f>INDEX('Item Master'!$A$1:$H$31,$G126,I$4)</f>
        <v>#N/A</v>
      </c>
      <c r="J126" t="e">
        <f>INDEX('Item Master'!$A$1:$H$31,$G126,J$4)</f>
        <v>#N/A</v>
      </c>
      <c r="K126" s="10" t="e">
        <f>INDEX('Item Master'!$A$1:$H$31,$G126,K$4)</f>
        <v>#N/A</v>
      </c>
      <c r="L126" s="10" t="e">
        <f t="shared" si="6"/>
        <v>#N/A</v>
      </c>
      <c r="M126" s="10" t="e">
        <f t="shared" si="7"/>
        <v>#N/A</v>
      </c>
    </row>
    <row r="127" spans="5:13" x14ac:dyDescent="0.25">
      <c r="E127" t="str">
        <f t="shared" si="4"/>
        <v/>
      </c>
      <c r="F127" s="13" t="str">
        <f t="shared" si="5"/>
        <v/>
      </c>
      <c r="G127" t="e">
        <f>MATCH(E127,'Item Master'!$A$1:$A$31,FALSE)</f>
        <v>#N/A</v>
      </c>
      <c r="H127" t="e">
        <f>INDEX('Item Master'!$A$1:$H$31,$G127,H$4)</f>
        <v>#N/A</v>
      </c>
      <c r="I127" t="e">
        <f>INDEX('Item Master'!$A$1:$H$31,$G127,I$4)</f>
        <v>#N/A</v>
      </c>
      <c r="J127" t="e">
        <f>INDEX('Item Master'!$A$1:$H$31,$G127,J$4)</f>
        <v>#N/A</v>
      </c>
      <c r="K127" s="10" t="e">
        <f>INDEX('Item Master'!$A$1:$H$31,$G127,K$4)</f>
        <v>#N/A</v>
      </c>
      <c r="L127" s="10" t="e">
        <f t="shared" si="6"/>
        <v>#N/A</v>
      </c>
      <c r="M127" s="10" t="e">
        <f t="shared" si="7"/>
        <v>#N/A</v>
      </c>
    </row>
    <row r="128" spans="5:13" x14ac:dyDescent="0.25">
      <c r="E128" t="str">
        <f t="shared" si="4"/>
        <v/>
      </c>
      <c r="F128" s="13" t="str">
        <f t="shared" si="5"/>
        <v/>
      </c>
      <c r="G128" t="e">
        <f>MATCH(E128,'Item Master'!$A$1:$A$31,FALSE)</f>
        <v>#N/A</v>
      </c>
      <c r="H128" t="e">
        <f>INDEX('Item Master'!$A$1:$H$31,$G128,H$4)</f>
        <v>#N/A</v>
      </c>
      <c r="I128" t="e">
        <f>INDEX('Item Master'!$A$1:$H$31,$G128,I$4)</f>
        <v>#N/A</v>
      </c>
      <c r="J128" t="e">
        <f>INDEX('Item Master'!$A$1:$H$31,$G128,J$4)</f>
        <v>#N/A</v>
      </c>
      <c r="K128" s="10" t="e">
        <f>INDEX('Item Master'!$A$1:$H$31,$G128,K$4)</f>
        <v>#N/A</v>
      </c>
      <c r="L128" s="10" t="e">
        <f t="shared" si="6"/>
        <v>#N/A</v>
      </c>
      <c r="M128" s="10" t="e">
        <f t="shared" si="7"/>
        <v>#N/A</v>
      </c>
    </row>
    <row r="129" spans="5:13" x14ac:dyDescent="0.25">
      <c r="E129" t="str">
        <f t="shared" si="4"/>
        <v/>
      </c>
      <c r="F129" s="13" t="str">
        <f t="shared" si="5"/>
        <v/>
      </c>
      <c r="G129" t="e">
        <f>MATCH(E129,'Item Master'!$A$1:$A$31,FALSE)</f>
        <v>#N/A</v>
      </c>
      <c r="H129" t="e">
        <f>INDEX('Item Master'!$A$1:$H$31,$G129,H$4)</f>
        <v>#N/A</v>
      </c>
      <c r="I129" t="e">
        <f>INDEX('Item Master'!$A$1:$H$31,$G129,I$4)</f>
        <v>#N/A</v>
      </c>
      <c r="J129" t="e">
        <f>INDEX('Item Master'!$A$1:$H$31,$G129,J$4)</f>
        <v>#N/A</v>
      </c>
      <c r="K129" s="10" t="e">
        <f>INDEX('Item Master'!$A$1:$H$31,$G129,K$4)</f>
        <v>#N/A</v>
      </c>
      <c r="L129" s="10" t="e">
        <f t="shared" si="6"/>
        <v>#N/A</v>
      </c>
      <c r="M129" s="10" t="e">
        <f t="shared" si="7"/>
        <v>#N/A</v>
      </c>
    </row>
    <row r="130" spans="5:13" x14ac:dyDescent="0.25">
      <c r="E130" t="str">
        <f t="shared" si="4"/>
        <v/>
      </c>
      <c r="F130" s="13" t="str">
        <f t="shared" si="5"/>
        <v/>
      </c>
      <c r="G130" t="e">
        <f>MATCH(E130,'Item Master'!$A$1:$A$31,FALSE)</f>
        <v>#N/A</v>
      </c>
      <c r="H130" t="e">
        <f>INDEX('Item Master'!$A$1:$H$31,$G130,H$4)</f>
        <v>#N/A</v>
      </c>
      <c r="I130" t="e">
        <f>INDEX('Item Master'!$A$1:$H$31,$G130,I$4)</f>
        <v>#N/A</v>
      </c>
      <c r="J130" t="e">
        <f>INDEX('Item Master'!$A$1:$H$31,$G130,J$4)</f>
        <v>#N/A</v>
      </c>
      <c r="K130" s="10" t="e">
        <f>INDEX('Item Master'!$A$1:$H$31,$G130,K$4)</f>
        <v>#N/A</v>
      </c>
      <c r="L130" s="10" t="e">
        <f t="shared" si="6"/>
        <v>#N/A</v>
      </c>
      <c r="M130" s="10" t="e">
        <f t="shared" si="7"/>
        <v>#N/A</v>
      </c>
    </row>
    <row r="131" spans="5:13" x14ac:dyDescent="0.25">
      <c r="E131" t="str">
        <f t="shared" si="4"/>
        <v/>
      </c>
      <c r="F131" s="13" t="str">
        <f t="shared" si="5"/>
        <v/>
      </c>
      <c r="G131" t="e">
        <f>MATCH(E131,'Item Master'!$A$1:$A$31,FALSE)</f>
        <v>#N/A</v>
      </c>
      <c r="H131" t="e">
        <f>INDEX('Item Master'!$A$1:$H$31,$G131,H$4)</f>
        <v>#N/A</v>
      </c>
      <c r="I131" t="e">
        <f>INDEX('Item Master'!$A$1:$H$31,$G131,I$4)</f>
        <v>#N/A</v>
      </c>
      <c r="J131" t="e">
        <f>INDEX('Item Master'!$A$1:$H$31,$G131,J$4)</f>
        <v>#N/A</v>
      </c>
      <c r="K131" s="10" t="e">
        <f>INDEX('Item Master'!$A$1:$H$31,$G131,K$4)</f>
        <v>#N/A</v>
      </c>
      <c r="L131" s="10" t="e">
        <f t="shared" si="6"/>
        <v>#N/A</v>
      </c>
      <c r="M131" s="10" t="e">
        <f t="shared" si="7"/>
        <v>#N/A</v>
      </c>
    </row>
    <row r="132" spans="5:13" x14ac:dyDescent="0.25">
      <c r="E132" t="str">
        <f t="shared" si="4"/>
        <v/>
      </c>
      <c r="F132" s="13" t="str">
        <f t="shared" si="5"/>
        <v/>
      </c>
      <c r="G132" t="e">
        <f>MATCH(E132,'Item Master'!$A$1:$A$31,FALSE)</f>
        <v>#N/A</v>
      </c>
      <c r="H132" t="e">
        <f>INDEX('Item Master'!$A$1:$H$31,$G132,H$4)</f>
        <v>#N/A</v>
      </c>
      <c r="I132" t="e">
        <f>INDEX('Item Master'!$A$1:$H$31,$G132,I$4)</f>
        <v>#N/A</v>
      </c>
      <c r="J132" t="e">
        <f>INDEX('Item Master'!$A$1:$H$31,$G132,J$4)</f>
        <v>#N/A</v>
      </c>
      <c r="K132" s="10" t="e">
        <f>INDEX('Item Master'!$A$1:$H$31,$G132,K$4)</f>
        <v>#N/A</v>
      </c>
      <c r="L132" s="10" t="e">
        <f t="shared" si="6"/>
        <v>#N/A</v>
      </c>
      <c r="M132" s="10" t="e">
        <f t="shared" si="7"/>
        <v>#N/A</v>
      </c>
    </row>
    <row r="133" spans="5:13" x14ac:dyDescent="0.25">
      <c r="E133" t="str">
        <f t="shared" si="4"/>
        <v/>
      </c>
      <c r="F133" s="13" t="str">
        <f t="shared" si="5"/>
        <v/>
      </c>
      <c r="G133" t="e">
        <f>MATCH(E133,'Item Master'!$A$1:$A$31,FALSE)</f>
        <v>#N/A</v>
      </c>
      <c r="H133" t="e">
        <f>INDEX('Item Master'!$A$1:$H$31,$G133,H$4)</f>
        <v>#N/A</v>
      </c>
      <c r="I133" t="e">
        <f>INDEX('Item Master'!$A$1:$H$31,$G133,I$4)</f>
        <v>#N/A</v>
      </c>
      <c r="J133" t="e">
        <f>INDEX('Item Master'!$A$1:$H$31,$G133,J$4)</f>
        <v>#N/A</v>
      </c>
      <c r="K133" s="10" t="e">
        <f>INDEX('Item Master'!$A$1:$H$31,$G133,K$4)</f>
        <v>#N/A</v>
      </c>
      <c r="L133" s="10" t="e">
        <f t="shared" si="6"/>
        <v>#N/A</v>
      </c>
      <c r="M133" s="10" t="e">
        <f t="shared" si="7"/>
        <v>#N/A</v>
      </c>
    </row>
    <row r="134" spans="5:13" x14ac:dyDescent="0.25">
      <c r="E134" t="str">
        <f t="shared" si="4"/>
        <v/>
      </c>
      <c r="F134" s="13" t="str">
        <f t="shared" si="5"/>
        <v/>
      </c>
      <c r="G134" t="e">
        <f>MATCH(E134,'Item Master'!$A$1:$A$31,FALSE)</f>
        <v>#N/A</v>
      </c>
      <c r="H134" t="e">
        <f>INDEX('Item Master'!$A$1:$H$31,$G134,H$4)</f>
        <v>#N/A</v>
      </c>
      <c r="I134" t="e">
        <f>INDEX('Item Master'!$A$1:$H$31,$G134,I$4)</f>
        <v>#N/A</v>
      </c>
      <c r="J134" t="e">
        <f>INDEX('Item Master'!$A$1:$H$31,$G134,J$4)</f>
        <v>#N/A</v>
      </c>
      <c r="K134" s="10" t="e">
        <f>INDEX('Item Master'!$A$1:$H$31,$G134,K$4)</f>
        <v>#N/A</v>
      </c>
      <c r="L134" s="10" t="e">
        <f t="shared" si="6"/>
        <v>#N/A</v>
      </c>
      <c r="M134" s="10" t="e">
        <f t="shared" si="7"/>
        <v>#N/A</v>
      </c>
    </row>
    <row r="135" spans="5:13" x14ac:dyDescent="0.25">
      <c r="E135" t="str">
        <f t="shared" si="4"/>
        <v/>
      </c>
      <c r="F135" s="13" t="str">
        <f t="shared" si="5"/>
        <v/>
      </c>
      <c r="G135" t="e">
        <f>MATCH(E135,'Item Master'!$A$1:$A$31,FALSE)</f>
        <v>#N/A</v>
      </c>
      <c r="H135" t="e">
        <f>INDEX('Item Master'!$A$1:$H$31,$G135,H$4)</f>
        <v>#N/A</v>
      </c>
      <c r="I135" t="e">
        <f>INDEX('Item Master'!$A$1:$H$31,$G135,I$4)</f>
        <v>#N/A</v>
      </c>
      <c r="J135" t="e">
        <f>INDEX('Item Master'!$A$1:$H$31,$G135,J$4)</f>
        <v>#N/A</v>
      </c>
      <c r="K135" s="10" t="e">
        <f>INDEX('Item Master'!$A$1:$H$31,$G135,K$4)</f>
        <v>#N/A</v>
      </c>
      <c r="L135" s="10" t="e">
        <f t="shared" si="6"/>
        <v>#N/A</v>
      </c>
      <c r="M135" s="10" t="e">
        <f t="shared" si="7"/>
        <v>#N/A</v>
      </c>
    </row>
    <row r="136" spans="5:13" x14ac:dyDescent="0.25">
      <c r="E136" t="str">
        <f t="shared" ref="E136:E149" si="8">IF(D136,IF(ISBLANK(A136),E135,A136),"")</f>
        <v/>
      </c>
      <c r="F136" s="13" t="str">
        <f t="shared" ref="F136:F149" si="9">IF(D136,IF(ISBLANK(B136),F135,B136),"")</f>
        <v/>
      </c>
      <c r="G136" t="e">
        <f>MATCH(E136,'Item Master'!$A$1:$A$31,FALSE)</f>
        <v>#N/A</v>
      </c>
      <c r="H136" t="e">
        <f>INDEX('Item Master'!$A$1:$H$31,$G136,H$4)</f>
        <v>#N/A</v>
      </c>
      <c r="I136" t="e">
        <f>INDEX('Item Master'!$A$1:$H$31,$G136,I$4)</f>
        <v>#N/A</v>
      </c>
      <c r="J136" t="e">
        <f>INDEX('Item Master'!$A$1:$H$31,$G136,J$4)</f>
        <v>#N/A</v>
      </c>
      <c r="K136" s="10" t="e">
        <f>INDEX('Item Master'!$A$1:$H$31,$G136,K$4)</f>
        <v>#N/A</v>
      </c>
      <c r="L136" s="10" t="e">
        <f t="shared" ref="L136:L149" si="10">IF(E136=E135,L135,K136)-D136</f>
        <v>#N/A</v>
      </c>
      <c r="M136" s="10" t="e">
        <f t="shared" ref="M136:M149" si="11">IF(L136&gt;0,0,MIN(D136,L136*-1))</f>
        <v>#N/A</v>
      </c>
    </row>
    <row r="137" spans="5:13" x14ac:dyDescent="0.25">
      <c r="E137" t="str">
        <f t="shared" si="8"/>
        <v/>
      </c>
      <c r="F137" s="13" t="str">
        <f t="shared" si="9"/>
        <v/>
      </c>
      <c r="G137" t="e">
        <f>MATCH(E137,'Item Master'!$A$1:$A$31,FALSE)</f>
        <v>#N/A</v>
      </c>
      <c r="H137" t="e">
        <f>INDEX('Item Master'!$A$1:$H$31,$G137,H$4)</f>
        <v>#N/A</v>
      </c>
      <c r="I137" t="e">
        <f>INDEX('Item Master'!$A$1:$H$31,$G137,I$4)</f>
        <v>#N/A</v>
      </c>
      <c r="J137" t="e">
        <f>INDEX('Item Master'!$A$1:$H$31,$G137,J$4)</f>
        <v>#N/A</v>
      </c>
      <c r="K137" s="10" t="e">
        <f>INDEX('Item Master'!$A$1:$H$31,$G137,K$4)</f>
        <v>#N/A</v>
      </c>
      <c r="L137" s="10" t="e">
        <f t="shared" si="10"/>
        <v>#N/A</v>
      </c>
      <c r="M137" s="10" t="e">
        <f t="shared" si="11"/>
        <v>#N/A</v>
      </c>
    </row>
    <row r="138" spans="5:13" x14ac:dyDescent="0.25">
      <c r="E138" t="str">
        <f t="shared" si="8"/>
        <v/>
      </c>
      <c r="F138" s="13" t="str">
        <f t="shared" si="9"/>
        <v/>
      </c>
      <c r="G138" t="e">
        <f>MATCH(E138,'Item Master'!$A$1:$A$31,FALSE)</f>
        <v>#N/A</v>
      </c>
      <c r="H138" t="e">
        <f>INDEX('Item Master'!$A$1:$H$31,$G138,H$4)</f>
        <v>#N/A</v>
      </c>
      <c r="I138" t="e">
        <f>INDEX('Item Master'!$A$1:$H$31,$G138,I$4)</f>
        <v>#N/A</v>
      </c>
      <c r="J138" t="e">
        <f>INDEX('Item Master'!$A$1:$H$31,$G138,J$4)</f>
        <v>#N/A</v>
      </c>
      <c r="K138" s="10" t="e">
        <f>INDEX('Item Master'!$A$1:$H$31,$G138,K$4)</f>
        <v>#N/A</v>
      </c>
      <c r="L138" s="10" t="e">
        <f t="shared" si="10"/>
        <v>#N/A</v>
      </c>
      <c r="M138" s="10" t="e">
        <f t="shared" si="11"/>
        <v>#N/A</v>
      </c>
    </row>
    <row r="139" spans="5:13" x14ac:dyDescent="0.25">
      <c r="E139" t="str">
        <f t="shared" si="8"/>
        <v/>
      </c>
      <c r="F139" s="13" t="str">
        <f t="shared" si="9"/>
        <v/>
      </c>
      <c r="G139" t="e">
        <f>MATCH(E139,'Item Master'!$A$1:$A$31,FALSE)</f>
        <v>#N/A</v>
      </c>
      <c r="H139" t="e">
        <f>INDEX('Item Master'!$A$1:$H$31,$G139,H$4)</f>
        <v>#N/A</v>
      </c>
      <c r="I139" t="e">
        <f>INDEX('Item Master'!$A$1:$H$31,$G139,I$4)</f>
        <v>#N/A</v>
      </c>
      <c r="J139" t="e">
        <f>INDEX('Item Master'!$A$1:$H$31,$G139,J$4)</f>
        <v>#N/A</v>
      </c>
      <c r="K139" s="10" t="e">
        <f>INDEX('Item Master'!$A$1:$H$31,$G139,K$4)</f>
        <v>#N/A</v>
      </c>
      <c r="L139" s="10" t="e">
        <f t="shared" si="10"/>
        <v>#N/A</v>
      </c>
      <c r="M139" s="10" t="e">
        <f t="shared" si="11"/>
        <v>#N/A</v>
      </c>
    </row>
    <row r="140" spans="5:13" x14ac:dyDescent="0.25">
      <c r="E140" t="str">
        <f t="shared" si="8"/>
        <v/>
      </c>
      <c r="F140" s="13" t="str">
        <f t="shared" si="9"/>
        <v/>
      </c>
      <c r="G140" t="e">
        <f>MATCH(E140,'Item Master'!$A$1:$A$31,FALSE)</f>
        <v>#N/A</v>
      </c>
      <c r="H140" t="e">
        <f>INDEX('Item Master'!$A$1:$H$31,$G140,H$4)</f>
        <v>#N/A</v>
      </c>
      <c r="I140" t="e">
        <f>INDEX('Item Master'!$A$1:$H$31,$G140,I$4)</f>
        <v>#N/A</v>
      </c>
      <c r="J140" t="e">
        <f>INDEX('Item Master'!$A$1:$H$31,$G140,J$4)</f>
        <v>#N/A</v>
      </c>
      <c r="K140" s="10" t="e">
        <f>INDEX('Item Master'!$A$1:$H$31,$G140,K$4)</f>
        <v>#N/A</v>
      </c>
      <c r="L140" s="10" t="e">
        <f t="shared" si="10"/>
        <v>#N/A</v>
      </c>
      <c r="M140" s="10" t="e">
        <f t="shared" si="11"/>
        <v>#N/A</v>
      </c>
    </row>
    <row r="141" spans="5:13" x14ac:dyDescent="0.25">
      <c r="E141" t="str">
        <f t="shared" si="8"/>
        <v/>
      </c>
      <c r="F141" s="13" t="str">
        <f t="shared" si="9"/>
        <v/>
      </c>
      <c r="G141" t="e">
        <f>MATCH(E141,'Item Master'!$A$1:$A$31,FALSE)</f>
        <v>#N/A</v>
      </c>
      <c r="H141" t="e">
        <f>INDEX('Item Master'!$A$1:$H$31,$G141,H$4)</f>
        <v>#N/A</v>
      </c>
      <c r="I141" t="e">
        <f>INDEX('Item Master'!$A$1:$H$31,$G141,I$4)</f>
        <v>#N/A</v>
      </c>
      <c r="J141" t="e">
        <f>INDEX('Item Master'!$A$1:$H$31,$G141,J$4)</f>
        <v>#N/A</v>
      </c>
      <c r="K141" s="10" t="e">
        <f>INDEX('Item Master'!$A$1:$H$31,$G141,K$4)</f>
        <v>#N/A</v>
      </c>
      <c r="L141" s="10" t="e">
        <f t="shared" si="10"/>
        <v>#N/A</v>
      </c>
      <c r="M141" s="10" t="e">
        <f t="shared" si="11"/>
        <v>#N/A</v>
      </c>
    </row>
    <row r="142" spans="5:13" x14ac:dyDescent="0.25">
      <c r="E142" t="str">
        <f t="shared" si="8"/>
        <v/>
      </c>
      <c r="F142" s="13" t="str">
        <f t="shared" si="9"/>
        <v/>
      </c>
      <c r="G142" t="e">
        <f>MATCH(E142,'Item Master'!$A$1:$A$31,FALSE)</f>
        <v>#N/A</v>
      </c>
      <c r="H142" t="e">
        <f>INDEX('Item Master'!$A$1:$H$31,$G142,H$4)</f>
        <v>#N/A</v>
      </c>
      <c r="I142" t="e">
        <f>INDEX('Item Master'!$A$1:$H$31,$G142,I$4)</f>
        <v>#N/A</v>
      </c>
      <c r="J142" t="e">
        <f>INDEX('Item Master'!$A$1:$H$31,$G142,J$4)</f>
        <v>#N/A</v>
      </c>
      <c r="K142" s="10" t="e">
        <f>INDEX('Item Master'!$A$1:$H$31,$G142,K$4)</f>
        <v>#N/A</v>
      </c>
      <c r="L142" s="10" t="e">
        <f t="shared" si="10"/>
        <v>#N/A</v>
      </c>
      <c r="M142" s="10" t="e">
        <f t="shared" si="11"/>
        <v>#N/A</v>
      </c>
    </row>
    <row r="143" spans="5:13" x14ac:dyDescent="0.25">
      <c r="E143" t="str">
        <f t="shared" si="8"/>
        <v/>
      </c>
      <c r="F143" s="13" t="str">
        <f t="shared" si="9"/>
        <v/>
      </c>
      <c r="G143" t="e">
        <f>MATCH(E143,'Item Master'!$A$1:$A$31,FALSE)</f>
        <v>#N/A</v>
      </c>
      <c r="H143" t="e">
        <f>INDEX('Item Master'!$A$1:$H$31,$G143,H$4)</f>
        <v>#N/A</v>
      </c>
      <c r="I143" t="e">
        <f>INDEX('Item Master'!$A$1:$H$31,$G143,I$4)</f>
        <v>#N/A</v>
      </c>
      <c r="J143" t="e">
        <f>INDEX('Item Master'!$A$1:$H$31,$G143,J$4)</f>
        <v>#N/A</v>
      </c>
      <c r="K143" s="10" t="e">
        <f>INDEX('Item Master'!$A$1:$H$31,$G143,K$4)</f>
        <v>#N/A</v>
      </c>
      <c r="L143" s="10" t="e">
        <f t="shared" si="10"/>
        <v>#N/A</v>
      </c>
      <c r="M143" s="10" t="e">
        <f t="shared" si="11"/>
        <v>#N/A</v>
      </c>
    </row>
    <row r="144" spans="5:13" x14ac:dyDescent="0.25">
      <c r="E144" t="str">
        <f t="shared" si="8"/>
        <v/>
      </c>
      <c r="F144" s="13" t="str">
        <f t="shared" si="9"/>
        <v/>
      </c>
      <c r="G144" t="e">
        <f>MATCH(E144,'Item Master'!$A$1:$A$31,FALSE)</f>
        <v>#N/A</v>
      </c>
      <c r="H144" t="e">
        <f>INDEX('Item Master'!$A$1:$H$31,$G144,H$4)</f>
        <v>#N/A</v>
      </c>
      <c r="I144" t="e">
        <f>INDEX('Item Master'!$A$1:$H$31,$G144,I$4)</f>
        <v>#N/A</v>
      </c>
      <c r="J144" t="e">
        <f>INDEX('Item Master'!$A$1:$H$31,$G144,J$4)</f>
        <v>#N/A</v>
      </c>
      <c r="K144" s="10" t="e">
        <f>INDEX('Item Master'!$A$1:$H$31,$G144,K$4)</f>
        <v>#N/A</v>
      </c>
      <c r="L144" s="10" t="e">
        <f t="shared" si="10"/>
        <v>#N/A</v>
      </c>
      <c r="M144" s="10" t="e">
        <f t="shared" si="11"/>
        <v>#N/A</v>
      </c>
    </row>
    <row r="145" spans="3:14" x14ac:dyDescent="0.25">
      <c r="E145" t="str">
        <f t="shared" si="8"/>
        <v/>
      </c>
      <c r="F145" s="13" t="str">
        <f t="shared" si="9"/>
        <v/>
      </c>
      <c r="G145" t="e">
        <f>MATCH(E145,'Item Master'!$A$1:$A$31,FALSE)</f>
        <v>#N/A</v>
      </c>
      <c r="H145" t="e">
        <f>INDEX('Item Master'!$A$1:$H$31,$G145,H$4)</f>
        <v>#N/A</v>
      </c>
      <c r="I145" t="e">
        <f>INDEX('Item Master'!$A$1:$H$31,$G145,I$4)</f>
        <v>#N/A</v>
      </c>
      <c r="J145" t="e">
        <f>INDEX('Item Master'!$A$1:$H$31,$G145,J$4)</f>
        <v>#N/A</v>
      </c>
      <c r="K145" s="10" t="e">
        <f>INDEX('Item Master'!$A$1:$H$31,$G145,K$4)</f>
        <v>#N/A</v>
      </c>
      <c r="L145" s="10" t="e">
        <f t="shared" si="10"/>
        <v>#N/A</v>
      </c>
      <c r="M145" s="10" t="e">
        <f t="shared" si="11"/>
        <v>#N/A</v>
      </c>
    </row>
    <row r="146" spans="3:14" x14ac:dyDescent="0.25">
      <c r="E146" t="str">
        <f t="shared" si="8"/>
        <v/>
      </c>
      <c r="F146" s="13" t="str">
        <f t="shared" si="9"/>
        <v/>
      </c>
      <c r="G146" t="e">
        <f>MATCH(E146,'Item Master'!$A$1:$A$31,FALSE)</f>
        <v>#N/A</v>
      </c>
      <c r="H146" t="e">
        <f>INDEX('Item Master'!$A$1:$H$31,$G146,H$4)</f>
        <v>#N/A</v>
      </c>
      <c r="I146" t="e">
        <f>INDEX('Item Master'!$A$1:$H$31,$G146,I$4)</f>
        <v>#N/A</v>
      </c>
      <c r="J146" t="e">
        <f>INDEX('Item Master'!$A$1:$H$31,$G146,J$4)</f>
        <v>#N/A</v>
      </c>
      <c r="K146" s="10" t="e">
        <f>INDEX('Item Master'!$A$1:$H$31,$G146,K$4)</f>
        <v>#N/A</v>
      </c>
      <c r="L146" s="10" t="e">
        <f t="shared" si="10"/>
        <v>#N/A</v>
      </c>
      <c r="M146" s="10" t="e">
        <f t="shared" si="11"/>
        <v>#N/A</v>
      </c>
    </row>
    <row r="147" spans="3:14" x14ac:dyDescent="0.25">
      <c r="E147" t="str">
        <f t="shared" si="8"/>
        <v/>
      </c>
      <c r="F147" s="13" t="str">
        <f t="shared" si="9"/>
        <v/>
      </c>
      <c r="G147" t="e">
        <f>MATCH(E147,'Item Master'!$A$1:$A$31,FALSE)</f>
        <v>#N/A</v>
      </c>
      <c r="H147" t="e">
        <f>INDEX('Item Master'!$A$1:$H$31,$G147,H$4)</f>
        <v>#N/A</v>
      </c>
      <c r="I147" t="e">
        <f>INDEX('Item Master'!$A$1:$H$31,$G147,I$4)</f>
        <v>#N/A</v>
      </c>
      <c r="J147" t="e">
        <f>INDEX('Item Master'!$A$1:$H$31,$G147,J$4)</f>
        <v>#N/A</v>
      </c>
      <c r="K147" s="10" t="e">
        <f>INDEX('Item Master'!$A$1:$H$31,$G147,K$4)</f>
        <v>#N/A</v>
      </c>
      <c r="L147" s="10" t="e">
        <f t="shared" si="10"/>
        <v>#N/A</v>
      </c>
      <c r="M147" s="10" t="e">
        <f t="shared" si="11"/>
        <v>#N/A</v>
      </c>
    </row>
    <row r="148" spans="3:14" x14ac:dyDescent="0.25">
      <c r="E148" t="str">
        <f t="shared" si="8"/>
        <v/>
      </c>
      <c r="F148" s="13" t="str">
        <f t="shared" si="9"/>
        <v/>
      </c>
      <c r="G148" t="e">
        <f>MATCH(E148,'Item Master'!$A$1:$A$31,FALSE)</f>
        <v>#N/A</v>
      </c>
      <c r="H148" t="e">
        <f>INDEX('Item Master'!$A$1:$H$31,$G148,H$4)</f>
        <v>#N/A</v>
      </c>
      <c r="I148" t="e">
        <f>INDEX('Item Master'!$A$1:$H$31,$G148,I$4)</f>
        <v>#N/A</v>
      </c>
      <c r="J148" t="e">
        <f>INDEX('Item Master'!$A$1:$H$31,$G148,J$4)</f>
        <v>#N/A</v>
      </c>
      <c r="K148" s="10" t="e">
        <f>INDEX('Item Master'!$A$1:$H$31,$G148,K$4)</f>
        <v>#N/A</v>
      </c>
      <c r="L148" s="10" t="e">
        <f t="shared" si="10"/>
        <v>#N/A</v>
      </c>
      <c r="M148" s="10" t="e">
        <f t="shared" si="11"/>
        <v>#N/A</v>
      </c>
    </row>
    <row r="149" spans="3:14" x14ac:dyDescent="0.25">
      <c r="E149" t="str">
        <f t="shared" si="8"/>
        <v/>
      </c>
      <c r="F149" s="13" t="str">
        <f t="shared" si="9"/>
        <v/>
      </c>
      <c r="G149" t="e">
        <f>MATCH(E149,'Item Master'!$A$1:$A$31,FALSE)</f>
        <v>#N/A</v>
      </c>
      <c r="H149" t="e">
        <f>INDEX('Item Master'!$A$1:$H$31,$G149,H$4)</f>
        <v>#N/A</v>
      </c>
      <c r="I149" t="e">
        <f>INDEX('Item Master'!$A$1:$H$31,$G149,I$4)</f>
        <v>#N/A</v>
      </c>
      <c r="J149" t="e">
        <f>INDEX('Item Master'!$A$1:$H$31,$G149,J$4)</f>
        <v>#N/A</v>
      </c>
      <c r="K149" s="10" t="e">
        <f>INDEX('Item Master'!$A$1:$H$31,$G149,K$4)</f>
        <v>#N/A</v>
      </c>
      <c r="L149" s="10" t="e">
        <f t="shared" si="10"/>
        <v>#N/A</v>
      </c>
      <c r="M149" s="10" t="e">
        <f t="shared" si="11"/>
        <v>#N/A</v>
      </c>
    </row>
    <row r="150" spans="3:14" x14ac:dyDescent="0.25">
      <c r="C150" s="9" t="s">
        <v>151</v>
      </c>
      <c r="D150" s="9" t="s">
        <v>151</v>
      </c>
      <c r="E150" t="str">
        <f t="array" ref="E150:E199">'Purchase Orders'!A7:A57</f>
        <v>BS01</v>
      </c>
      <c r="F150" s="13">
        <f t="array" ref="F150:F199">'Purchase Orders'!F7:F57</f>
        <v>36603</v>
      </c>
      <c r="H150" t="str">
        <f t="array" ref="H150:J199">'Purchase Orders'!B7:D57</f>
        <v>Base Shampoo</v>
      </c>
      <c r="I150" t="str">
        <v>AC01</v>
      </c>
      <c r="J150" t="str">
        <v>Ace Chemicals</v>
      </c>
      <c r="N150" s="10">
        <f t="array" ref="N150:N199">'Purchase Orders'!E7:E57</f>
        <v>100000</v>
      </c>
    </row>
    <row r="151" spans="3:14" x14ac:dyDescent="0.25">
      <c r="C151" s="9" t="s">
        <v>151</v>
      </c>
      <c r="D151" s="9" t="s">
        <v>151</v>
      </c>
      <c r="E151" t="str">
        <v>BS01</v>
      </c>
      <c r="F151" s="13">
        <v>36615</v>
      </c>
      <c r="H151" t="str">
        <v>Base Shampoo</v>
      </c>
      <c r="I151" t="str">
        <v>AC01</v>
      </c>
      <c r="J151" t="str">
        <v>Ace Chemicals</v>
      </c>
      <c r="N151" s="10">
        <v>100000</v>
      </c>
    </row>
    <row r="152" spans="3:14" x14ac:dyDescent="0.25">
      <c r="C152" s="9" t="s">
        <v>151</v>
      </c>
      <c r="D152" s="9" t="s">
        <v>151</v>
      </c>
      <c r="E152" t="str">
        <v>BT100</v>
      </c>
      <c r="F152" s="13">
        <v>36630</v>
      </c>
      <c r="H152" t="str">
        <v>Bottle 100ml</v>
      </c>
      <c r="I152" t="str">
        <v>BP01</v>
      </c>
      <c r="J152" t="str">
        <v>Best Plastics</v>
      </c>
      <c r="N152" s="10">
        <v>40000</v>
      </c>
    </row>
    <row r="153" spans="3:14" x14ac:dyDescent="0.25">
      <c r="C153" s="9" t="s">
        <v>151</v>
      </c>
      <c r="D153" s="9" t="s">
        <v>151</v>
      </c>
      <c r="E153" t="str">
        <v>BT250</v>
      </c>
      <c r="F153" s="13">
        <v>36603</v>
      </c>
      <c r="H153" t="str">
        <v>Bottle 250ml</v>
      </c>
      <c r="I153" t="str">
        <v>BP01</v>
      </c>
      <c r="J153" t="str">
        <v>Best Plastics</v>
      </c>
      <c r="N153" s="10">
        <v>90000</v>
      </c>
    </row>
    <row r="154" spans="3:14" x14ac:dyDescent="0.25">
      <c r="C154" s="9" t="s">
        <v>151</v>
      </c>
      <c r="D154" s="9" t="s">
        <v>151</v>
      </c>
      <c r="E154" t="str">
        <v>BT250</v>
      </c>
      <c r="F154" s="13">
        <v>36617</v>
      </c>
      <c r="H154" t="str">
        <v>Bottle 250ml</v>
      </c>
      <c r="I154" t="str">
        <v>BP01</v>
      </c>
      <c r="J154" t="str">
        <v>Best Plastics</v>
      </c>
      <c r="N154" s="10">
        <v>40000</v>
      </c>
    </row>
    <row r="155" spans="3:14" x14ac:dyDescent="0.25">
      <c r="C155" s="9" t="s">
        <v>151</v>
      </c>
      <c r="D155" s="9" t="s">
        <v>151</v>
      </c>
      <c r="E155" t="str">
        <v>BT250</v>
      </c>
      <c r="F155" s="13">
        <v>36638</v>
      </c>
      <c r="H155" t="str">
        <v>Bottle 250ml</v>
      </c>
      <c r="I155" t="str">
        <v>BP01</v>
      </c>
      <c r="J155" t="str">
        <v>Best Plastics</v>
      </c>
      <c r="N155" s="10">
        <v>50000</v>
      </c>
    </row>
    <row r="156" spans="3:14" x14ac:dyDescent="0.25">
      <c r="C156" s="9" t="s">
        <v>151</v>
      </c>
      <c r="D156" s="9" t="s">
        <v>151</v>
      </c>
      <c r="E156" t="str">
        <v>BT500</v>
      </c>
      <c r="F156" s="13">
        <v>36601</v>
      </c>
      <c r="H156" t="str">
        <v>Bottle 500ml</v>
      </c>
      <c r="I156" t="str">
        <v>BP01</v>
      </c>
      <c r="J156" t="str">
        <v>Best Plastics</v>
      </c>
      <c r="N156" s="10">
        <v>100000</v>
      </c>
    </row>
    <row r="157" spans="3:14" x14ac:dyDescent="0.25">
      <c r="C157" s="9" t="s">
        <v>151</v>
      </c>
      <c r="D157" s="9" t="s">
        <v>151</v>
      </c>
      <c r="E157" t="str">
        <v>BT500</v>
      </c>
      <c r="F157" s="13">
        <v>36617</v>
      </c>
      <c r="H157" t="str">
        <v>Bottle 500ml</v>
      </c>
      <c r="I157" t="str">
        <v>BP01</v>
      </c>
      <c r="J157" t="str">
        <v>Best Plastics</v>
      </c>
      <c r="N157" s="10">
        <v>50000</v>
      </c>
    </row>
    <row r="158" spans="3:14" x14ac:dyDescent="0.25">
      <c r="C158" s="9" t="s">
        <v>151</v>
      </c>
      <c r="D158" s="9" t="s">
        <v>151</v>
      </c>
      <c r="E158" t="str">
        <v>BT500</v>
      </c>
      <c r="F158" s="13">
        <v>36631</v>
      </c>
      <c r="H158" t="str">
        <v>Bottle 500ml</v>
      </c>
      <c r="I158" t="str">
        <v>BP01</v>
      </c>
      <c r="J158" t="str">
        <v>Best Plastics</v>
      </c>
      <c r="N158" s="10">
        <v>50000</v>
      </c>
    </row>
    <row r="159" spans="3:14" x14ac:dyDescent="0.25">
      <c r="C159" s="9" t="s">
        <v>151</v>
      </c>
      <c r="D159" s="9" t="s">
        <v>151</v>
      </c>
      <c r="E159" t="str">
        <v>CAPF</v>
      </c>
      <c r="F159" s="13">
        <v>36601</v>
      </c>
      <c r="H159" t="str">
        <v>Flip cap</v>
      </c>
      <c r="I159" t="str">
        <v>BP01</v>
      </c>
      <c r="J159" t="str">
        <v>Best Plastics</v>
      </c>
      <c r="N159" s="10">
        <v>200000</v>
      </c>
    </row>
    <row r="160" spans="3:14" x14ac:dyDescent="0.25">
      <c r="C160" s="9" t="s">
        <v>151</v>
      </c>
      <c r="D160" s="9" t="s">
        <v>151</v>
      </c>
      <c r="E160" t="str">
        <v>CAPF</v>
      </c>
      <c r="F160" s="13">
        <v>36623</v>
      </c>
      <c r="H160" t="str">
        <v>Flip cap</v>
      </c>
      <c r="I160" t="str">
        <v>BP01</v>
      </c>
      <c r="J160" t="str">
        <v>Best Plastics</v>
      </c>
      <c r="N160" s="10">
        <v>300000</v>
      </c>
    </row>
    <row r="161" spans="3:14" x14ac:dyDescent="0.25">
      <c r="C161" s="9" t="s">
        <v>151</v>
      </c>
      <c r="D161" s="9" t="s">
        <v>151</v>
      </c>
      <c r="E161" t="str">
        <v>CAPS</v>
      </c>
      <c r="F161" s="13">
        <v>36602</v>
      </c>
      <c r="H161" t="str">
        <v>Screw cap</v>
      </c>
      <c r="I161" t="str">
        <v>BP01</v>
      </c>
      <c r="J161" t="str">
        <v>Best Plastics</v>
      </c>
      <c r="N161" s="10">
        <v>100000</v>
      </c>
    </row>
    <row r="162" spans="3:14" x14ac:dyDescent="0.25">
      <c r="C162" s="9" t="s">
        <v>151</v>
      </c>
      <c r="D162" s="9" t="s">
        <v>151</v>
      </c>
      <c r="E162" t="str">
        <v>CAPS</v>
      </c>
      <c r="F162" s="13">
        <v>36618</v>
      </c>
      <c r="H162" t="str">
        <v>Screw cap</v>
      </c>
      <c r="I162" t="str">
        <v>BP01</v>
      </c>
      <c r="J162" t="str">
        <v>Best Plastics</v>
      </c>
      <c r="N162" s="10">
        <v>100000</v>
      </c>
    </row>
    <row r="163" spans="3:14" x14ac:dyDescent="0.25">
      <c r="C163" s="9" t="s">
        <v>151</v>
      </c>
      <c r="D163" s="9" t="s">
        <v>151</v>
      </c>
      <c r="E163" t="str">
        <v>CARL</v>
      </c>
      <c r="F163" s="13">
        <v>36599</v>
      </c>
      <c r="H163" t="str">
        <v>Carton large</v>
      </c>
      <c r="I163" t="str">
        <v>EC01</v>
      </c>
      <c r="J163" t="str">
        <v>Eduardo Corrugates</v>
      </c>
      <c r="N163" s="10">
        <v>8000</v>
      </c>
    </row>
    <row r="164" spans="3:14" x14ac:dyDescent="0.25">
      <c r="C164" s="9" t="s">
        <v>151</v>
      </c>
      <c r="D164" s="9" t="s">
        <v>151</v>
      </c>
      <c r="E164" t="str">
        <v>CARL</v>
      </c>
      <c r="F164" s="13">
        <v>36620</v>
      </c>
      <c r="H164" t="str">
        <v>Carton large</v>
      </c>
      <c r="I164" t="str">
        <v>EC01</v>
      </c>
      <c r="J164" t="str">
        <v>Eduardo Corrugates</v>
      </c>
      <c r="N164" s="10">
        <v>5000</v>
      </c>
    </row>
    <row r="165" spans="3:14" x14ac:dyDescent="0.25">
      <c r="C165" s="9" t="s">
        <v>151</v>
      </c>
      <c r="D165" s="9" t="s">
        <v>151</v>
      </c>
      <c r="E165" t="str">
        <v>CARS</v>
      </c>
      <c r="F165" s="13">
        <v>36603</v>
      </c>
      <c r="H165" t="str">
        <v>Carton small</v>
      </c>
      <c r="I165" t="str">
        <v>EC01</v>
      </c>
      <c r="J165" t="str">
        <v>Eduardo Corrugates</v>
      </c>
      <c r="N165" s="10">
        <v>1000</v>
      </c>
    </row>
    <row r="166" spans="3:14" x14ac:dyDescent="0.25">
      <c r="C166" s="9" t="s">
        <v>151</v>
      </c>
      <c r="D166" s="9" t="s">
        <v>151</v>
      </c>
      <c r="E166" t="str">
        <v>CARS</v>
      </c>
      <c r="F166" s="13">
        <v>36642</v>
      </c>
      <c r="H166" t="str">
        <v>Carton small</v>
      </c>
      <c r="I166" t="str">
        <v>EC01</v>
      </c>
      <c r="J166" t="str">
        <v>Eduardo Corrugates</v>
      </c>
      <c r="N166" s="10">
        <v>1000</v>
      </c>
    </row>
    <row r="167" spans="3:14" x14ac:dyDescent="0.25">
      <c r="C167" s="9" t="s">
        <v>151</v>
      </c>
      <c r="D167" s="9" t="s">
        <v>151</v>
      </c>
      <c r="E167" t="str">
        <v>ESA</v>
      </c>
      <c r="F167" s="13">
        <v>36608</v>
      </c>
      <c r="H167" t="str">
        <v>Apple essence</v>
      </c>
      <c r="I167" t="str">
        <v>CE01</v>
      </c>
      <c r="J167" t="str">
        <v>Chang Essences</v>
      </c>
      <c r="N167" s="10">
        <v>60</v>
      </c>
    </row>
    <row r="168" spans="3:14" x14ac:dyDescent="0.25">
      <c r="C168" s="9" t="s">
        <v>151</v>
      </c>
      <c r="D168" s="9" t="s">
        <v>151</v>
      </c>
      <c r="E168" t="str">
        <v>ESA</v>
      </c>
      <c r="F168" s="13">
        <v>36622</v>
      </c>
      <c r="H168" t="str">
        <v>Apple essence</v>
      </c>
      <c r="I168" t="str">
        <v>CE01</v>
      </c>
      <c r="J168" t="str">
        <v>Chang Essences</v>
      </c>
      <c r="N168" s="10">
        <v>100</v>
      </c>
    </row>
    <row r="169" spans="3:14" x14ac:dyDescent="0.25">
      <c r="C169" s="9" t="s">
        <v>151</v>
      </c>
      <c r="D169" s="9" t="s">
        <v>151</v>
      </c>
      <c r="E169" t="str">
        <v>ESL</v>
      </c>
      <c r="F169" s="13">
        <v>36619</v>
      </c>
      <c r="H169" t="str">
        <v>Lemon essence</v>
      </c>
      <c r="I169" t="str">
        <v>CE01</v>
      </c>
      <c r="J169" t="str">
        <v>Chang Essences</v>
      </c>
      <c r="N169" s="10">
        <v>350</v>
      </c>
    </row>
    <row r="170" spans="3:14" x14ac:dyDescent="0.25">
      <c r="C170" s="9" t="s">
        <v>151</v>
      </c>
      <c r="D170" s="9" t="s">
        <v>151</v>
      </c>
      <c r="E170" t="str">
        <v>LAB10</v>
      </c>
      <c r="F170" s="13">
        <v>36623</v>
      </c>
      <c r="H170" t="str">
        <v>Label Apple Blossom 100ml</v>
      </c>
      <c r="I170" t="str">
        <v>DP01</v>
      </c>
      <c r="J170" t="str">
        <v>Dave's Printing</v>
      </c>
      <c r="N170" s="10">
        <v>50000</v>
      </c>
    </row>
    <row r="171" spans="3:14" x14ac:dyDescent="0.25">
      <c r="C171" s="9" t="s">
        <v>151</v>
      </c>
      <c r="D171" s="9" t="s">
        <v>151</v>
      </c>
      <c r="E171" t="str">
        <v>LAB25</v>
      </c>
      <c r="F171" s="13">
        <v>36599</v>
      </c>
      <c r="H171" t="str">
        <v>Label Apple Blossom 250ml</v>
      </c>
      <c r="I171" t="str">
        <v>DP01</v>
      </c>
      <c r="J171" t="str">
        <v>Dave's Printing</v>
      </c>
      <c r="N171" s="10">
        <v>70000</v>
      </c>
    </row>
    <row r="172" spans="3:14" x14ac:dyDescent="0.25">
      <c r="C172" s="9" t="s">
        <v>151</v>
      </c>
      <c r="D172" s="9" t="s">
        <v>151</v>
      </c>
      <c r="E172" t="str">
        <v>LAB25</v>
      </c>
      <c r="F172" s="13">
        <v>36606</v>
      </c>
      <c r="H172" t="str">
        <v>Label Apple Blossom 250ml</v>
      </c>
      <c r="I172" t="str">
        <v>DP01</v>
      </c>
      <c r="J172" t="str">
        <v>Dave's Printing</v>
      </c>
      <c r="N172" s="10">
        <v>60000</v>
      </c>
    </row>
    <row r="173" spans="3:14" x14ac:dyDescent="0.25">
      <c r="C173" s="9" t="s">
        <v>151</v>
      </c>
      <c r="D173" s="9" t="s">
        <v>151</v>
      </c>
      <c r="E173" t="str">
        <v>LAB50</v>
      </c>
      <c r="F173" s="13">
        <v>36618</v>
      </c>
      <c r="H173" t="str">
        <v>Label Apple Blossom 500ml</v>
      </c>
      <c r="I173" t="str">
        <v>DP01</v>
      </c>
      <c r="J173" t="str">
        <v>Dave's Printing</v>
      </c>
      <c r="N173" s="10">
        <v>20000</v>
      </c>
    </row>
    <row r="174" spans="3:14" x14ac:dyDescent="0.25">
      <c r="C174" s="9" t="s">
        <v>151</v>
      </c>
      <c r="D174" s="9" t="s">
        <v>151</v>
      </c>
      <c r="E174" t="str">
        <v>LAB50</v>
      </c>
      <c r="F174" s="13">
        <v>36632</v>
      </c>
      <c r="H174" t="str">
        <v>Label Apple Blossom 500ml</v>
      </c>
      <c r="I174" t="str">
        <v>DP01</v>
      </c>
      <c r="J174" t="str">
        <v>Dave's Printing</v>
      </c>
      <c r="N174" s="10">
        <v>20000</v>
      </c>
    </row>
    <row r="175" spans="3:14" x14ac:dyDescent="0.25">
      <c r="C175" s="9" t="s">
        <v>151</v>
      </c>
      <c r="D175" s="9" t="s">
        <v>151</v>
      </c>
      <c r="E175" t="str">
        <v>LAB50</v>
      </c>
      <c r="F175" s="13">
        <v>36646</v>
      </c>
      <c r="H175" t="str">
        <v>Label Apple Blossom 500ml</v>
      </c>
      <c r="I175" t="str">
        <v>DP01</v>
      </c>
      <c r="J175" t="str">
        <v>Dave's Printing</v>
      </c>
      <c r="N175" s="10">
        <v>20000</v>
      </c>
    </row>
    <row r="176" spans="3:14" x14ac:dyDescent="0.25">
      <c r="C176" s="9" t="s">
        <v>151</v>
      </c>
      <c r="D176" s="9" t="s">
        <v>151</v>
      </c>
      <c r="E176" t="str">
        <v>LFL10</v>
      </c>
      <c r="F176" s="13">
        <v>36630</v>
      </c>
      <c r="H176" t="str">
        <v>Label Fragrant Lemon 100ml</v>
      </c>
      <c r="I176" t="str">
        <v>DP01</v>
      </c>
      <c r="J176" t="str">
        <v>Dave's Printing</v>
      </c>
      <c r="N176" s="10">
        <v>10000</v>
      </c>
    </row>
    <row r="177" spans="3:14" x14ac:dyDescent="0.25">
      <c r="C177" s="9" t="s">
        <v>151</v>
      </c>
      <c r="D177" s="9" t="s">
        <v>151</v>
      </c>
      <c r="E177" t="str">
        <v>LFL10</v>
      </c>
      <c r="F177" s="13">
        <v>36644</v>
      </c>
      <c r="H177" t="str">
        <v>Label Fragrant Lemon 100ml</v>
      </c>
      <c r="I177" t="str">
        <v>DP01</v>
      </c>
      <c r="J177" t="str">
        <v>Dave's Printing</v>
      </c>
      <c r="N177" s="10">
        <v>10000</v>
      </c>
    </row>
    <row r="178" spans="3:14" x14ac:dyDescent="0.25">
      <c r="C178" s="9" t="s">
        <v>151</v>
      </c>
      <c r="D178" s="9" t="s">
        <v>151</v>
      </c>
      <c r="E178" t="str">
        <v>LFL25</v>
      </c>
      <c r="F178" s="13">
        <v>36602</v>
      </c>
      <c r="H178" t="str">
        <v>Label Fragrant Lemon 250ml</v>
      </c>
      <c r="I178" t="str">
        <v>DP01</v>
      </c>
      <c r="J178" t="str">
        <v>Dave's Printing</v>
      </c>
      <c r="N178" s="10">
        <v>60000</v>
      </c>
    </row>
    <row r="179" spans="3:14" x14ac:dyDescent="0.25">
      <c r="C179" s="9" t="s">
        <v>151</v>
      </c>
      <c r="D179" s="9" t="s">
        <v>151</v>
      </c>
      <c r="E179" t="str">
        <v>LFL25</v>
      </c>
      <c r="F179" s="13">
        <v>36616</v>
      </c>
      <c r="H179" t="str">
        <v>Label Fragrant Lemon 250ml</v>
      </c>
      <c r="I179" t="str">
        <v>DP01</v>
      </c>
      <c r="J179" t="str">
        <v>Dave's Printing</v>
      </c>
      <c r="N179" s="10">
        <v>60000</v>
      </c>
    </row>
    <row r="180" spans="3:14" x14ac:dyDescent="0.25">
      <c r="C180" s="9" t="s">
        <v>151</v>
      </c>
      <c r="D180" s="9" t="s">
        <v>151</v>
      </c>
      <c r="E180" t="str">
        <v>LFL50</v>
      </c>
      <c r="F180" s="13">
        <v>36615</v>
      </c>
      <c r="H180" t="str">
        <v>Label Fragrant Lemon 500ml</v>
      </c>
      <c r="I180" t="str">
        <v>DP01</v>
      </c>
      <c r="J180" t="str">
        <v>Dave's Printing</v>
      </c>
      <c r="N180" s="10">
        <v>40000</v>
      </c>
    </row>
    <row r="181" spans="3:14" x14ac:dyDescent="0.25">
      <c r="C181" s="9" t="s">
        <v>151</v>
      </c>
      <c r="D181" s="9" t="s">
        <v>151</v>
      </c>
      <c r="E181" t="str">
        <v>LFL50</v>
      </c>
      <c r="F181" s="13">
        <v>36629</v>
      </c>
      <c r="H181" t="str">
        <v>Label Fragrant Lemon 500ml</v>
      </c>
      <c r="I181" t="str">
        <v>DP01</v>
      </c>
      <c r="J181" t="str">
        <v>Dave's Printing</v>
      </c>
      <c r="N181" s="10">
        <v>40000</v>
      </c>
    </row>
    <row r="182" spans="3:14" x14ac:dyDescent="0.25">
      <c r="C182" s="9" t="s">
        <v>151</v>
      </c>
      <c r="D182" s="9" t="s">
        <v>151</v>
      </c>
      <c r="E182">
        <v>0</v>
      </c>
      <c r="F182" s="13">
        <v>0</v>
      </c>
      <c r="H182">
        <v>0</v>
      </c>
      <c r="I182">
        <v>0</v>
      </c>
      <c r="J182">
        <v>0</v>
      </c>
      <c r="N182" s="10">
        <v>0</v>
      </c>
    </row>
    <row r="183" spans="3:14" x14ac:dyDescent="0.25">
      <c r="C183" s="9" t="s">
        <v>151</v>
      </c>
      <c r="D183" s="9" t="s">
        <v>151</v>
      </c>
      <c r="E183">
        <v>0</v>
      </c>
      <c r="F183" s="13">
        <v>0</v>
      </c>
      <c r="H183">
        <v>0</v>
      </c>
      <c r="I183">
        <v>0</v>
      </c>
      <c r="J183">
        <v>0</v>
      </c>
      <c r="N183" s="10">
        <v>0</v>
      </c>
    </row>
    <row r="184" spans="3:14" x14ac:dyDescent="0.25">
      <c r="C184" s="9" t="s">
        <v>151</v>
      </c>
      <c r="D184" s="9" t="s">
        <v>151</v>
      </c>
      <c r="E184">
        <v>0</v>
      </c>
      <c r="F184" s="13">
        <v>0</v>
      </c>
      <c r="H184">
        <v>0</v>
      </c>
      <c r="I184">
        <v>0</v>
      </c>
      <c r="J184">
        <v>0</v>
      </c>
      <c r="N184" s="10">
        <v>0</v>
      </c>
    </row>
    <row r="185" spans="3:14" x14ac:dyDescent="0.25">
      <c r="C185" s="9" t="s">
        <v>151</v>
      </c>
      <c r="D185" s="9" t="s">
        <v>151</v>
      </c>
      <c r="E185">
        <v>0</v>
      </c>
      <c r="F185" s="13">
        <v>0</v>
      </c>
      <c r="H185">
        <v>0</v>
      </c>
      <c r="I185">
        <v>0</v>
      </c>
      <c r="J185">
        <v>0</v>
      </c>
      <c r="N185" s="10">
        <v>0</v>
      </c>
    </row>
    <row r="186" spans="3:14" x14ac:dyDescent="0.25">
      <c r="C186" s="9" t="s">
        <v>151</v>
      </c>
      <c r="D186" s="9" t="s">
        <v>151</v>
      </c>
      <c r="E186">
        <v>0</v>
      </c>
      <c r="F186" s="13">
        <v>0</v>
      </c>
      <c r="H186">
        <v>0</v>
      </c>
      <c r="I186">
        <v>0</v>
      </c>
      <c r="J186">
        <v>0</v>
      </c>
      <c r="N186" s="10">
        <v>0</v>
      </c>
    </row>
    <row r="187" spans="3:14" x14ac:dyDescent="0.25">
      <c r="C187" s="9" t="s">
        <v>151</v>
      </c>
      <c r="D187" s="9" t="s">
        <v>151</v>
      </c>
      <c r="E187">
        <v>0</v>
      </c>
      <c r="F187" s="13">
        <v>0</v>
      </c>
      <c r="H187">
        <v>0</v>
      </c>
      <c r="I187">
        <v>0</v>
      </c>
      <c r="J187">
        <v>0</v>
      </c>
      <c r="N187" s="10">
        <v>0</v>
      </c>
    </row>
    <row r="188" spans="3:14" x14ac:dyDescent="0.25">
      <c r="C188" s="9" t="s">
        <v>151</v>
      </c>
      <c r="D188" s="9" t="s">
        <v>151</v>
      </c>
      <c r="E188">
        <v>0</v>
      </c>
      <c r="F188" s="13">
        <v>0</v>
      </c>
      <c r="H188">
        <v>0</v>
      </c>
      <c r="I188">
        <v>0</v>
      </c>
      <c r="J188">
        <v>0</v>
      </c>
      <c r="N188" s="10">
        <v>0</v>
      </c>
    </row>
    <row r="189" spans="3:14" x14ac:dyDescent="0.25">
      <c r="C189" s="9" t="s">
        <v>151</v>
      </c>
      <c r="D189" s="9" t="s">
        <v>151</v>
      </c>
      <c r="E189">
        <v>0</v>
      </c>
      <c r="F189" s="13">
        <v>0</v>
      </c>
      <c r="H189">
        <v>0</v>
      </c>
      <c r="I189">
        <v>0</v>
      </c>
      <c r="J189">
        <v>0</v>
      </c>
      <c r="N189" s="10">
        <v>0</v>
      </c>
    </row>
    <row r="190" spans="3:14" x14ac:dyDescent="0.25">
      <c r="C190" s="9" t="s">
        <v>151</v>
      </c>
      <c r="D190" s="9" t="s">
        <v>151</v>
      </c>
      <c r="E190">
        <v>0</v>
      </c>
      <c r="F190" s="13">
        <v>0</v>
      </c>
      <c r="H190">
        <v>0</v>
      </c>
      <c r="I190">
        <v>0</v>
      </c>
      <c r="J190">
        <v>0</v>
      </c>
      <c r="N190" s="10">
        <v>0</v>
      </c>
    </row>
    <row r="191" spans="3:14" x14ac:dyDescent="0.25">
      <c r="C191" s="9" t="s">
        <v>151</v>
      </c>
      <c r="D191" s="9" t="s">
        <v>151</v>
      </c>
      <c r="E191">
        <v>0</v>
      </c>
      <c r="F191" s="13">
        <v>0</v>
      </c>
      <c r="H191">
        <v>0</v>
      </c>
      <c r="I191">
        <v>0</v>
      </c>
      <c r="J191">
        <v>0</v>
      </c>
      <c r="N191" s="10">
        <v>0</v>
      </c>
    </row>
    <row r="192" spans="3:14" x14ac:dyDescent="0.25">
      <c r="C192" s="9" t="s">
        <v>151</v>
      </c>
      <c r="D192" s="9" t="s">
        <v>151</v>
      </c>
      <c r="E192">
        <v>0</v>
      </c>
      <c r="F192" s="13">
        <v>0</v>
      </c>
      <c r="H192">
        <v>0</v>
      </c>
      <c r="I192">
        <v>0</v>
      </c>
      <c r="J192">
        <v>0</v>
      </c>
      <c r="N192" s="10">
        <v>0</v>
      </c>
    </row>
    <row r="193" spans="3:14" x14ac:dyDescent="0.25">
      <c r="C193" s="9" t="s">
        <v>151</v>
      </c>
      <c r="D193" s="9" t="s">
        <v>151</v>
      </c>
      <c r="E193">
        <v>0</v>
      </c>
      <c r="F193" s="13">
        <v>0</v>
      </c>
      <c r="H193">
        <v>0</v>
      </c>
      <c r="I193">
        <v>0</v>
      </c>
      <c r="J193">
        <v>0</v>
      </c>
      <c r="N193" s="10">
        <v>0</v>
      </c>
    </row>
    <row r="194" spans="3:14" x14ac:dyDescent="0.25">
      <c r="C194" s="9" t="s">
        <v>151</v>
      </c>
      <c r="D194" s="9" t="s">
        <v>151</v>
      </c>
      <c r="E194">
        <v>0</v>
      </c>
      <c r="F194" s="13">
        <v>0</v>
      </c>
      <c r="H194">
        <v>0</v>
      </c>
      <c r="I194">
        <v>0</v>
      </c>
      <c r="J194">
        <v>0</v>
      </c>
      <c r="N194" s="10">
        <v>0</v>
      </c>
    </row>
    <row r="195" spans="3:14" x14ac:dyDescent="0.25">
      <c r="C195" s="9" t="s">
        <v>151</v>
      </c>
      <c r="D195" s="9" t="s">
        <v>151</v>
      </c>
      <c r="E195">
        <v>0</v>
      </c>
      <c r="F195" s="13">
        <v>0</v>
      </c>
      <c r="H195">
        <v>0</v>
      </c>
      <c r="I195">
        <v>0</v>
      </c>
      <c r="J195">
        <v>0</v>
      </c>
      <c r="N195" s="10">
        <v>0</v>
      </c>
    </row>
    <row r="196" spans="3:14" x14ac:dyDescent="0.25">
      <c r="C196" s="9" t="s">
        <v>151</v>
      </c>
      <c r="D196" s="9" t="s">
        <v>151</v>
      </c>
      <c r="E196">
        <v>0</v>
      </c>
      <c r="F196" s="13">
        <v>0</v>
      </c>
      <c r="H196">
        <v>0</v>
      </c>
      <c r="I196">
        <v>0</v>
      </c>
      <c r="J196">
        <v>0</v>
      </c>
      <c r="N196" s="10">
        <v>0</v>
      </c>
    </row>
    <row r="197" spans="3:14" x14ac:dyDescent="0.25">
      <c r="C197" s="9" t="s">
        <v>151</v>
      </c>
      <c r="D197" s="9" t="s">
        <v>151</v>
      </c>
      <c r="E197">
        <v>0</v>
      </c>
      <c r="F197" s="13">
        <v>0</v>
      </c>
      <c r="H197">
        <v>0</v>
      </c>
      <c r="I197">
        <v>0</v>
      </c>
      <c r="J197">
        <v>0</v>
      </c>
      <c r="N197" s="10">
        <v>0</v>
      </c>
    </row>
    <row r="198" spans="3:14" x14ac:dyDescent="0.25">
      <c r="C198" s="9" t="s">
        <v>151</v>
      </c>
      <c r="D198" s="9" t="s">
        <v>151</v>
      </c>
      <c r="E198">
        <v>0</v>
      </c>
      <c r="F198" s="13">
        <v>0</v>
      </c>
      <c r="H198">
        <v>0</v>
      </c>
      <c r="I198">
        <v>0</v>
      </c>
      <c r="J198">
        <v>0</v>
      </c>
      <c r="N198" s="10">
        <v>0</v>
      </c>
    </row>
    <row r="199" spans="3:14" x14ac:dyDescent="0.25">
      <c r="C199" s="9" t="s">
        <v>151</v>
      </c>
      <c r="D199" s="9" t="s">
        <v>151</v>
      </c>
      <c r="E199">
        <v>0</v>
      </c>
      <c r="F199" s="13">
        <v>0</v>
      </c>
      <c r="H199">
        <v>0</v>
      </c>
      <c r="I199">
        <v>0</v>
      </c>
      <c r="J199">
        <v>0</v>
      </c>
      <c r="N199" s="10">
        <v>0</v>
      </c>
    </row>
  </sheetData>
  <pageMargins left="0.75" right="0.75" top="1" bottom="1" header="0.5" footer="0.5"/>
  <pageSetup paperSize="9" orientation="portrait" horizontalDpi="300" verticalDpi="300" r:id="rId2"/>
  <headerFooter alignWithMargins="0">
    <oddHeader>&amp;Chttp://www.production-scheduling.com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showZeros="0" view="pageBreakPreview" zoomScaleNormal="100" workbookViewId="0"/>
  </sheetViews>
  <sheetFormatPr defaultRowHeight="13.2" x14ac:dyDescent="0.25"/>
  <cols>
    <col min="1" max="1" width="13.109375" customWidth="1"/>
    <col min="2" max="2" width="10" customWidth="1"/>
    <col min="3" max="3" width="11.33203125" bestFit="1" customWidth="1"/>
    <col min="4" max="4" width="11.33203125" customWidth="1"/>
    <col min="5" max="5" width="9" customWidth="1"/>
    <col min="6" max="6" width="8.6640625" customWidth="1"/>
  </cols>
  <sheetData>
    <row r="1" spans="1:7" x14ac:dyDescent="0.25">
      <c r="A1" t="s">
        <v>251</v>
      </c>
    </row>
    <row r="2" spans="1:7" x14ac:dyDescent="0.25">
      <c r="A2" t="s">
        <v>252</v>
      </c>
    </row>
    <row r="3" spans="1:7" x14ac:dyDescent="0.25">
      <c r="A3" t="s">
        <v>250</v>
      </c>
    </row>
    <row r="4" spans="1:7" x14ac:dyDescent="0.25">
      <c r="A4" t="s">
        <v>253</v>
      </c>
    </row>
    <row r="5" spans="1:7" x14ac:dyDescent="0.25">
      <c r="A5" t="s">
        <v>254</v>
      </c>
    </row>
    <row r="6" spans="1:7" x14ac:dyDescent="0.25">
      <c r="A6" t="s">
        <v>255</v>
      </c>
    </row>
    <row r="8" spans="1:7" x14ac:dyDescent="0.25">
      <c r="A8" s="63" t="s">
        <v>149</v>
      </c>
      <c r="B8" s="75" t="s">
        <v>152</v>
      </c>
    </row>
    <row r="10" spans="1:7" x14ac:dyDescent="0.25">
      <c r="A10" s="137"/>
      <c r="B10" s="138"/>
      <c r="C10" s="138"/>
      <c r="D10" s="139"/>
      <c r="E10" s="77" t="s">
        <v>114</v>
      </c>
      <c r="F10" s="78"/>
      <c r="G10" s="20" t="s">
        <v>171</v>
      </c>
    </row>
    <row r="11" spans="1:7" x14ac:dyDescent="0.25">
      <c r="A11" s="77" t="s">
        <v>48</v>
      </c>
      <c r="B11" s="77" t="s">
        <v>23</v>
      </c>
      <c r="C11" s="77" t="s">
        <v>133</v>
      </c>
      <c r="D11" s="77" t="s">
        <v>135</v>
      </c>
      <c r="E11" s="76" t="s">
        <v>170</v>
      </c>
      <c r="F11" s="78" t="s">
        <v>169</v>
      </c>
      <c r="G11" s="52"/>
    </row>
    <row r="12" spans="1:7" ht="12" customHeight="1" x14ac:dyDescent="0.25">
      <c r="A12" s="129" t="s">
        <v>93</v>
      </c>
      <c r="B12" s="129" t="s">
        <v>54</v>
      </c>
      <c r="C12" s="80">
        <v>36600</v>
      </c>
      <c r="D12" s="76" t="s">
        <v>146</v>
      </c>
      <c r="E12" s="81">
        <v>12812</v>
      </c>
      <c r="F12" s="82"/>
      <c r="G12" s="92">
        <f>IF(RIGHT(B12,5)="Total",0,G11+F12-E12)</f>
        <v>-12812</v>
      </c>
    </row>
    <row r="13" spans="1:7" ht="12" customHeight="1" x14ac:dyDescent="0.25">
      <c r="A13" s="136"/>
      <c r="B13" s="136"/>
      <c r="C13" s="80">
        <v>36602</v>
      </c>
      <c r="D13" s="76" t="s">
        <v>138</v>
      </c>
      <c r="E13" s="81">
        <v>23520</v>
      </c>
      <c r="F13" s="82"/>
      <c r="G13" s="92">
        <f t="shared" ref="G13:G76" si="0">IF(RIGHT(B13,5)="Total",0,G12+F13-E13)</f>
        <v>-36332</v>
      </c>
    </row>
    <row r="14" spans="1:7" ht="12" customHeight="1" x14ac:dyDescent="0.25">
      <c r="A14" s="136"/>
      <c r="B14" s="136"/>
      <c r="C14" s="131">
        <v>36603</v>
      </c>
      <c r="D14" s="76" t="s">
        <v>139</v>
      </c>
      <c r="E14" s="81">
        <v>28596</v>
      </c>
      <c r="F14" s="82"/>
      <c r="G14" s="92">
        <f t="shared" si="0"/>
        <v>-64928</v>
      </c>
    </row>
    <row r="15" spans="1:7" ht="12" customHeight="1" x14ac:dyDescent="0.25">
      <c r="A15" s="136"/>
      <c r="B15" s="136"/>
      <c r="C15" s="132"/>
      <c r="D15" s="79"/>
      <c r="E15" s="85"/>
      <c r="F15" s="86">
        <v>100000</v>
      </c>
      <c r="G15" s="92">
        <f t="shared" si="0"/>
        <v>35072</v>
      </c>
    </row>
    <row r="16" spans="1:7" ht="12" customHeight="1" x14ac:dyDescent="0.25">
      <c r="A16" s="136"/>
      <c r="B16" s="136"/>
      <c r="C16" s="80">
        <v>36608</v>
      </c>
      <c r="D16" s="76" t="s">
        <v>140</v>
      </c>
      <c r="E16" s="81">
        <v>7723.2</v>
      </c>
      <c r="F16" s="82"/>
      <c r="G16" s="92">
        <f t="shared" si="0"/>
        <v>27348.799999999999</v>
      </c>
    </row>
    <row r="17" spans="1:7" ht="12" customHeight="1" x14ac:dyDescent="0.25">
      <c r="A17" s="136"/>
      <c r="B17" s="136"/>
      <c r="C17" s="80">
        <v>36610</v>
      </c>
      <c r="D17" s="76" t="s">
        <v>142</v>
      </c>
      <c r="E17" s="81">
        <v>30456</v>
      </c>
      <c r="F17" s="82"/>
      <c r="G17" s="92">
        <f t="shared" si="0"/>
        <v>-3107.2000000000007</v>
      </c>
    </row>
    <row r="18" spans="1:7" ht="12" customHeight="1" x14ac:dyDescent="0.25">
      <c r="A18" s="136"/>
      <c r="B18" s="136"/>
      <c r="C18" s="80">
        <v>36611</v>
      </c>
      <c r="D18" s="76" t="s">
        <v>172</v>
      </c>
      <c r="E18" s="81">
        <v>14808</v>
      </c>
      <c r="F18" s="82"/>
      <c r="G18" s="92">
        <f t="shared" si="0"/>
        <v>-17915.2</v>
      </c>
    </row>
    <row r="19" spans="1:7" ht="12" customHeight="1" x14ac:dyDescent="0.25">
      <c r="A19" s="136"/>
      <c r="B19" s="136"/>
      <c r="C19" s="80">
        <v>36612</v>
      </c>
      <c r="D19" s="76" t="s">
        <v>136</v>
      </c>
      <c r="E19" s="81">
        <v>1459.2</v>
      </c>
      <c r="F19" s="82"/>
      <c r="G19" s="92">
        <f t="shared" si="0"/>
        <v>-19374.400000000001</v>
      </c>
    </row>
    <row r="20" spans="1:7" ht="12" customHeight="1" x14ac:dyDescent="0.25">
      <c r="A20" s="136"/>
      <c r="B20" s="136"/>
      <c r="C20" s="80">
        <v>36613</v>
      </c>
      <c r="D20" s="76" t="s">
        <v>143</v>
      </c>
      <c r="E20" s="81">
        <v>23520</v>
      </c>
      <c r="F20" s="82"/>
      <c r="G20" s="92">
        <f t="shared" si="0"/>
        <v>-42894.400000000001</v>
      </c>
    </row>
    <row r="21" spans="1:7" ht="12" customHeight="1" x14ac:dyDescent="0.25">
      <c r="A21" s="136"/>
      <c r="B21" s="136"/>
      <c r="C21" s="131">
        <v>36615</v>
      </c>
      <c r="D21" s="76" t="s">
        <v>144</v>
      </c>
      <c r="E21" s="81">
        <v>27852</v>
      </c>
      <c r="F21" s="82"/>
      <c r="G21" s="92">
        <f t="shared" si="0"/>
        <v>-70746.399999999994</v>
      </c>
    </row>
    <row r="22" spans="1:7" ht="12" customHeight="1" x14ac:dyDescent="0.25">
      <c r="A22" s="136"/>
      <c r="B22" s="136"/>
      <c r="C22" s="132"/>
      <c r="D22" s="79"/>
      <c r="E22" s="85"/>
      <c r="F22" s="86">
        <v>100000</v>
      </c>
      <c r="G22" s="92">
        <f t="shared" si="0"/>
        <v>29253.600000000006</v>
      </c>
    </row>
    <row r="23" spans="1:7" ht="12" customHeight="1" x14ac:dyDescent="0.25">
      <c r="A23" s="136"/>
      <c r="B23" s="136"/>
      <c r="C23" s="80">
        <v>36620</v>
      </c>
      <c r="D23" s="76" t="s">
        <v>145</v>
      </c>
      <c r="E23" s="81">
        <v>7723.2</v>
      </c>
      <c r="F23" s="82"/>
      <c r="G23" s="92">
        <f t="shared" si="0"/>
        <v>21530.400000000005</v>
      </c>
    </row>
    <row r="24" spans="1:7" ht="12" customHeight="1" x14ac:dyDescent="0.25">
      <c r="A24" s="136"/>
      <c r="B24" s="130"/>
      <c r="C24" s="80">
        <v>36621</v>
      </c>
      <c r="D24" s="76" t="s">
        <v>173</v>
      </c>
      <c r="E24" s="81">
        <v>30456</v>
      </c>
      <c r="F24" s="82"/>
      <c r="G24" s="92">
        <f t="shared" si="0"/>
        <v>-8925.5999999999949</v>
      </c>
    </row>
    <row r="25" spans="1:7" ht="12" customHeight="1" x14ac:dyDescent="0.25">
      <c r="A25" s="130"/>
      <c r="B25" s="133" t="s">
        <v>153</v>
      </c>
      <c r="C25" s="134"/>
      <c r="D25" s="135"/>
      <c r="E25" s="88">
        <v>208925.6</v>
      </c>
      <c r="F25" s="89">
        <v>200000</v>
      </c>
      <c r="G25" s="92">
        <f t="shared" si="0"/>
        <v>0</v>
      </c>
    </row>
    <row r="26" spans="1:7" ht="12" customHeight="1" x14ac:dyDescent="0.25">
      <c r="A26" s="129" t="s">
        <v>94</v>
      </c>
      <c r="B26" s="129" t="s">
        <v>64</v>
      </c>
      <c r="C26" s="80">
        <v>36620</v>
      </c>
      <c r="D26" s="76" t="s">
        <v>145</v>
      </c>
      <c r="E26" s="81">
        <v>46584</v>
      </c>
      <c r="F26" s="82"/>
      <c r="G26" s="92">
        <f t="shared" si="0"/>
        <v>-46584</v>
      </c>
    </row>
    <row r="27" spans="1:7" ht="12" customHeight="1" x14ac:dyDescent="0.25">
      <c r="A27" s="136"/>
      <c r="B27" s="130"/>
      <c r="C27" s="80">
        <v>36630</v>
      </c>
      <c r="D27" s="76"/>
      <c r="E27" s="81"/>
      <c r="F27" s="82">
        <v>40000</v>
      </c>
      <c r="G27" s="92">
        <f t="shared" si="0"/>
        <v>-6584</v>
      </c>
    </row>
    <row r="28" spans="1:7" ht="12" customHeight="1" x14ac:dyDescent="0.25">
      <c r="A28" s="136"/>
      <c r="B28" s="133" t="s">
        <v>154</v>
      </c>
      <c r="C28" s="134"/>
      <c r="D28" s="135"/>
      <c r="E28" s="88">
        <v>46584</v>
      </c>
      <c r="F28" s="89">
        <v>40000</v>
      </c>
      <c r="G28" s="92">
        <f t="shared" si="0"/>
        <v>0</v>
      </c>
    </row>
    <row r="29" spans="1:7" ht="12" customHeight="1" x14ac:dyDescent="0.25">
      <c r="A29" s="136"/>
      <c r="B29" s="129" t="s">
        <v>68</v>
      </c>
      <c r="C29" s="131">
        <v>36603</v>
      </c>
      <c r="D29" s="76" t="s">
        <v>139</v>
      </c>
      <c r="E29" s="81">
        <v>23496</v>
      </c>
      <c r="F29" s="82"/>
      <c r="G29" s="92">
        <f t="shared" si="0"/>
        <v>-23496</v>
      </c>
    </row>
    <row r="30" spans="1:7" ht="12" customHeight="1" x14ac:dyDescent="0.25">
      <c r="A30" s="136"/>
      <c r="B30" s="136"/>
      <c r="C30" s="132"/>
      <c r="D30" s="79"/>
      <c r="E30" s="85"/>
      <c r="F30" s="86">
        <v>90000</v>
      </c>
      <c r="G30" s="92">
        <f t="shared" si="0"/>
        <v>66504</v>
      </c>
    </row>
    <row r="31" spans="1:7" ht="12" customHeight="1" x14ac:dyDescent="0.25">
      <c r="A31" s="136"/>
      <c r="B31" s="136"/>
      <c r="C31" s="80">
        <v>36613</v>
      </c>
      <c r="D31" s="76" t="s">
        <v>143</v>
      </c>
      <c r="E31" s="81">
        <v>94080</v>
      </c>
      <c r="F31" s="82"/>
      <c r="G31" s="92">
        <f t="shared" si="0"/>
        <v>-27576</v>
      </c>
    </row>
    <row r="32" spans="1:7" ht="12" customHeight="1" x14ac:dyDescent="0.25">
      <c r="A32" s="136"/>
      <c r="B32" s="136"/>
      <c r="C32" s="80">
        <v>36615</v>
      </c>
      <c r="D32" s="76" t="s">
        <v>144</v>
      </c>
      <c r="E32" s="81">
        <v>111408</v>
      </c>
      <c r="F32" s="82"/>
      <c r="G32" s="92">
        <f t="shared" si="0"/>
        <v>-138984</v>
      </c>
    </row>
    <row r="33" spans="1:7" ht="12" customHeight="1" x14ac:dyDescent="0.25">
      <c r="A33" s="136"/>
      <c r="B33" s="136"/>
      <c r="C33" s="80">
        <v>36617</v>
      </c>
      <c r="D33" s="76"/>
      <c r="E33" s="81"/>
      <c r="F33" s="82">
        <v>40000</v>
      </c>
      <c r="G33" s="92">
        <f t="shared" si="0"/>
        <v>-98984</v>
      </c>
    </row>
    <row r="34" spans="1:7" ht="12" customHeight="1" x14ac:dyDescent="0.25">
      <c r="A34" s="136"/>
      <c r="B34" s="130"/>
      <c r="C34" s="80">
        <v>36638</v>
      </c>
      <c r="D34" s="76"/>
      <c r="E34" s="81"/>
      <c r="F34" s="82">
        <v>50000</v>
      </c>
      <c r="G34" s="92">
        <f t="shared" si="0"/>
        <v>-48984</v>
      </c>
    </row>
    <row r="35" spans="1:7" ht="12" customHeight="1" x14ac:dyDescent="0.25">
      <c r="A35" s="136"/>
      <c r="B35" s="133" t="s">
        <v>155</v>
      </c>
      <c r="C35" s="134"/>
      <c r="D35" s="135"/>
      <c r="E35" s="88">
        <v>228984</v>
      </c>
      <c r="F35" s="89">
        <v>180000</v>
      </c>
      <c r="G35" s="92">
        <f t="shared" si="0"/>
        <v>0</v>
      </c>
    </row>
    <row r="36" spans="1:7" ht="12" customHeight="1" x14ac:dyDescent="0.25">
      <c r="A36" s="136"/>
      <c r="B36" s="129" t="s">
        <v>70</v>
      </c>
      <c r="C36" s="80">
        <v>36599</v>
      </c>
      <c r="D36" s="76" t="s">
        <v>137</v>
      </c>
      <c r="E36" s="81">
        <v>28044</v>
      </c>
      <c r="F36" s="82"/>
      <c r="G36" s="92">
        <f t="shared" si="0"/>
        <v>-28044</v>
      </c>
    </row>
    <row r="37" spans="1:7" ht="12" customHeight="1" x14ac:dyDescent="0.25">
      <c r="A37" s="136"/>
      <c r="B37" s="136"/>
      <c r="C37" s="80">
        <v>36600</v>
      </c>
      <c r="D37" s="76" t="s">
        <v>146</v>
      </c>
      <c r="E37" s="81">
        <v>29616</v>
      </c>
      <c r="F37" s="82"/>
      <c r="G37" s="92">
        <f t="shared" si="0"/>
        <v>-57660</v>
      </c>
    </row>
    <row r="38" spans="1:7" ht="12" customHeight="1" x14ac:dyDescent="0.25">
      <c r="A38" s="136"/>
      <c r="B38" s="136"/>
      <c r="C38" s="80">
        <v>36601</v>
      </c>
      <c r="D38" s="76"/>
      <c r="E38" s="81"/>
      <c r="F38" s="82">
        <v>100000</v>
      </c>
      <c r="G38" s="92">
        <f t="shared" si="0"/>
        <v>42340</v>
      </c>
    </row>
    <row r="39" spans="1:7" ht="12" customHeight="1" x14ac:dyDescent="0.25">
      <c r="A39" s="136"/>
      <c r="B39" s="136"/>
      <c r="C39" s="80">
        <v>36610</v>
      </c>
      <c r="D39" s="76" t="s">
        <v>142</v>
      </c>
      <c r="E39" s="81">
        <v>60912</v>
      </c>
      <c r="F39" s="82"/>
      <c r="G39" s="92">
        <f t="shared" si="0"/>
        <v>-18572</v>
      </c>
    </row>
    <row r="40" spans="1:7" ht="12" customHeight="1" x14ac:dyDescent="0.25">
      <c r="A40" s="136"/>
      <c r="B40" s="136"/>
      <c r="C40" s="80">
        <v>36611</v>
      </c>
      <c r="D40" s="76" t="s">
        <v>172</v>
      </c>
      <c r="E40" s="81">
        <v>29616</v>
      </c>
      <c r="F40" s="82"/>
      <c r="G40" s="92">
        <f t="shared" si="0"/>
        <v>-48188</v>
      </c>
    </row>
    <row r="41" spans="1:7" ht="12" customHeight="1" x14ac:dyDescent="0.25">
      <c r="A41" s="136"/>
      <c r="B41" s="136"/>
      <c r="C41" s="80">
        <v>36617</v>
      </c>
      <c r="D41" s="76"/>
      <c r="E41" s="81"/>
      <c r="F41" s="82">
        <v>50000</v>
      </c>
      <c r="G41" s="92">
        <f t="shared" si="0"/>
        <v>1812</v>
      </c>
    </row>
    <row r="42" spans="1:7" ht="12" customHeight="1" x14ac:dyDescent="0.25">
      <c r="A42" s="136"/>
      <c r="B42" s="136"/>
      <c r="C42" s="80">
        <v>36621</v>
      </c>
      <c r="D42" s="76" t="s">
        <v>173</v>
      </c>
      <c r="E42" s="81">
        <v>60912</v>
      </c>
      <c r="F42" s="82"/>
      <c r="G42" s="92">
        <f t="shared" si="0"/>
        <v>-59100</v>
      </c>
    </row>
    <row r="43" spans="1:7" ht="12" customHeight="1" x14ac:dyDescent="0.25">
      <c r="A43" s="136"/>
      <c r="B43" s="130"/>
      <c r="C43" s="80">
        <v>36631</v>
      </c>
      <c r="D43" s="76"/>
      <c r="E43" s="81"/>
      <c r="F43" s="82">
        <v>50000</v>
      </c>
      <c r="G43" s="92">
        <f t="shared" si="0"/>
        <v>-9100</v>
      </c>
    </row>
    <row r="44" spans="1:7" ht="12" customHeight="1" x14ac:dyDescent="0.25">
      <c r="A44" s="136"/>
      <c r="B44" s="133" t="s">
        <v>156</v>
      </c>
      <c r="C44" s="134"/>
      <c r="D44" s="135"/>
      <c r="E44" s="88">
        <v>209100</v>
      </c>
      <c r="F44" s="89">
        <v>200000</v>
      </c>
      <c r="G44" s="92">
        <f t="shared" si="0"/>
        <v>0</v>
      </c>
    </row>
    <row r="45" spans="1:7" ht="12" customHeight="1" x14ac:dyDescent="0.25">
      <c r="A45" s="136"/>
      <c r="B45" s="129" t="s">
        <v>72</v>
      </c>
      <c r="C45" s="80">
        <v>36601</v>
      </c>
      <c r="D45" s="76"/>
      <c r="E45" s="81"/>
      <c r="F45" s="82">
        <v>200000</v>
      </c>
      <c r="G45" s="92">
        <f t="shared" si="0"/>
        <v>200000</v>
      </c>
    </row>
    <row r="46" spans="1:7" ht="12" customHeight="1" x14ac:dyDescent="0.25">
      <c r="A46" s="136"/>
      <c r="B46" s="136"/>
      <c r="C46" s="80">
        <v>36602</v>
      </c>
      <c r="D46" s="76" t="s">
        <v>138</v>
      </c>
      <c r="E46" s="81">
        <v>28342</v>
      </c>
      <c r="F46" s="82"/>
      <c r="G46" s="92">
        <f t="shared" si="0"/>
        <v>171658</v>
      </c>
    </row>
    <row r="47" spans="1:7" ht="12" customHeight="1" x14ac:dyDescent="0.25">
      <c r="A47" s="136"/>
      <c r="B47" s="136"/>
      <c r="C47" s="80">
        <v>36603</v>
      </c>
      <c r="D47" s="76" t="s">
        <v>139</v>
      </c>
      <c r="E47" s="81">
        <v>114384</v>
      </c>
      <c r="F47" s="82"/>
      <c r="G47" s="92">
        <f t="shared" si="0"/>
        <v>57274</v>
      </c>
    </row>
    <row r="48" spans="1:7" ht="12" customHeight="1" x14ac:dyDescent="0.25">
      <c r="A48" s="136"/>
      <c r="B48" s="136"/>
      <c r="C48" s="80">
        <v>36608</v>
      </c>
      <c r="D48" s="76" t="s">
        <v>140</v>
      </c>
      <c r="E48" s="81">
        <v>77232</v>
      </c>
      <c r="F48" s="82"/>
      <c r="G48" s="92">
        <f t="shared" si="0"/>
        <v>-19958</v>
      </c>
    </row>
    <row r="49" spans="1:7" ht="12" customHeight="1" x14ac:dyDescent="0.25">
      <c r="A49" s="136"/>
      <c r="B49" s="136"/>
      <c r="C49" s="80">
        <v>36612</v>
      </c>
      <c r="D49" s="76" t="s">
        <v>136</v>
      </c>
      <c r="E49" s="81">
        <v>14592</v>
      </c>
      <c r="F49" s="82"/>
      <c r="G49" s="92">
        <f t="shared" si="0"/>
        <v>-34550</v>
      </c>
    </row>
    <row r="50" spans="1:7" ht="12" customHeight="1" x14ac:dyDescent="0.25">
      <c r="A50" s="136"/>
      <c r="B50" s="136"/>
      <c r="C50" s="80">
        <v>36613</v>
      </c>
      <c r="D50" s="76" t="s">
        <v>143</v>
      </c>
      <c r="E50" s="81">
        <v>94080</v>
      </c>
      <c r="F50" s="82"/>
      <c r="G50" s="92">
        <f t="shared" si="0"/>
        <v>-128630</v>
      </c>
    </row>
    <row r="51" spans="1:7" ht="12" customHeight="1" x14ac:dyDescent="0.25">
      <c r="A51" s="136"/>
      <c r="B51" s="136"/>
      <c r="C51" s="80">
        <v>36615</v>
      </c>
      <c r="D51" s="76" t="s">
        <v>144</v>
      </c>
      <c r="E51" s="81">
        <v>111408</v>
      </c>
      <c r="F51" s="82"/>
      <c r="G51" s="92">
        <f t="shared" si="0"/>
        <v>-240038</v>
      </c>
    </row>
    <row r="52" spans="1:7" ht="12" customHeight="1" x14ac:dyDescent="0.25">
      <c r="A52" s="136"/>
      <c r="B52" s="136"/>
      <c r="C52" s="80">
        <v>36620</v>
      </c>
      <c r="D52" s="76" t="s">
        <v>145</v>
      </c>
      <c r="E52" s="81">
        <v>77232</v>
      </c>
      <c r="F52" s="82"/>
      <c r="G52" s="92">
        <f t="shared" si="0"/>
        <v>-317270</v>
      </c>
    </row>
    <row r="53" spans="1:7" ht="12" customHeight="1" x14ac:dyDescent="0.25">
      <c r="A53" s="136"/>
      <c r="B53" s="130"/>
      <c r="C53" s="80">
        <v>36623</v>
      </c>
      <c r="D53" s="76"/>
      <c r="E53" s="81"/>
      <c r="F53" s="82">
        <v>300000</v>
      </c>
      <c r="G53" s="92">
        <f t="shared" si="0"/>
        <v>-17270</v>
      </c>
    </row>
    <row r="54" spans="1:7" ht="12" customHeight="1" x14ac:dyDescent="0.25">
      <c r="A54" s="136"/>
      <c r="B54" s="133" t="s">
        <v>157</v>
      </c>
      <c r="C54" s="134"/>
      <c r="D54" s="135"/>
      <c r="E54" s="88">
        <v>517270</v>
      </c>
      <c r="F54" s="89">
        <v>500000</v>
      </c>
      <c r="G54" s="92">
        <f t="shared" si="0"/>
        <v>0</v>
      </c>
    </row>
    <row r="55" spans="1:7" ht="12" customHeight="1" x14ac:dyDescent="0.25">
      <c r="A55" s="136"/>
      <c r="B55" s="129" t="s">
        <v>74</v>
      </c>
      <c r="C55" s="80">
        <v>36599</v>
      </c>
      <c r="D55" s="76" t="s">
        <v>137</v>
      </c>
      <c r="E55" s="81">
        <v>26742</v>
      </c>
      <c r="F55" s="82"/>
      <c r="G55" s="92">
        <f t="shared" si="0"/>
        <v>-26742</v>
      </c>
    </row>
    <row r="56" spans="1:7" ht="12" customHeight="1" x14ac:dyDescent="0.25">
      <c r="A56" s="136"/>
      <c r="B56" s="136"/>
      <c r="C56" s="80">
        <v>36600</v>
      </c>
      <c r="D56" s="76" t="s">
        <v>146</v>
      </c>
      <c r="E56" s="81">
        <v>29616</v>
      </c>
      <c r="F56" s="82"/>
      <c r="G56" s="92">
        <f t="shared" si="0"/>
        <v>-56358</v>
      </c>
    </row>
    <row r="57" spans="1:7" ht="12" customHeight="1" x14ac:dyDescent="0.25">
      <c r="A57" s="136"/>
      <c r="B57" s="136"/>
      <c r="C57" s="80">
        <v>36602</v>
      </c>
      <c r="D57" s="76"/>
      <c r="E57" s="81"/>
      <c r="F57" s="82">
        <v>100000</v>
      </c>
      <c r="G57" s="92">
        <f t="shared" si="0"/>
        <v>43642</v>
      </c>
    </row>
    <row r="58" spans="1:7" ht="12" customHeight="1" x14ac:dyDescent="0.25">
      <c r="A58" s="136"/>
      <c r="B58" s="136"/>
      <c r="C58" s="80">
        <v>36610</v>
      </c>
      <c r="D58" s="76" t="s">
        <v>142</v>
      </c>
      <c r="E58" s="81">
        <v>60912</v>
      </c>
      <c r="F58" s="82"/>
      <c r="G58" s="92">
        <f t="shared" si="0"/>
        <v>-17270</v>
      </c>
    </row>
    <row r="59" spans="1:7" ht="12" customHeight="1" x14ac:dyDescent="0.25">
      <c r="A59" s="136"/>
      <c r="B59" s="136"/>
      <c r="C59" s="80">
        <v>36611</v>
      </c>
      <c r="D59" s="76" t="s">
        <v>172</v>
      </c>
      <c r="E59" s="81">
        <v>29616</v>
      </c>
      <c r="F59" s="82"/>
      <c r="G59" s="92">
        <f t="shared" si="0"/>
        <v>-46886</v>
      </c>
    </row>
    <row r="60" spans="1:7" ht="12" customHeight="1" x14ac:dyDescent="0.25">
      <c r="A60" s="136"/>
      <c r="B60" s="136"/>
      <c r="C60" s="80">
        <v>36618</v>
      </c>
      <c r="D60" s="76"/>
      <c r="E60" s="81"/>
      <c r="F60" s="82">
        <v>100000</v>
      </c>
      <c r="G60" s="92">
        <f t="shared" si="0"/>
        <v>53114</v>
      </c>
    </row>
    <row r="61" spans="1:7" ht="12" customHeight="1" x14ac:dyDescent="0.25">
      <c r="A61" s="136"/>
      <c r="B61" s="130"/>
      <c r="C61" s="80">
        <v>36621</v>
      </c>
      <c r="D61" s="76" t="s">
        <v>173</v>
      </c>
      <c r="E61" s="81">
        <v>60912</v>
      </c>
      <c r="F61" s="82"/>
      <c r="G61" s="92">
        <f t="shared" si="0"/>
        <v>-7798</v>
      </c>
    </row>
    <row r="62" spans="1:7" ht="12" customHeight="1" x14ac:dyDescent="0.25">
      <c r="A62" s="130"/>
      <c r="B62" s="133" t="s">
        <v>158</v>
      </c>
      <c r="C62" s="134"/>
      <c r="D62" s="135"/>
      <c r="E62" s="88">
        <v>207798</v>
      </c>
      <c r="F62" s="89">
        <v>200000</v>
      </c>
      <c r="G62" s="92">
        <f t="shared" si="0"/>
        <v>0</v>
      </c>
    </row>
    <row r="63" spans="1:7" ht="12" customHeight="1" x14ac:dyDescent="0.25">
      <c r="A63" s="129" t="s">
        <v>95</v>
      </c>
      <c r="B63" s="129" t="s">
        <v>59</v>
      </c>
      <c r="C63" s="80">
        <v>36608</v>
      </c>
      <c r="D63" s="76"/>
      <c r="E63" s="81"/>
      <c r="F63" s="82">
        <v>60</v>
      </c>
      <c r="G63" s="92">
        <f t="shared" si="0"/>
        <v>60</v>
      </c>
    </row>
    <row r="64" spans="1:7" ht="12" customHeight="1" x14ac:dyDescent="0.25">
      <c r="A64" s="136"/>
      <c r="B64" s="130"/>
      <c r="C64" s="80">
        <v>36622</v>
      </c>
      <c r="D64" s="76"/>
      <c r="E64" s="81"/>
      <c r="F64" s="82">
        <v>100</v>
      </c>
      <c r="G64" s="92">
        <f t="shared" si="0"/>
        <v>160</v>
      </c>
    </row>
    <row r="65" spans="1:7" ht="12" customHeight="1" x14ac:dyDescent="0.25">
      <c r="A65" s="136"/>
      <c r="B65" s="133" t="s">
        <v>159</v>
      </c>
      <c r="C65" s="134"/>
      <c r="D65" s="135"/>
      <c r="E65" s="88"/>
      <c r="F65" s="89">
        <v>160</v>
      </c>
      <c r="G65" s="92">
        <f t="shared" si="0"/>
        <v>0</v>
      </c>
    </row>
    <row r="66" spans="1:7" ht="12" customHeight="1" x14ac:dyDescent="0.25">
      <c r="A66" s="136"/>
      <c r="B66" s="129" t="s">
        <v>62</v>
      </c>
      <c r="C66" s="80">
        <v>36613</v>
      </c>
      <c r="D66" s="76" t="s">
        <v>143</v>
      </c>
      <c r="E66" s="81">
        <v>97.152000000000015</v>
      </c>
      <c r="F66" s="82"/>
      <c r="G66" s="92">
        <f t="shared" si="0"/>
        <v>-97.152000000000015</v>
      </c>
    </row>
    <row r="67" spans="1:7" ht="12" customHeight="1" x14ac:dyDescent="0.25">
      <c r="A67" s="136"/>
      <c r="B67" s="136"/>
      <c r="C67" s="80">
        <v>36619</v>
      </c>
      <c r="D67" s="76"/>
      <c r="E67" s="81"/>
      <c r="F67" s="82">
        <v>350</v>
      </c>
      <c r="G67" s="92">
        <f t="shared" si="0"/>
        <v>252.84799999999998</v>
      </c>
    </row>
    <row r="68" spans="1:7" ht="12" customHeight="1" x14ac:dyDescent="0.25">
      <c r="A68" s="136"/>
      <c r="B68" s="130"/>
      <c r="C68" s="80">
        <v>36621</v>
      </c>
      <c r="D68" s="76" t="s">
        <v>173</v>
      </c>
      <c r="E68" s="81">
        <v>304.56</v>
      </c>
      <c r="F68" s="82"/>
      <c r="G68" s="92">
        <f t="shared" si="0"/>
        <v>-51.712000000000018</v>
      </c>
    </row>
    <row r="69" spans="1:7" ht="12" customHeight="1" x14ac:dyDescent="0.25">
      <c r="A69" s="130"/>
      <c r="B69" s="133" t="s">
        <v>160</v>
      </c>
      <c r="C69" s="134"/>
      <c r="D69" s="135"/>
      <c r="E69" s="88">
        <v>401.71199999999999</v>
      </c>
      <c r="F69" s="89">
        <v>350</v>
      </c>
      <c r="G69" s="92">
        <f t="shared" si="0"/>
        <v>0</v>
      </c>
    </row>
    <row r="70" spans="1:7" ht="12" customHeight="1" x14ac:dyDescent="0.25">
      <c r="A70" s="129" t="s">
        <v>96</v>
      </c>
      <c r="B70" s="87" t="s">
        <v>76</v>
      </c>
      <c r="C70" s="80">
        <v>36623</v>
      </c>
      <c r="D70" s="76"/>
      <c r="E70" s="81"/>
      <c r="F70" s="82">
        <v>50000</v>
      </c>
      <c r="G70" s="92">
        <f t="shared" si="0"/>
        <v>50000</v>
      </c>
    </row>
    <row r="71" spans="1:7" ht="12" customHeight="1" x14ac:dyDescent="0.25">
      <c r="A71" s="136"/>
      <c r="B71" s="133" t="s">
        <v>161</v>
      </c>
      <c r="C71" s="134"/>
      <c r="D71" s="135"/>
      <c r="E71" s="88"/>
      <c r="F71" s="89">
        <v>50000</v>
      </c>
      <c r="G71" s="92">
        <f t="shared" si="0"/>
        <v>0</v>
      </c>
    </row>
    <row r="72" spans="1:7" ht="12" customHeight="1" x14ac:dyDescent="0.25">
      <c r="A72" s="136"/>
      <c r="B72" s="129" t="s">
        <v>79</v>
      </c>
      <c r="C72" s="80">
        <v>36599</v>
      </c>
      <c r="D72" s="76"/>
      <c r="E72" s="81"/>
      <c r="F72" s="82">
        <v>70000</v>
      </c>
      <c r="G72" s="92">
        <f t="shared" si="0"/>
        <v>70000</v>
      </c>
    </row>
    <row r="73" spans="1:7" ht="12" customHeight="1" x14ac:dyDescent="0.25">
      <c r="A73" s="136"/>
      <c r="B73" s="130"/>
      <c r="C73" s="80">
        <v>36606</v>
      </c>
      <c r="D73" s="76"/>
      <c r="E73" s="81"/>
      <c r="F73" s="82">
        <v>60000</v>
      </c>
      <c r="G73" s="92">
        <f t="shared" si="0"/>
        <v>130000</v>
      </c>
    </row>
    <row r="74" spans="1:7" ht="12" customHeight="1" x14ac:dyDescent="0.25">
      <c r="A74" s="136"/>
      <c r="B74" s="133" t="s">
        <v>162</v>
      </c>
      <c r="C74" s="134"/>
      <c r="D74" s="135"/>
      <c r="E74" s="88"/>
      <c r="F74" s="89">
        <v>130000</v>
      </c>
      <c r="G74" s="92">
        <f t="shared" si="0"/>
        <v>0</v>
      </c>
    </row>
    <row r="75" spans="1:7" ht="12" customHeight="1" x14ac:dyDescent="0.25">
      <c r="A75" s="136"/>
      <c r="B75" s="129" t="s">
        <v>81</v>
      </c>
      <c r="C75" s="80">
        <v>36600</v>
      </c>
      <c r="D75" s="76" t="s">
        <v>146</v>
      </c>
      <c r="E75" s="81">
        <v>9980</v>
      </c>
      <c r="F75" s="82"/>
      <c r="G75" s="92">
        <f t="shared" si="0"/>
        <v>-9980</v>
      </c>
    </row>
    <row r="76" spans="1:7" ht="12" customHeight="1" x14ac:dyDescent="0.25">
      <c r="A76" s="136"/>
      <c r="B76" s="136"/>
      <c r="C76" s="80">
        <v>36611</v>
      </c>
      <c r="D76" s="76" t="s">
        <v>172</v>
      </c>
      <c r="E76" s="81">
        <v>32084</v>
      </c>
      <c r="F76" s="82"/>
      <c r="G76" s="92">
        <f t="shared" si="0"/>
        <v>-42064</v>
      </c>
    </row>
    <row r="77" spans="1:7" ht="12" customHeight="1" x14ac:dyDescent="0.25">
      <c r="A77" s="136"/>
      <c r="B77" s="136"/>
      <c r="C77" s="80">
        <v>36618</v>
      </c>
      <c r="D77" s="76"/>
      <c r="E77" s="81"/>
      <c r="F77" s="82">
        <v>20000</v>
      </c>
      <c r="G77" s="92">
        <f t="shared" ref="G77:G137" si="1">IF(RIGHT(B77,5)="Total",0,G76+F77-E77)</f>
        <v>-22064</v>
      </c>
    </row>
    <row r="78" spans="1:7" ht="12" customHeight="1" x14ac:dyDescent="0.25">
      <c r="A78" s="136"/>
      <c r="B78" s="136"/>
      <c r="C78" s="80">
        <v>36632</v>
      </c>
      <c r="D78" s="76"/>
      <c r="E78" s="81"/>
      <c r="F78" s="82">
        <v>20000</v>
      </c>
      <c r="G78" s="92">
        <f t="shared" si="1"/>
        <v>-2064</v>
      </c>
    </row>
    <row r="79" spans="1:7" ht="12" customHeight="1" x14ac:dyDescent="0.25">
      <c r="A79" s="136"/>
      <c r="B79" s="130"/>
      <c r="C79" s="80">
        <v>36646</v>
      </c>
      <c r="D79" s="76"/>
      <c r="E79" s="81"/>
      <c r="F79" s="82">
        <v>20000</v>
      </c>
      <c r="G79" s="92">
        <f t="shared" si="1"/>
        <v>17936</v>
      </c>
    </row>
    <row r="80" spans="1:7" ht="12" customHeight="1" x14ac:dyDescent="0.25">
      <c r="A80" s="136"/>
      <c r="B80" s="133" t="s">
        <v>163</v>
      </c>
      <c r="C80" s="134"/>
      <c r="D80" s="135"/>
      <c r="E80" s="88">
        <v>42064</v>
      </c>
      <c r="F80" s="89">
        <v>60000</v>
      </c>
      <c r="G80" s="92">
        <f t="shared" si="1"/>
        <v>0</v>
      </c>
    </row>
    <row r="81" spans="1:7" ht="12" customHeight="1" x14ac:dyDescent="0.25">
      <c r="A81" s="136"/>
      <c r="B81" s="129" t="s">
        <v>83</v>
      </c>
      <c r="C81" s="80">
        <v>36630</v>
      </c>
      <c r="D81" s="76"/>
      <c r="E81" s="81"/>
      <c r="F81" s="82">
        <v>10000</v>
      </c>
      <c r="G81" s="92">
        <f t="shared" si="1"/>
        <v>10000</v>
      </c>
    </row>
    <row r="82" spans="1:7" ht="12" customHeight="1" x14ac:dyDescent="0.25">
      <c r="A82" s="136"/>
      <c r="B82" s="130"/>
      <c r="C82" s="80">
        <v>36644</v>
      </c>
      <c r="D82" s="76"/>
      <c r="E82" s="81"/>
      <c r="F82" s="82">
        <v>10000</v>
      </c>
      <c r="G82" s="92">
        <f t="shared" si="1"/>
        <v>20000</v>
      </c>
    </row>
    <row r="83" spans="1:7" ht="12" customHeight="1" x14ac:dyDescent="0.25">
      <c r="A83" s="136"/>
      <c r="B83" s="133" t="s">
        <v>164</v>
      </c>
      <c r="C83" s="134"/>
      <c r="D83" s="135"/>
      <c r="E83" s="88"/>
      <c r="F83" s="89">
        <v>20000</v>
      </c>
      <c r="G83" s="92">
        <f t="shared" si="1"/>
        <v>0</v>
      </c>
    </row>
    <row r="84" spans="1:7" ht="12" customHeight="1" x14ac:dyDescent="0.25">
      <c r="A84" s="136"/>
      <c r="B84" s="129" t="s">
        <v>85</v>
      </c>
      <c r="C84" s="131">
        <v>36602</v>
      </c>
      <c r="D84" s="76" t="s">
        <v>138</v>
      </c>
      <c r="E84" s="81">
        <v>14504</v>
      </c>
      <c r="F84" s="82"/>
      <c r="G84" s="92">
        <f t="shared" si="1"/>
        <v>-14504</v>
      </c>
    </row>
    <row r="85" spans="1:7" ht="12" customHeight="1" x14ac:dyDescent="0.25">
      <c r="A85" s="136"/>
      <c r="B85" s="136"/>
      <c r="C85" s="132"/>
      <c r="D85" s="79"/>
      <c r="E85" s="85"/>
      <c r="F85" s="86">
        <v>60000</v>
      </c>
      <c r="G85" s="92">
        <f t="shared" si="1"/>
        <v>45496</v>
      </c>
    </row>
    <row r="86" spans="1:7" ht="12" customHeight="1" x14ac:dyDescent="0.25">
      <c r="A86" s="136"/>
      <c r="B86" s="136"/>
      <c r="C86" s="80">
        <v>36613</v>
      </c>
      <c r="D86" s="76" t="s">
        <v>143</v>
      </c>
      <c r="E86" s="81">
        <v>98000</v>
      </c>
      <c r="F86" s="82"/>
      <c r="G86" s="92">
        <f t="shared" si="1"/>
        <v>-52504</v>
      </c>
    </row>
    <row r="87" spans="1:7" ht="12" customHeight="1" x14ac:dyDescent="0.25">
      <c r="A87" s="136"/>
      <c r="B87" s="130"/>
      <c r="C87" s="80">
        <v>36616</v>
      </c>
      <c r="D87" s="76"/>
      <c r="E87" s="81"/>
      <c r="F87" s="82">
        <v>60000</v>
      </c>
      <c r="G87" s="92">
        <f t="shared" si="1"/>
        <v>7496</v>
      </c>
    </row>
    <row r="88" spans="1:7" ht="12" customHeight="1" x14ac:dyDescent="0.25">
      <c r="A88" s="136"/>
      <c r="B88" s="133" t="s">
        <v>165</v>
      </c>
      <c r="C88" s="134"/>
      <c r="D88" s="135"/>
      <c r="E88" s="88">
        <v>112504</v>
      </c>
      <c r="F88" s="89">
        <v>120000</v>
      </c>
      <c r="G88" s="92">
        <f t="shared" si="1"/>
        <v>0</v>
      </c>
    </row>
    <row r="89" spans="1:7" ht="12" customHeight="1" x14ac:dyDescent="0.25">
      <c r="A89" s="136"/>
      <c r="B89" s="129" t="s">
        <v>87</v>
      </c>
      <c r="C89" s="80">
        <v>36610</v>
      </c>
      <c r="D89" s="76" t="s">
        <v>142</v>
      </c>
      <c r="E89" s="81">
        <v>15714</v>
      </c>
      <c r="F89" s="82"/>
      <c r="G89" s="92">
        <f t="shared" si="1"/>
        <v>-15714</v>
      </c>
    </row>
    <row r="90" spans="1:7" ht="12" customHeight="1" x14ac:dyDescent="0.25">
      <c r="A90" s="136"/>
      <c r="B90" s="136"/>
      <c r="C90" s="80">
        <v>36615</v>
      </c>
      <c r="D90" s="76"/>
      <c r="E90" s="81"/>
      <c r="F90" s="82">
        <v>40000</v>
      </c>
      <c r="G90" s="92">
        <f t="shared" si="1"/>
        <v>24286</v>
      </c>
    </row>
    <row r="91" spans="1:7" ht="12" customHeight="1" x14ac:dyDescent="0.25">
      <c r="A91" s="136"/>
      <c r="B91" s="136"/>
      <c r="C91" s="80">
        <v>36621</v>
      </c>
      <c r="D91" s="76" t="s">
        <v>173</v>
      </c>
      <c r="E91" s="81">
        <v>65988</v>
      </c>
      <c r="F91" s="82"/>
      <c r="G91" s="92">
        <f t="shared" si="1"/>
        <v>-41702</v>
      </c>
    </row>
    <row r="92" spans="1:7" ht="12" customHeight="1" x14ac:dyDescent="0.25">
      <c r="A92" s="136"/>
      <c r="B92" s="130"/>
      <c r="C92" s="80">
        <v>36629</v>
      </c>
      <c r="D92" s="76"/>
      <c r="E92" s="81"/>
      <c r="F92" s="82">
        <v>40000</v>
      </c>
      <c r="G92" s="92">
        <f t="shared" si="1"/>
        <v>-1702</v>
      </c>
    </row>
    <row r="93" spans="1:7" ht="12" customHeight="1" x14ac:dyDescent="0.25">
      <c r="A93" s="130"/>
      <c r="B93" s="133" t="s">
        <v>166</v>
      </c>
      <c r="C93" s="134"/>
      <c r="D93" s="135"/>
      <c r="E93" s="88">
        <v>81702</v>
      </c>
      <c r="F93" s="89">
        <v>80000</v>
      </c>
      <c r="G93" s="92">
        <f t="shared" si="1"/>
        <v>0</v>
      </c>
    </row>
    <row r="94" spans="1:7" ht="12" customHeight="1" x14ac:dyDescent="0.25">
      <c r="A94" s="129" t="s">
        <v>97</v>
      </c>
      <c r="B94" s="129" t="s">
        <v>92</v>
      </c>
      <c r="C94" s="80">
        <v>36599</v>
      </c>
      <c r="D94" s="76"/>
      <c r="E94" s="81"/>
      <c r="F94" s="82">
        <v>8000</v>
      </c>
      <c r="G94" s="92">
        <f t="shared" si="1"/>
        <v>8000</v>
      </c>
    </row>
    <row r="95" spans="1:7" ht="12" customHeight="1" x14ac:dyDescent="0.25">
      <c r="A95" s="136"/>
      <c r="B95" s="136"/>
      <c r="C95" s="80">
        <v>36602</v>
      </c>
      <c r="D95" s="76" t="s">
        <v>138</v>
      </c>
      <c r="E95" s="81">
        <v>1516</v>
      </c>
      <c r="F95" s="82"/>
      <c r="G95" s="92">
        <f t="shared" si="1"/>
        <v>6484</v>
      </c>
    </row>
    <row r="96" spans="1:7" ht="12" customHeight="1" x14ac:dyDescent="0.25">
      <c r="A96" s="136"/>
      <c r="B96" s="136"/>
      <c r="C96" s="80">
        <v>36603</v>
      </c>
      <c r="D96" s="76" t="s">
        <v>139</v>
      </c>
      <c r="E96" s="81">
        <v>2383</v>
      </c>
      <c r="F96" s="82"/>
      <c r="G96" s="92">
        <f t="shared" si="1"/>
        <v>4101</v>
      </c>
    </row>
    <row r="97" spans="1:7" ht="12" customHeight="1" x14ac:dyDescent="0.25">
      <c r="A97" s="136"/>
      <c r="B97" s="136"/>
      <c r="C97" s="80">
        <v>36610</v>
      </c>
      <c r="D97" s="76" t="s">
        <v>142</v>
      </c>
      <c r="E97" s="81">
        <v>2538</v>
      </c>
      <c r="F97" s="82"/>
      <c r="G97" s="92">
        <f t="shared" si="1"/>
        <v>1563</v>
      </c>
    </row>
    <row r="98" spans="1:7" ht="12" customHeight="1" x14ac:dyDescent="0.25">
      <c r="A98" s="136"/>
      <c r="B98" s="136"/>
      <c r="C98" s="80">
        <v>36611</v>
      </c>
      <c r="D98" s="76" t="s">
        <v>172</v>
      </c>
      <c r="E98" s="81">
        <v>1234</v>
      </c>
      <c r="F98" s="82"/>
      <c r="G98" s="92">
        <f t="shared" si="1"/>
        <v>329</v>
      </c>
    </row>
    <row r="99" spans="1:7" ht="12" customHeight="1" x14ac:dyDescent="0.25">
      <c r="A99" s="136"/>
      <c r="B99" s="136"/>
      <c r="C99" s="80">
        <v>36613</v>
      </c>
      <c r="D99" s="76" t="s">
        <v>143</v>
      </c>
      <c r="E99" s="81">
        <v>1960</v>
      </c>
      <c r="F99" s="82"/>
      <c r="G99" s="92">
        <f t="shared" si="1"/>
        <v>-1631</v>
      </c>
    </row>
    <row r="100" spans="1:7" ht="12" customHeight="1" x14ac:dyDescent="0.25">
      <c r="A100" s="136"/>
      <c r="B100" s="136"/>
      <c r="C100" s="80">
        <v>36615</v>
      </c>
      <c r="D100" s="76" t="s">
        <v>144</v>
      </c>
      <c r="E100" s="81">
        <v>2321</v>
      </c>
      <c r="F100" s="82"/>
      <c r="G100" s="92">
        <f t="shared" si="1"/>
        <v>-3952</v>
      </c>
    </row>
    <row r="101" spans="1:7" ht="12" customHeight="1" x14ac:dyDescent="0.25">
      <c r="A101" s="136"/>
      <c r="B101" s="136"/>
      <c r="C101" s="80">
        <v>36620</v>
      </c>
      <c r="D101" s="76"/>
      <c r="E101" s="81"/>
      <c r="F101" s="82">
        <v>5000</v>
      </c>
      <c r="G101" s="92">
        <f t="shared" si="1"/>
        <v>1048</v>
      </c>
    </row>
    <row r="102" spans="1:7" ht="12" customHeight="1" x14ac:dyDescent="0.25">
      <c r="A102" s="136"/>
      <c r="B102" s="130"/>
      <c r="C102" s="80">
        <v>36621</v>
      </c>
      <c r="D102" s="76" t="s">
        <v>173</v>
      </c>
      <c r="E102" s="81">
        <v>2538</v>
      </c>
      <c r="F102" s="82"/>
      <c r="G102" s="92">
        <f t="shared" si="1"/>
        <v>-1490</v>
      </c>
    </row>
    <row r="103" spans="1:7" ht="12" customHeight="1" x14ac:dyDescent="0.25">
      <c r="A103" s="136"/>
      <c r="B103" s="133" t="s">
        <v>167</v>
      </c>
      <c r="C103" s="134"/>
      <c r="D103" s="135"/>
      <c r="E103" s="88">
        <v>14490</v>
      </c>
      <c r="F103" s="89">
        <v>13000</v>
      </c>
      <c r="G103" s="92">
        <f t="shared" si="1"/>
        <v>0</v>
      </c>
    </row>
    <row r="104" spans="1:7" ht="12" customHeight="1" x14ac:dyDescent="0.25">
      <c r="A104" s="136"/>
      <c r="B104" s="129" t="s">
        <v>89</v>
      </c>
      <c r="C104" s="80">
        <v>36603</v>
      </c>
      <c r="D104" s="76"/>
      <c r="E104" s="81"/>
      <c r="F104" s="82">
        <v>1000</v>
      </c>
      <c r="G104" s="92">
        <f t="shared" si="1"/>
        <v>1000</v>
      </c>
    </row>
    <row r="105" spans="1:7" ht="12" customHeight="1" x14ac:dyDescent="0.25">
      <c r="A105" s="136"/>
      <c r="B105" s="136"/>
      <c r="C105" s="80">
        <v>36608</v>
      </c>
      <c r="D105" s="76" t="s">
        <v>140</v>
      </c>
      <c r="E105" s="81">
        <v>611</v>
      </c>
      <c r="F105" s="82"/>
      <c r="G105" s="92">
        <f t="shared" si="1"/>
        <v>389</v>
      </c>
    </row>
    <row r="106" spans="1:7" ht="12" customHeight="1" x14ac:dyDescent="0.25">
      <c r="A106" s="136"/>
      <c r="B106" s="136"/>
      <c r="C106" s="80">
        <v>36612</v>
      </c>
      <c r="D106" s="76" t="s">
        <v>136</v>
      </c>
      <c r="E106" s="81">
        <v>304</v>
      </c>
      <c r="F106" s="82"/>
      <c r="G106" s="92">
        <f t="shared" si="1"/>
        <v>85</v>
      </c>
    </row>
    <row r="107" spans="1:7" x14ac:dyDescent="0.25">
      <c r="A107" s="136"/>
      <c r="B107" s="136"/>
      <c r="C107" s="80">
        <v>36620</v>
      </c>
      <c r="D107" s="76" t="s">
        <v>145</v>
      </c>
      <c r="E107" s="81">
        <v>1609</v>
      </c>
      <c r="F107" s="82"/>
      <c r="G107" s="92">
        <f t="shared" si="1"/>
        <v>-1524</v>
      </c>
    </row>
    <row r="108" spans="1:7" x14ac:dyDescent="0.25">
      <c r="A108" s="136"/>
      <c r="B108" s="130"/>
      <c r="C108" s="80">
        <v>36642</v>
      </c>
      <c r="D108" s="76"/>
      <c r="E108" s="81"/>
      <c r="F108" s="82">
        <v>1000</v>
      </c>
      <c r="G108" s="92">
        <f t="shared" si="1"/>
        <v>-524</v>
      </c>
    </row>
    <row r="109" spans="1:7" ht="12.75" customHeight="1" x14ac:dyDescent="0.25">
      <c r="A109" s="130"/>
      <c r="B109" s="133" t="s">
        <v>168</v>
      </c>
      <c r="C109" s="134"/>
      <c r="D109" s="135"/>
      <c r="E109" s="90">
        <v>2524</v>
      </c>
      <c r="F109" s="91">
        <v>2000</v>
      </c>
      <c r="G109" s="92">
        <f t="shared" si="1"/>
        <v>0</v>
      </c>
    </row>
    <row r="110" spans="1:7" x14ac:dyDescent="0.25">
      <c r="G110" s="92">
        <f t="shared" si="1"/>
        <v>0</v>
      </c>
    </row>
    <row r="111" spans="1:7" x14ac:dyDescent="0.25">
      <c r="G111" s="92">
        <f t="shared" si="1"/>
        <v>0</v>
      </c>
    </row>
    <row r="112" spans="1:7" x14ac:dyDescent="0.25">
      <c r="G112" s="92">
        <f t="shared" si="1"/>
        <v>0</v>
      </c>
    </row>
    <row r="113" spans="7:7" x14ac:dyDescent="0.25">
      <c r="G113" s="92">
        <f t="shared" si="1"/>
        <v>0</v>
      </c>
    </row>
    <row r="114" spans="7:7" x14ac:dyDescent="0.25">
      <c r="G114" s="92">
        <f t="shared" si="1"/>
        <v>0</v>
      </c>
    </row>
    <row r="115" spans="7:7" x14ac:dyDescent="0.25">
      <c r="G115" s="92">
        <f t="shared" si="1"/>
        <v>0</v>
      </c>
    </row>
    <row r="116" spans="7:7" x14ac:dyDescent="0.25">
      <c r="G116" s="92">
        <f t="shared" si="1"/>
        <v>0</v>
      </c>
    </row>
    <row r="117" spans="7:7" x14ac:dyDescent="0.25">
      <c r="G117" s="92">
        <f t="shared" si="1"/>
        <v>0</v>
      </c>
    </row>
    <row r="118" spans="7:7" x14ac:dyDescent="0.25">
      <c r="G118" s="92">
        <f t="shared" si="1"/>
        <v>0</v>
      </c>
    </row>
    <row r="119" spans="7:7" x14ac:dyDescent="0.25">
      <c r="G119" s="92">
        <f t="shared" si="1"/>
        <v>0</v>
      </c>
    </row>
    <row r="120" spans="7:7" x14ac:dyDescent="0.25">
      <c r="G120" s="92">
        <f t="shared" si="1"/>
        <v>0</v>
      </c>
    </row>
    <row r="121" spans="7:7" x14ac:dyDescent="0.25">
      <c r="G121" s="92">
        <f t="shared" si="1"/>
        <v>0</v>
      </c>
    </row>
    <row r="122" spans="7:7" x14ac:dyDescent="0.25">
      <c r="G122" s="92">
        <f t="shared" si="1"/>
        <v>0</v>
      </c>
    </row>
    <row r="123" spans="7:7" x14ac:dyDescent="0.25">
      <c r="G123" s="92">
        <f t="shared" si="1"/>
        <v>0</v>
      </c>
    </row>
    <row r="124" spans="7:7" x14ac:dyDescent="0.25">
      <c r="G124" s="92">
        <f t="shared" si="1"/>
        <v>0</v>
      </c>
    </row>
    <row r="125" spans="7:7" x14ac:dyDescent="0.25">
      <c r="G125" s="92">
        <f t="shared" si="1"/>
        <v>0</v>
      </c>
    </row>
    <row r="126" spans="7:7" x14ac:dyDescent="0.25">
      <c r="G126" s="92">
        <f t="shared" si="1"/>
        <v>0</v>
      </c>
    </row>
    <row r="127" spans="7:7" x14ac:dyDescent="0.25">
      <c r="G127" s="92">
        <f t="shared" si="1"/>
        <v>0</v>
      </c>
    </row>
    <row r="128" spans="7:7" x14ac:dyDescent="0.25">
      <c r="G128" s="92">
        <f t="shared" si="1"/>
        <v>0</v>
      </c>
    </row>
    <row r="129" spans="7:7" x14ac:dyDescent="0.25">
      <c r="G129" s="92">
        <f t="shared" si="1"/>
        <v>0</v>
      </c>
    </row>
    <row r="130" spans="7:7" x14ac:dyDescent="0.25">
      <c r="G130" s="92">
        <f t="shared" si="1"/>
        <v>0</v>
      </c>
    </row>
    <row r="131" spans="7:7" x14ac:dyDescent="0.25">
      <c r="G131" s="92">
        <f t="shared" si="1"/>
        <v>0</v>
      </c>
    </row>
    <row r="132" spans="7:7" x14ac:dyDescent="0.25">
      <c r="G132" s="92">
        <f t="shared" si="1"/>
        <v>0</v>
      </c>
    </row>
    <row r="133" spans="7:7" x14ac:dyDescent="0.25">
      <c r="G133" s="92">
        <f t="shared" si="1"/>
        <v>0</v>
      </c>
    </row>
    <row r="134" spans="7:7" x14ac:dyDescent="0.25">
      <c r="G134" s="92">
        <f t="shared" si="1"/>
        <v>0</v>
      </c>
    </row>
    <row r="135" spans="7:7" x14ac:dyDescent="0.25">
      <c r="G135" s="92">
        <f t="shared" si="1"/>
        <v>0</v>
      </c>
    </row>
    <row r="136" spans="7:7" x14ac:dyDescent="0.25">
      <c r="G136" s="92">
        <f t="shared" si="1"/>
        <v>0</v>
      </c>
    </row>
    <row r="137" spans="7:7" x14ac:dyDescent="0.25">
      <c r="G137" s="92">
        <f t="shared" si="1"/>
        <v>0</v>
      </c>
    </row>
  </sheetData>
  <mergeCells count="41">
    <mergeCell ref="A10:D10"/>
    <mergeCell ref="A12:A25"/>
    <mergeCell ref="A26:A62"/>
    <mergeCell ref="A63:A69"/>
    <mergeCell ref="A70:A93"/>
    <mergeCell ref="A94:A109"/>
    <mergeCell ref="B89:B92"/>
    <mergeCell ref="B93:D93"/>
    <mergeCell ref="B94:B102"/>
    <mergeCell ref="B103:D103"/>
    <mergeCell ref="B104:B108"/>
    <mergeCell ref="B109:D109"/>
    <mergeCell ref="B83:D83"/>
    <mergeCell ref="B84:B87"/>
    <mergeCell ref="B88:D88"/>
    <mergeCell ref="C84:C85"/>
    <mergeCell ref="B63:B64"/>
    <mergeCell ref="B65:D65"/>
    <mergeCell ref="B66:B68"/>
    <mergeCell ref="B69:D69"/>
    <mergeCell ref="B71:D71"/>
    <mergeCell ref="B72:B73"/>
    <mergeCell ref="B74:D74"/>
    <mergeCell ref="B75:B79"/>
    <mergeCell ref="B80:D80"/>
    <mergeCell ref="C21:C22"/>
    <mergeCell ref="C14:C15"/>
    <mergeCell ref="B26:B27"/>
    <mergeCell ref="B28:D28"/>
    <mergeCell ref="B12:B24"/>
    <mergeCell ref="B25:D25"/>
    <mergeCell ref="B81:B82"/>
    <mergeCell ref="C29:C30"/>
    <mergeCell ref="B44:D44"/>
    <mergeCell ref="B45:B53"/>
    <mergeCell ref="B54:D54"/>
    <mergeCell ref="B29:B34"/>
    <mergeCell ref="B35:D35"/>
    <mergeCell ref="B36:B43"/>
    <mergeCell ref="B55:B61"/>
    <mergeCell ref="B62:D62"/>
  </mergeCells>
  <conditionalFormatting sqref="G12:G137">
    <cfRule type="expression" dxfId="6" priority="1" stopIfTrue="1">
      <formula>AND(E12&gt;0,F12&gt;0)</formula>
    </cfRule>
    <cfRule type="expression" dxfId="5" priority="2" stopIfTrue="1">
      <formula>NOT(ISBLANK(B12))</formula>
    </cfRule>
    <cfRule type="expression" dxfId="4" priority="3" stopIfTrue="1">
      <formula>(E12+F12)&gt;0</formula>
    </cfRule>
  </conditionalFormatting>
  <pageMargins left="0.75" right="0.75" top="1" bottom="1" header="0.5" footer="0.5"/>
  <pageSetup paperSize="9" orientation="portrait" horizontalDpi="300" verticalDpi="300" r:id="rId2"/>
  <headerFooter alignWithMargins="0">
    <oddHeader>&amp;L&amp;"Arial,Bold"&amp;12&amp;UPurchase Action Report</oddHeader>
    <oddFooter>&amp;Lhttp://www.production-scheduling.com&amp;RPage &amp;P of &amp;N</oddFooter>
  </headerFooter>
  <rowBreaks count="1" manualBreakCount="1">
    <brk id="62" max="6" man="1"/>
  </rowBrea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1"/>
  <sheetViews>
    <sheetView workbookViewId="0"/>
  </sheetViews>
  <sheetFormatPr defaultRowHeight="13.2" x14ac:dyDescent="0.25"/>
  <cols>
    <col min="1" max="1" width="2.6640625" customWidth="1"/>
    <col min="2" max="2" width="85.33203125" customWidth="1"/>
  </cols>
  <sheetData>
    <row r="1" spans="1:2" x14ac:dyDescent="0.25">
      <c r="A1" s="4" t="s">
        <v>14</v>
      </c>
    </row>
    <row r="3" spans="1:2" x14ac:dyDescent="0.25">
      <c r="B3" t="s">
        <v>306</v>
      </c>
    </row>
    <row r="5" spans="1:2" x14ac:dyDescent="0.25">
      <c r="B5" s="11" t="s">
        <v>281</v>
      </c>
    </row>
    <row r="7" spans="1:2" ht="26.25" customHeight="1" x14ac:dyDescent="0.25">
      <c r="B7" s="96" t="s">
        <v>282</v>
      </c>
    </row>
    <row r="9" spans="1:2" x14ac:dyDescent="0.25">
      <c r="B9" t="s">
        <v>307</v>
      </c>
    </row>
    <row r="11" spans="1:2" x14ac:dyDescent="0.25">
      <c r="B11" s="9" t="s">
        <v>308</v>
      </c>
    </row>
    <row r="12" spans="1:2" x14ac:dyDescent="0.25">
      <c r="B12" s="9" t="s">
        <v>309</v>
      </c>
    </row>
    <row r="13" spans="1:2" x14ac:dyDescent="0.25">
      <c r="B13" s="9" t="s">
        <v>310</v>
      </c>
    </row>
    <row r="15" spans="1:2" x14ac:dyDescent="0.25">
      <c r="B15" t="s">
        <v>311</v>
      </c>
    </row>
    <row r="17" spans="2:2" ht="39.6" x14ac:dyDescent="0.25">
      <c r="B17" s="96" t="s">
        <v>312</v>
      </c>
    </row>
    <row r="19" spans="2:2" ht="66" x14ac:dyDescent="0.25">
      <c r="B19" s="96" t="s">
        <v>313</v>
      </c>
    </row>
    <row r="21" spans="2:2" ht="79.2" x14ac:dyDescent="0.25">
      <c r="B21" s="96" t="s">
        <v>314</v>
      </c>
    </row>
    <row r="23" spans="2:2" x14ac:dyDescent="0.25">
      <c r="B23" t="s">
        <v>315</v>
      </c>
    </row>
    <row r="36" spans="2:2" x14ac:dyDescent="0.25">
      <c r="B36" t="s">
        <v>242</v>
      </c>
    </row>
    <row r="37" spans="2:2" x14ac:dyDescent="0.25">
      <c r="B37" t="s">
        <v>243</v>
      </c>
    </row>
    <row r="39" spans="2:2" x14ac:dyDescent="0.25">
      <c r="B39" t="s">
        <v>316</v>
      </c>
    </row>
    <row r="40" spans="2:2" x14ac:dyDescent="0.25">
      <c r="B40" t="s">
        <v>264</v>
      </c>
    </row>
    <row r="41" spans="2:2" x14ac:dyDescent="0.25">
      <c r="B41" t="s">
        <v>265</v>
      </c>
    </row>
  </sheetData>
  <pageMargins left="0.75" right="0.75" top="1" bottom="1" header="0.5" footer="0.5"/>
  <pageSetup paperSize="9" orientation="portrait" horizontalDpi="300" verticalDpi="300" r:id="rId1"/>
  <headerFooter alignWithMargins="0">
    <oddHeader>&amp;Chttp://www.production-scheduling.com</oddHeader>
  </headerFooter>
  <drawing r:id="rId2"/>
  <legacyDrawing r:id="rId3"/>
  <oleObjects>
    <mc:AlternateContent xmlns:mc="http://schemas.openxmlformats.org/markup-compatibility/2006">
      <mc:Choice Requires="x14">
        <oleObject progId="Paint.Picture" shapeId="6145" r:id="rId4">
          <objectPr defaultSize="0" r:id="rId5">
            <anchor moveWithCells="1">
              <from>
                <xdr:col>1</xdr:col>
                <xdr:colOff>2628900</xdr:colOff>
                <xdr:row>38</xdr:row>
                <xdr:rowOff>0</xdr:rowOff>
              </from>
              <to>
                <xdr:col>1</xdr:col>
                <xdr:colOff>2804160</xdr:colOff>
                <xdr:row>39</xdr:row>
                <xdr:rowOff>7620</xdr:rowOff>
              </to>
            </anchor>
          </objectPr>
        </oleObject>
      </mc:Choice>
      <mc:Fallback>
        <oleObject progId="Paint.Picture" shapeId="6145"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0"/>
  <sheetViews>
    <sheetView zoomScale="70" workbookViewId="0"/>
  </sheetViews>
  <sheetFormatPr defaultRowHeight="13.2" x14ac:dyDescent="0.25"/>
  <cols>
    <col min="2" max="2" width="10.5546875" customWidth="1"/>
    <col min="3" max="3" width="7.33203125" customWidth="1"/>
    <col min="4" max="4" width="25.44140625" customWidth="1"/>
    <col min="8" max="8" width="11.5546875" customWidth="1"/>
    <col min="9" max="9" width="11.33203125" customWidth="1"/>
    <col min="10" max="10" width="12.33203125" customWidth="1"/>
    <col min="11" max="12" width="12.109375" customWidth="1"/>
    <col min="13" max="13" width="9.44140625" customWidth="1"/>
    <col min="15" max="15" width="8.109375" customWidth="1"/>
    <col min="16" max="16" width="7.109375" customWidth="1"/>
    <col min="17" max="17" width="8" customWidth="1"/>
    <col min="18" max="18" width="11.44140625" customWidth="1"/>
    <col min="19" max="19" width="11.109375" customWidth="1"/>
    <col min="20" max="21" width="9" customWidth="1"/>
    <col min="22" max="22" width="11.109375" customWidth="1"/>
  </cols>
  <sheetData>
    <row r="1" spans="1:35" x14ac:dyDescent="0.25">
      <c r="F1">
        <f>MATCH("Inventory",'Item Master'!$A$6:$Z$6,FALSE)</f>
        <v>8</v>
      </c>
      <c r="H1" s="7"/>
      <c r="I1" s="7"/>
      <c r="J1">
        <f>MATCH("Inventory",'Item Master'!$A$6:$Z$6,FALSE)</f>
        <v>8</v>
      </c>
      <c r="K1" s="7"/>
      <c r="L1" s="7"/>
      <c r="V1" s="7"/>
      <c r="W1" s="7"/>
      <c r="X1" s="7"/>
      <c r="Y1" s="7"/>
      <c r="Z1" s="7"/>
      <c r="AF1" s="7"/>
      <c r="AG1" s="7"/>
    </row>
    <row r="3" spans="1:35" x14ac:dyDescent="0.25">
      <c r="A3" s="93" t="s">
        <v>40</v>
      </c>
      <c r="B3" s="40"/>
      <c r="C3" s="40"/>
      <c r="D3" s="42"/>
      <c r="E3" s="93" t="s">
        <v>183</v>
      </c>
      <c r="F3" s="40"/>
      <c r="G3" s="40"/>
      <c r="H3" s="40"/>
      <c r="I3" s="40"/>
      <c r="J3" s="40"/>
      <c r="K3" s="40"/>
      <c r="L3" s="40"/>
      <c r="M3" s="40"/>
      <c r="N3" s="40"/>
      <c r="O3" s="40"/>
      <c r="P3" s="40"/>
      <c r="Q3" s="40"/>
      <c r="R3" s="40"/>
      <c r="S3" s="42"/>
      <c r="T3" s="93" t="s">
        <v>184</v>
      </c>
      <c r="U3" s="40"/>
      <c r="V3" s="40"/>
      <c r="W3" s="40"/>
      <c r="X3" s="40"/>
      <c r="Y3" s="40"/>
      <c r="Z3" s="40"/>
      <c r="AA3" s="40"/>
      <c r="AB3" s="40"/>
      <c r="AC3" s="40"/>
      <c r="AD3" s="40"/>
      <c r="AE3" s="40"/>
      <c r="AF3" s="40"/>
      <c r="AG3" s="40"/>
      <c r="AH3" s="40"/>
      <c r="AI3" s="42"/>
    </row>
    <row r="4" spans="1:35" ht="79.2" x14ac:dyDescent="0.25">
      <c r="A4" t="s">
        <v>98</v>
      </c>
      <c r="B4" t="s">
        <v>99</v>
      </c>
      <c r="C4" t="s">
        <v>100</v>
      </c>
      <c r="D4" t="s">
        <v>101</v>
      </c>
      <c r="E4" s="72" t="s">
        <v>185</v>
      </c>
      <c r="F4" s="72" t="s">
        <v>186</v>
      </c>
      <c r="G4" s="72" t="s">
        <v>187</v>
      </c>
      <c r="H4" s="72" t="s">
        <v>188</v>
      </c>
      <c r="I4" s="72" t="s">
        <v>189</v>
      </c>
      <c r="J4" s="72" t="s">
        <v>190</v>
      </c>
      <c r="K4" s="72" t="s">
        <v>191</v>
      </c>
      <c r="L4" s="72" t="s">
        <v>192</v>
      </c>
      <c r="M4" s="72" t="s">
        <v>193</v>
      </c>
      <c r="N4" s="72" t="s">
        <v>194</v>
      </c>
      <c r="O4" s="72" t="s">
        <v>195</v>
      </c>
      <c r="P4" s="72" t="s">
        <v>196</v>
      </c>
      <c r="Q4" s="72" t="s">
        <v>197</v>
      </c>
      <c r="R4" s="72" t="s">
        <v>198</v>
      </c>
      <c r="S4" s="72" t="s">
        <v>199</v>
      </c>
      <c r="T4" s="72" t="s">
        <v>200</v>
      </c>
      <c r="U4" s="72" t="s">
        <v>201</v>
      </c>
      <c r="V4" s="72" t="s">
        <v>202</v>
      </c>
      <c r="W4" s="72" t="s">
        <v>203</v>
      </c>
      <c r="X4" s="72" t="s">
        <v>204</v>
      </c>
      <c r="Y4" s="72" t="s">
        <v>205</v>
      </c>
      <c r="Z4" s="72" t="s">
        <v>206</v>
      </c>
      <c r="AA4" s="72" t="s">
        <v>207</v>
      </c>
      <c r="AB4" s="72" t="s">
        <v>208</v>
      </c>
      <c r="AC4" s="72" t="s">
        <v>209</v>
      </c>
      <c r="AD4" s="72" t="s">
        <v>210</v>
      </c>
      <c r="AE4" s="72" t="s">
        <v>211</v>
      </c>
      <c r="AF4" s="72" t="s">
        <v>212</v>
      </c>
      <c r="AG4" s="72" t="s">
        <v>213</v>
      </c>
      <c r="AH4" s="72" t="s">
        <v>214</v>
      </c>
      <c r="AI4" s="72" t="s">
        <v>215</v>
      </c>
    </row>
    <row r="5" spans="1:35" x14ac:dyDescent="0.25">
      <c r="A5" t="str">
        <f>'Bill of Materials'!A7</f>
        <v>AB100</v>
      </c>
      <c r="B5" t="str">
        <f>'Bill of Materials'!B7</f>
        <v>BS01</v>
      </c>
      <c r="C5" s="12">
        <f>'Bill of Materials'!C7</f>
        <v>4.8</v>
      </c>
      <c r="D5" t="str">
        <f>'Bill of Materials'!D7</f>
        <v>Base Shampoo</v>
      </c>
      <c r="E5">
        <f>VLOOKUP(A5,'The Business'!$A$8:$D$14,4,FALSE)</f>
        <v>1000</v>
      </c>
      <c r="F5">
        <f>VLOOKUP(A5,'Item Master'!$A$6:$H$31,F$1,FALSE)</f>
        <v>1854</v>
      </c>
      <c r="G5" s="51">
        <f>IF(E5,F5/E5,0)</f>
        <v>1.8540000000000001</v>
      </c>
      <c r="H5">
        <f t="shared" ref="H5:H40" si="0">E5*C5*N5</f>
        <v>0</v>
      </c>
      <c r="I5" s="9">
        <f>MAX(VLOOKUP(B5,'Components Pivot'!$A$3:$G$25,2,FALSE),E5*C5)</f>
        <v>60000</v>
      </c>
      <c r="J5">
        <f>VLOOKUP(B5,'Item Master'!$A$6:$H$31,J$1,FALSE)</f>
        <v>34276</v>
      </c>
      <c r="K5" s="59">
        <f>F5*C5*N5</f>
        <v>0</v>
      </c>
      <c r="L5" s="94">
        <f>VLOOKUP(B5,'Components Pivot'!$A$3:$C$25,3,FALSE)</f>
        <v>46248</v>
      </c>
      <c r="M5" s="51">
        <f>IF(I5,(L5+J5)/I5,0)</f>
        <v>1.3420666666666667</v>
      </c>
      <c r="N5" t="b">
        <f>AND(O5,G5&lt;M5)</f>
        <v>0</v>
      </c>
      <c r="O5" s="95">
        <f>VLOOKUP(A5,'Products Pivot'!$A$4:$C$12,2,FALSE)</f>
        <v>1.3420666666666667</v>
      </c>
      <c r="P5" s="51">
        <f>MAX(O5-G5,0)</f>
        <v>0</v>
      </c>
      <c r="Q5">
        <f>P5*E5</f>
        <v>0</v>
      </c>
      <c r="R5">
        <f t="shared" ref="R5:R40" si="1">Q5*C5</f>
        <v>0</v>
      </c>
      <c r="S5" s="94">
        <f>VLOOKUP(B5,'Components Pivot'!$A$3:$D$25,4,FALSE)</f>
        <v>28714.48</v>
      </c>
      <c r="T5">
        <f>F5+Q5</f>
        <v>1854</v>
      </c>
      <c r="U5">
        <f>IF(E5,T5/E5,0)</f>
        <v>1.8540000000000001</v>
      </c>
      <c r="V5" s="9">
        <f t="shared" ref="V5:V40" si="2">E5*C5*AB5</f>
        <v>0</v>
      </c>
      <c r="W5" s="9">
        <f>MAX(VLOOKUP(B5,'Components Pivot'!$A$3:$G$25,5,FALSE),E5*C5)</f>
        <v>4800</v>
      </c>
      <c r="X5" s="59">
        <f t="shared" ref="X5:X40" si="3">J5-S5</f>
        <v>5561.52</v>
      </c>
      <c r="Y5">
        <f>T5*C5*AB5</f>
        <v>0</v>
      </c>
      <c r="Z5" s="9">
        <f>VLOOKUP(B5,'Components Pivot'!$A$3:$G$25,6,FALSE)</f>
        <v>2342.4</v>
      </c>
      <c r="AA5" s="51">
        <f>IF(W5,(Z5+X5)/W5,0)</f>
        <v>1.6466499999999999</v>
      </c>
      <c r="AB5" t="b">
        <f>AC5&gt;U5</f>
        <v>0</v>
      </c>
      <c r="AC5" s="95">
        <f>VLOOKUP(A5,'Products Pivot'!$A$4:$C$12,3,FALSE)</f>
        <v>0.98616833333333342</v>
      </c>
      <c r="AD5" s="51">
        <f>MAX(AC5-U5,0)</f>
        <v>0</v>
      </c>
      <c r="AE5">
        <f>AD5*E5</f>
        <v>0</v>
      </c>
      <c r="AF5">
        <f>AE5*C5</f>
        <v>0</v>
      </c>
      <c r="AG5" s="9">
        <f>VLOOKUP(B5,'Components Pivot'!$A$3:$G$25,7,FALSE)</f>
        <v>2391.2080000000001</v>
      </c>
      <c r="AH5" s="59">
        <f>X5-AG5</f>
        <v>3170.3120000000004</v>
      </c>
      <c r="AI5">
        <f>ROUND(Q5+AE5,0)</f>
        <v>0</v>
      </c>
    </row>
    <row r="6" spans="1:35" x14ac:dyDescent="0.25">
      <c r="A6" t="str">
        <f>'Bill of Materials'!A8</f>
        <v>AB100</v>
      </c>
      <c r="B6" t="str">
        <f>'Bill of Materials'!B8</f>
        <v>BT100</v>
      </c>
      <c r="C6" s="12">
        <f>'Bill of Materials'!C8</f>
        <v>48</v>
      </c>
      <c r="D6" t="str">
        <f>'Bill of Materials'!D8</f>
        <v>Bottle 100ml</v>
      </c>
      <c r="E6">
        <f>VLOOKUP(A6,'The Business'!$A$8:$D$14,4,FALSE)</f>
        <v>1000</v>
      </c>
      <c r="F6">
        <f>VLOOKUP(A6,'Item Master'!$A$6:$H$31,F$1,FALSE)</f>
        <v>1854</v>
      </c>
      <c r="G6" s="51">
        <f t="shared" ref="G6:G40" si="4">IF(E6,F6/E6,0)</f>
        <v>1.8540000000000001</v>
      </c>
      <c r="H6">
        <f t="shared" si="0"/>
        <v>48000</v>
      </c>
      <c r="I6" s="9">
        <f>MAX(VLOOKUP(B6,'Components Pivot'!$A$3:$G$25,2,FALSE),E6*C6)</f>
        <v>57600</v>
      </c>
      <c r="J6">
        <f>VLOOKUP(B6,'Item Master'!$A$6:$H$31,J$1,FALSE)</f>
        <v>122472</v>
      </c>
      <c r="K6" s="59">
        <f t="shared" ref="K6:K40" si="5">F6*C6*N6</f>
        <v>88992</v>
      </c>
      <c r="L6" s="94">
        <f>VLOOKUP(B6,'Components Pivot'!$A$3:$C$25,3,FALSE)</f>
        <v>112416</v>
      </c>
      <c r="M6" s="51">
        <f t="shared" ref="M6:M40" si="6">IF(I6,(L6+J6)/I6,0)</f>
        <v>4.0779166666666669</v>
      </c>
      <c r="N6" t="b">
        <f t="shared" ref="N6:N40" si="7">AND(O6,G6&lt;M6)</f>
        <v>1</v>
      </c>
      <c r="O6" s="51">
        <f>VLOOKUP(A6,'Products Pivot'!$A$4:$C$12,2,FALSE)</f>
        <v>1.3420666666666667</v>
      </c>
      <c r="P6" s="51">
        <f t="shared" ref="P6:P40" si="8">MAX(O6-G6,0)</f>
        <v>0</v>
      </c>
      <c r="Q6">
        <f t="shared" ref="Q6:Q40" si="9">P6*E6</f>
        <v>0</v>
      </c>
      <c r="R6">
        <f t="shared" si="1"/>
        <v>0</v>
      </c>
      <c r="S6" s="94">
        <f>VLOOKUP(B6,'Components Pivot'!$A$3:$D$25,4,FALSE)</f>
        <v>0</v>
      </c>
      <c r="T6">
        <f t="shared" ref="T6:T40" si="10">F6+Q6</f>
        <v>1854</v>
      </c>
      <c r="U6">
        <f t="shared" ref="U6:U40" si="11">IF(E6,T6/E6,0)</f>
        <v>1.8540000000000001</v>
      </c>
      <c r="V6" s="9">
        <f t="shared" si="2"/>
        <v>0</v>
      </c>
      <c r="W6" s="9">
        <f>MAX(VLOOKUP(B6,'Components Pivot'!$A$3:$G$25,5,FALSE),E6*C6)</f>
        <v>48000</v>
      </c>
      <c r="X6" s="59">
        <f t="shared" si="3"/>
        <v>122472</v>
      </c>
      <c r="Y6">
        <f t="shared" ref="Y6:Y40" si="12">T6*C6*AB6</f>
        <v>0</v>
      </c>
      <c r="Z6" s="9">
        <f>VLOOKUP(B6,'Components Pivot'!$A$3:$G$25,6,FALSE)</f>
        <v>23424</v>
      </c>
      <c r="AA6" s="51">
        <f t="shared" ref="AA6:AA40" si="13">IF(W6,(Z6+X6)/W6,0)</f>
        <v>3.0394999999999999</v>
      </c>
      <c r="AB6" t="b">
        <f t="shared" ref="AB6:AB40" si="14">AC6&gt;U6</f>
        <v>0</v>
      </c>
      <c r="AC6" s="95">
        <f>VLOOKUP(A6,'Products Pivot'!$A$4:$C$12,3,FALSE)</f>
        <v>0.98616833333333342</v>
      </c>
      <c r="AD6" s="51">
        <f t="shared" ref="AD6:AD40" si="15">MAX(AC6-U6,0)</f>
        <v>0</v>
      </c>
      <c r="AE6">
        <f t="shared" ref="AE6:AE40" si="16">AD6*E6</f>
        <v>0</v>
      </c>
      <c r="AF6">
        <f t="shared" ref="AF6:AF40" si="17">AE6*C6</f>
        <v>0</v>
      </c>
      <c r="AG6" s="9">
        <f>VLOOKUP(B6,'Components Pivot'!$A$3:$G$25,7,FALSE)</f>
        <v>23912.080000000002</v>
      </c>
      <c r="AH6" s="59">
        <f t="shared" ref="AH6:AH40" si="18">X6-AG6</f>
        <v>98559.92</v>
      </c>
      <c r="AI6">
        <f t="shared" ref="AI6:AI40" si="19">ROUND(Q6+AE6,0)</f>
        <v>0</v>
      </c>
    </row>
    <row r="7" spans="1:35" x14ac:dyDescent="0.25">
      <c r="A7" t="str">
        <f>'Bill of Materials'!A9</f>
        <v>AB100</v>
      </c>
      <c r="B7" t="str">
        <f>'Bill of Materials'!B9</f>
        <v>CAPF</v>
      </c>
      <c r="C7" s="12">
        <f>'Bill of Materials'!C9</f>
        <v>48</v>
      </c>
      <c r="D7" t="str">
        <f>'Bill of Materials'!D9</f>
        <v>Flip cap</v>
      </c>
      <c r="E7">
        <f>VLOOKUP(A7,'The Business'!$A$8:$D$14,4,FALSE)</f>
        <v>1000</v>
      </c>
      <c r="F7">
        <f>VLOOKUP(A7,'Item Master'!$A$6:$H$31,F$1,FALSE)</f>
        <v>1854</v>
      </c>
      <c r="G7" s="51">
        <f t="shared" si="4"/>
        <v>1.8540000000000001</v>
      </c>
      <c r="H7">
        <f t="shared" si="0"/>
        <v>0</v>
      </c>
      <c r="I7" s="9">
        <f>MAX(VLOOKUP(B7,'Components Pivot'!$A$3:$G$25,2,FALSE),E7*C7)</f>
        <v>124800</v>
      </c>
      <c r="J7">
        <f>VLOOKUP(B7,'Item Master'!$A$6:$H$31,J$1,FALSE)</f>
        <v>65738</v>
      </c>
      <c r="K7" s="59">
        <f t="shared" si="5"/>
        <v>0</v>
      </c>
      <c r="L7" s="94">
        <f>VLOOKUP(B7,'Components Pivot'!$A$3:$C$25,3,FALSE)</f>
        <v>125664</v>
      </c>
      <c r="M7" s="51">
        <f t="shared" si="6"/>
        <v>1.5336698717948718</v>
      </c>
      <c r="N7" t="b">
        <f t="shared" si="7"/>
        <v>0</v>
      </c>
      <c r="O7" s="51">
        <f>VLOOKUP(A7,'Products Pivot'!$A$4:$C$12,2,FALSE)</f>
        <v>1.3420666666666667</v>
      </c>
      <c r="P7" s="51">
        <f t="shared" si="8"/>
        <v>0</v>
      </c>
      <c r="Q7">
        <f t="shared" si="9"/>
        <v>0</v>
      </c>
      <c r="R7">
        <f t="shared" si="1"/>
        <v>0</v>
      </c>
      <c r="S7" s="94">
        <f>VLOOKUP(B7,'Components Pivot'!$A$3:$D$25,4,FALSE)</f>
        <v>41825.919999999998</v>
      </c>
      <c r="T7">
        <f t="shared" si="10"/>
        <v>1854</v>
      </c>
      <c r="U7">
        <f t="shared" si="11"/>
        <v>1.8540000000000001</v>
      </c>
      <c r="V7" s="9">
        <f t="shared" si="2"/>
        <v>0</v>
      </c>
      <c r="W7" s="9">
        <f>MAX(VLOOKUP(B7,'Components Pivot'!$A$3:$G$25,5,FALSE),E7*C7)</f>
        <v>48000</v>
      </c>
      <c r="X7" s="59">
        <f t="shared" si="3"/>
        <v>23912.080000000002</v>
      </c>
      <c r="Y7">
        <f t="shared" si="12"/>
        <v>0</v>
      </c>
      <c r="Z7" s="9">
        <f>VLOOKUP(B7,'Components Pivot'!$A$3:$G$25,6,FALSE)</f>
        <v>23424</v>
      </c>
      <c r="AA7" s="51">
        <f t="shared" si="13"/>
        <v>0.98616833333333342</v>
      </c>
      <c r="AB7" t="b">
        <f t="shared" si="14"/>
        <v>0</v>
      </c>
      <c r="AC7" s="95">
        <f>VLOOKUP(A7,'Products Pivot'!$A$4:$C$12,3,FALSE)</f>
        <v>0.98616833333333342</v>
      </c>
      <c r="AD7" s="51">
        <f t="shared" si="15"/>
        <v>0</v>
      </c>
      <c r="AE7">
        <f t="shared" si="16"/>
        <v>0</v>
      </c>
      <c r="AF7">
        <f t="shared" si="17"/>
        <v>0</v>
      </c>
      <c r="AG7" s="9">
        <f>VLOOKUP(B7,'Components Pivot'!$A$3:$G$25,7,FALSE)</f>
        <v>23912.080000000002</v>
      </c>
      <c r="AH7" s="59">
        <f t="shared" si="18"/>
        <v>0</v>
      </c>
      <c r="AI7">
        <f t="shared" si="19"/>
        <v>0</v>
      </c>
    </row>
    <row r="8" spans="1:35" x14ac:dyDescent="0.25">
      <c r="A8" t="str">
        <f>'Bill of Materials'!A10</f>
        <v>AB100</v>
      </c>
      <c r="B8" t="str">
        <f>'Bill of Materials'!B10</f>
        <v>CARS</v>
      </c>
      <c r="C8" s="12">
        <f>'Bill of Materials'!C10</f>
        <v>1</v>
      </c>
      <c r="D8" t="str">
        <f>'Bill of Materials'!D10</f>
        <v>Carton small</v>
      </c>
      <c r="E8">
        <f>VLOOKUP(A8,'The Business'!$A$8:$D$14,4,FALSE)</f>
        <v>1000</v>
      </c>
      <c r="F8">
        <f>VLOOKUP(A8,'Item Master'!$A$6:$H$31,F$1,FALSE)</f>
        <v>1854</v>
      </c>
      <c r="G8" s="51">
        <f t="shared" si="4"/>
        <v>1.8540000000000001</v>
      </c>
      <c r="H8">
        <f t="shared" si="0"/>
        <v>0</v>
      </c>
      <c r="I8" s="9">
        <f>MAX(VLOOKUP(B8,'Components Pivot'!$A$3:$G$25,2,FALSE),E8*C8)</f>
        <v>1000</v>
      </c>
      <c r="J8">
        <f>VLOOKUP(B8,'Item Master'!$A$6:$H$31,J$1,FALSE)</f>
        <v>998</v>
      </c>
      <c r="K8" s="59">
        <f t="shared" si="5"/>
        <v>0</v>
      </c>
      <c r="L8" s="94">
        <f>VLOOKUP(B8,'Components Pivot'!$A$3:$C$25,3,FALSE)</f>
        <v>488</v>
      </c>
      <c r="M8" s="51">
        <f t="shared" si="6"/>
        <v>1.486</v>
      </c>
      <c r="N8" t="b">
        <f t="shared" si="7"/>
        <v>0</v>
      </c>
      <c r="O8" s="51">
        <f>VLOOKUP(A8,'Products Pivot'!$A$4:$C$12,2,FALSE)</f>
        <v>1.3420666666666667</v>
      </c>
      <c r="P8" s="51">
        <f t="shared" si="8"/>
        <v>0</v>
      </c>
      <c r="Q8">
        <f t="shared" si="9"/>
        <v>0</v>
      </c>
      <c r="R8">
        <f t="shared" si="1"/>
        <v>0</v>
      </c>
      <c r="S8" s="94">
        <f>VLOOKUP(B8,'Components Pivot'!$A$3:$D$25,4,FALSE)</f>
        <v>0</v>
      </c>
      <c r="T8">
        <f t="shared" si="10"/>
        <v>1854</v>
      </c>
      <c r="U8">
        <f t="shared" si="11"/>
        <v>1.8540000000000001</v>
      </c>
      <c r="V8" s="9">
        <f t="shared" si="2"/>
        <v>0</v>
      </c>
      <c r="W8" s="9">
        <f>MAX(VLOOKUP(B8,'Components Pivot'!$A$3:$G$25,5,FALSE),E8*C8)</f>
        <v>1000</v>
      </c>
      <c r="X8" s="59">
        <f t="shared" si="3"/>
        <v>998</v>
      </c>
      <c r="Y8">
        <f t="shared" si="12"/>
        <v>0</v>
      </c>
      <c r="Z8" s="9">
        <f>VLOOKUP(B8,'Components Pivot'!$A$3:$G$25,6,FALSE)</f>
        <v>488</v>
      </c>
      <c r="AA8" s="51">
        <f t="shared" si="13"/>
        <v>1.486</v>
      </c>
      <c r="AB8" t="b">
        <f t="shared" si="14"/>
        <v>0</v>
      </c>
      <c r="AC8" s="95">
        <f>VLOOKUP(A8,'Products Pivot'!$A$4:$C$12,3,FALSE)</f>
        <v>0.98616833333333342</v>
      </c>
      <c r="AD8" s="51">
        <f t="shared" si="15"/>
        <v>0</v>
      </c>
      <c r="AE8">
        <f t="shared" si="16"/>
        <v>0</v>
      </c>
      <c r="AF8">
        <f t="shared" si="17"/>
        <v>0</v>
      </c>
      <c r="AG8" s="9">
        <f>VLOOKUP(B8,'Components Pivot'!$A$3:$G$25,7,FALSE)</f>
        <v>498.16833333333335</v>
      </c>
      <c r="AH8" s="59">
        <f t="shared" si="18"/>
        <v>499.83166666666665</v>
      </c>
      <c r="AI8">
        <f t="shared" si="19"/>
        <v>0</v>
      </c>
    </row>
    <row r="9" spans="1:35" x14ac:dyDescent="0.25">
      <c r="A9" t="str">
        <f>'Bill of Materials'!A11</f>
        <v>AB100</v>
      </c>
      <c r="B9" t="str">
        <f>'Bill of Materials'!B11</f>
        <v>ESA</v>
      </c>
      <c r="C9" s="12">
        <f>'Bill of Materials'!C11</f>
        <v>4.8000000000000001E-2</v>
      </c>
      <c r="D9" t="str">
        <f>'Bill of Materials'!D11</f>
        <v>Apple essence</v>
      </c>
      <c r="E9">
        <f>VLOOKUP(A9,'The Business'!$A$8:$D$14,4,FALSE)</f>
        <v>1000</v>
      </c>
      <c r="F9">
        <f>VLOOKUP(A9,'Item Master'!$A$6:$H$31,F$1,FALSE)</f>
        <v>1854</v>
      </c>
      <c r="G9" s="51">
        <f t="shared" si="4"/>
        <v>1.8540000000000001</v>
      </c>
      <c r="H9">
        <f t="shared" si="0"/>
        <v>48</v>
      </c>
      <c r="I9" s="9">
        <f>MAX(VLOOKUP(B9,'Components Pivot'!$A$3:$G$25,2,FALSE),E9*C9)</f>
        <v>312</v>
      </c>
      <c r="J9">
        <f>VLOOKUP(B9,'Item Master'!$A$6:$H$31,J$1,FALSE)</f>
        <v>1494</v>
      </c>
      <c r="K9" s="59">
        <f t="shared" si="5"/>
        <v>88.992000000000004</v>
      </c>
      <c r="L9" s="94">
        <f>VLOOKUP(B9,'Components Pivot'!$A$3:$C$25,3,FALSE)</f>
        <v>321.79199999999997</v>
      </c>
      <c r="M9" s="51">
        <f t="shared" si="6"/>
        <v>5.8198461538461537</v>
      </c>
      <c r="N9" t="b">
        <f t="shared" si="7"/>
        <v>1</v>
      </c>
      <c r="O9" s="51">
        <f>VLOOKUP(A9,'Products Pivot'!$A$4:$C$12,2,FALSE)</f>
        <v>1.3420666666666667</v>
      </c>
      <c r="P9" s="51">
        <f t="shared" si="8"/>
        <v>0</v>
      </c>
      <c r="Q9">
        <f t="shared" si="9"/>
        <v>0</v>
      </c>
      <c r="R9">
        <f t="shared" si="1"/>
        <v>0</v>
      </c>
      <c r="S9" s="94">
        <f>VLOOKUP(B9,'Components Pivot'!$A$3:$D$25,4,FALSE)</f>
        <v>102.96719999999999</v>
      </c>
      <c r="T9">
        <f t="shared" si="10"/>
        <v>1854</v>
      </c>
      <c r="U9">
        <f t="shared" si="11"/>
        <v>1.8540000000000001</v>
      </c>
      <c r="V9" s="9">
        <f t="shared" si="2"/>
        <v>0</v>
      </c>
      <c r="W9" s="9">
        <f>MAX(VLOOKUP(B9,'Components Pivot'!$A$3:$G$25,5,FALSE),E9*C9)</f>
        <v>48</v>
      </c>
      <c r="X9" s="59">
        <f t="shared" si="3"/>
        <v>1391.0328</v>
      </c>
      <c r="Y9">
        <f t="shared" si="12"/>
        <v>0</v>
      </c>
      <c r="Z9" s="9">
        <f>VLOOKUP(B9,'Components Pivot'!$A$3:$G$25,6,FALSE)</f>
        <v>0</v>
      </c>
      <c r="AA9" s="51">
        <f t="shared" si="13"/>
        <v>28.979849999999999</v>
      </c>
      <c r="AB9" t="b">
        <f t="shared" si="14"/>
        <v>0</v>
      </c>
      <c r="AC9" s="95">
        <f>VLOOKUP(A9,'Products Pivot'!$A$4:$C$12,3,FALSE)</f>
        <v>0.98616833333333342</v>
      </c>
      <c r="AD9" s="51">
        <f t="shared" si="15"/>
        <v>0</v>
      </c>
      <c r="AE9">
        <f t="shared" si="16"/>
        <v>0</v>
      </c>
      <c r="AF9">
        <f t="shared" si="17"/>
        <v>0</v>
      </c>
      <c r="AG9" s="9">
        <f>VLOOKUP(B9,'Components Pivot'!$A$3:$G$25,7,FALSE)</f>
        <v>0</v>
      </c>
      <c r="AH9" s="59">
        <f t="shared" si="18"/>
        <v>1391.0328</v>
      </c>
      <c r="AI9">
        <f t="shared" si="19"/>
        <v>0</v>
      </c>
    </row>
    <row r="10" spans="1:35" x14ac:dyDescent="0.25">
      <c r="A10" t="str">
        <f>'Bill of Materials'!A12</f>
        <v>AB100</v>
      </c>
      <c r="B10" t="str">
        <f>'Bill of Materials'!B12</f>
        <v>LAB10</v>
      </c>
      <c r="C10" s="12">
        <f>'Bill of Materials'!C12</f>
        <v>50</v>
      </c>
      <c r="D10" t="str">
        <f>'Bill of Materials'!D12</f>
        <v>Label Apple Blossom 100ml</v>
      </c>
      <c r="E10">
        <f>VLOOKUP(A10,'The Business'!$A$8:$D$14,4,FALSE)</f>
        <v>1000</v>
      </c>
      <c r="F10">
        <f>VLOOKUP(A10,'Item Master'!$A$6:$H$31,F$1,FALSE)</f>
        <v>1854</v>
      </c>
      <c r="G10" s="51">
        <f t="shared" si="4"/>
        <v>1.8540000000000001</v>
      </c>
      <c r="H10">
        <f t="shared" si="0"/>
        <v>50000</v>
      </c>
      <c r="I10" s="9">
        <f>MAX(VLOOKUP(B10,'Components Pivot'!$A$3:$G$25,2,FALSE),E10*C10)</f>
        <v>50000</v>
      </c>
      <c r="J10">
        <f>VLOOKUP(B10,'Item Master'!$A$6:$H$31,J$1,FALSE)</f>
        <v>211796</v>
      </c>
      <c r="K10" s="59">
        <f t="shared" si="5"/>
        <v>92700</v>
      </c>
      <c r="L10" s="94">
        <f>VLOOKUP(B10,'Components Pivot'!$A$3:$C$25,3,FALSE)</f>
        <v>92700</v>
      </c>
      <c r="M10" s="51">
        <f t="shared" si="6"/>
        <v>6.0899200000000002</v>
      </c>
      <c r="N10" t="b">
        <f t="shared" si="7"/>
        <v>1</v>
      </c>
      <c r="O10" s="51">
        <f>VLOOKUP(A10,'Products Pivot'!$A$4:$C$12,2,FALSE)</f>
        <v>1.3420666666666667</v>
      </c>
      <c r="P10" s="51">
        <f t="shared" si="8"/>
        <v>0</v>
      </c>
      <c r="Q10">
        <f t="shared" si="9"/>
        <v>0</v>
      </c>
      <c r="R10">
        <f t="shared" si="1"/>
        <v>0</v>
      </c>
      <c r="S10" s="94">
        <f>VLOOKUP(B10,'Components Pivot'!$A$3:$D$25,4,FALSE)</f>
        <v>0</v>
      </c>
      <c r="T10">
        <f t="shared" si="10"/>
        <v>1854</v>
      </c>
      <c r="U10">
        <f t="shared" si="11"/>
        <v>1.8540000000000001</v>
      </c>
      <c r="V10" s="9">
        <f t="shared" si="2"/>
        <v>0</v>
      </c>
      <c r="W10" s="9">
        <f>MAX(VLOOKUP(B10,'Components Pivot'!$A$3:$G$25,5,FALSE),E10*C10)</f>
        <v>50000</v>
      </c>
      <c r="X10" s="59">
        <f t="shared" si="3"/>
        <v>211796</v>
      </c>
      <c r="Y10">
        <f t="shared" si="12"/>
        <v>0</v>
      </c>
      <c r="Z10" s="9">
        <f>VLOOKUP(B10,'Components Pivot'!$A$3:$G$25,6,FALSE)</f>
        <v>0</v>
      </c>
      <c r="AA10" s="51">
        <f t="shared" si="13"/>
        <v>4.2359200000000001</v>
      </c>
      <c r="AB10" t="b">
        <f t="shared" si="14"/>
        <v>0</v>
      </c>
      <c r="AC10" s="95">
        <f>VLOOKUP(A10,'Products Pivot'!$A$4:$C$12,3,FALSE)</f>
        <v>0.98616833333333342</v>
      </c>
      <c r="AD10" s="51">
        <f t="shared" si="15"/>
        <v>0</v>
      </c>
      <c r="AE10">
        <f t="shared" si="16"/>
        <v>0</v>
      </c>
      <c r="AF10">
        <f t="shared" si="17"/>
        <v>0</v>
      </c>
      <c r="AG10" s="9">
        <f>VLOOKUP(B10,'Components Pivot'!$A$3:$G$25,7,FALSE)</f>
        <v>0</v>
      </c>
      <c r="AH10" s="59">
        <f t="shared" si="18"/>
        <v>211796</v>
      </c>
      <c r="AI10">
        <f t="shared" si="19"/>
        <v>0</v>
      </c>
    </row>
    <row r="11" spans="1:35" x14ac:dyDescent="0.25">
      <c r="A11" t="str">
        <f>'Bill of Materials'!A13</f>
        <v>AB250</v>
      </c>
      <c r="B11" t="str">
        <f>'Bill of Materials'!B13</f>
        <v>BS01</v>
      </c>
      <c r="C11" s="12">
        <f>'Bill of Materials'!C13</f>
        <v>12</v>
      </c>
      <c r="D11" t="str">
        <f>'Bill of Materials'!D13</f>
        <v>Base Shampoo</v>
      </c>
      <c r="E11">
        <f>VLOOKUP(A11,'The Business'!$A$8:$D$14,4,FALSE)</f>
        <v>1400</v>
      </c>
      <c r="F11">
        <f>VLOOKUP(A11,'Item Master'!$A$6:$H$31,F$1,FALSE)</f>
        <v>1470</v>
      </c>
      <c r="G11" s="51">
        <f t="shared" si="4"/>
        <v>1.05</v>
      </c>
      <c r="H11">
        <f t="shared" si="0"/>
        <v>16800</v>
      </c>
      <c r="I11" s="9">
        <f>MAX(VLOOKUP(B11,'Components Pivot'!$A$3:$G$25,2,FALSE),E11*C11)</f>
        <v>60000</v>
      </c>
      <c r="J11">
        <f>VLOOKUP(B11,'Item Master'!$A$6:$H$31,J$1,FALSE)</f>
        <v>34276</v>
      </c>
      <c r="K11" s="59">
        <f t="shared" si="5"/>
        <v>17640</v>
      </c>
      <c r="L11" s="94">
        <f>VLOOKUP(B11,'Components Pivot'!$A$3:$C$25,3,FALSE)</f>
        <v>46248</v>
      </c>
      <c r="M11" s="51">
        <f t="shared" si="6"/>
        <v>1.3420666666666667</v>
      </c>
      <c r="N11" t="b">
        <f t="shared" si="7"/>
        <v>1</v>
      </c>
      <c r="O11" s="51">
        <f>VLOOKUP(A11,'Products Pivot'!$A$4:$C$12,2,FALSE)</f>
        <v>1.3420666666666667</v>
      </c>
      <c r="P11" s="51">
        <f t="shared" si="8"/>
        <v>0.2920666666666667</v>
      </c>
      <c r="Q11">
        <f t="shared" si="9"/>
        <v>408.89333333333337</v>
      </c>
      <c r="R11">
        <f t="shared" si="1"/>
        <v>4906.72</v>
      </c>
      <c r="S11" s="94">
        <f>VLOOKUP(B11,'Components Pivot'!$A$3:$D$25,4,FALSE)</f>
        <v>28714.48</v>
      </c>
      <c r="T11">
        <f t="shared" si="10"/>
        <v>1878.8933333333334</v>
      </c>
      <c r="U11">
        <f t="shared" si="11"/>
        <v>1.3420666666666667</v>
      </c>
      <c r="V11" s="9">
        <f t="shared" si="2"/>
        <v>0</v>
      </c>
      <c r="W11" s="9">
        <f>MAX(VLOOKUP(B11,'Components Pivot'!$A$3:$G$25,5,FALSE),E11*C11)</f>
        <v>16800</v>
      </c>
      <c r="X11" s="59">
        <f t="shared" si="3"/>
        <v>5561.52</v>
      </c>
      <c r="Y11">
        <f t="shared" si="12"/>
        <v>0</v>
      </c>
      <c r="Z11" s="9">
        <f>VLOOKUP(B11,'Components Pivot'!$A$3:$G$25,6,FALSE)</f>
        <v>2342.4</v>
      </c>
      <c r="AA11" s="51">
        <f t="shared" si="13"/>
        <v>0.4704714285714286</v>
      </c>
      <c r="AB11" t="b">
        <f t="shared" si="14"/>
        <v>0</v>
      </c>
      <c r="AC11" s="95">
        <f>VLOOKUP(A11,'Products Pivot'!$A$4:$C$12,3,FALSE)</f>
        <v>0.4704714285714286</v>
      </c>
      <c r="AD11" s="51">
        <f t="shared" si="15"/>
        <v>0</v>
      </c>
      <c r="AE11">
        <f t="shared" si="16"/>
        <v>0</v>
      </c>
      <c r="AF11">
        <f t="shared" si="17"/>
        <v>0</v>
      </c>
      <c r="AG11" s="9">
        <f>VLOOKUP(B11,'Components Pivot'!$A$3:$G$25,7,FALSE)</f>
        <v>2391.2080000000001</v>
      </c>
      <c r="AH11" s="59">
        <f t="shared" si="18"/>
        <v>3170.3120000000004</v>
      </c>
      <c r="AI11">
        <f t="shared" si="19"/>
        <v>409</v>
      </c>
    </row>
    <row r="12" spans="1:35" x14ac:dyDescent="0.25">
      <c r="A12" t="str">
        <f>'Bill of Materials'!A14</f>
        <v>AB250</v>
      </c>
      <c r="B12" t="str">
        <f>'Bill of Materials'!B14</f>
        <v>BT250</v>
      </c>
      <c r="C12" s="12">
        <f>'Bill of Materials'!C14</f>
        <v>48</v>
      </c>
      <c r="D12" t="str">
        <f>'Bill of Materials'!D14</f>
        <v>Bottle 250ml</v>
      </c>
      <c r="E12">
        <f>VLOOKUP(A12,'The Business'!$A$8:$D$14,4,FALSE)</f>
        <v>1400</v>
      </c>
      <c r="F12">
        <f>VLOOKUP(A12,'Item Master'!$A$6:$H$31,F$1,FALSE)</f>
        <v>1470</v>
      </c>
      <c r="G12" s="51">
        <f t="shared" si="4"/>
        <v>1.05</v>
      </c>
      <c r="H12">
        <f t="shared" si="0"/>
        <v>67200</v>
      </c>
      <c r="I12" s="9">
        <f>MAX(VLOOKUP(B12,'Components Pivot'!$A$3:$G$25,2,FALSE),E12*C12)</f>
        <v>124800</v>
      </c>
      <c r="J12">
        <f>VLOOKUP(B12,'Item Master'!$A$6:$H$31,J$1,FALSE)</f>
        <v>184968</v>
      </c>
      <c r="K12" s="59">
        <f t="shared" si="5"/>
        <v>70560</v>
      </c>
      <c r="L12" s="94">
        <f>VLOOKUP(B12,'Components Pivot'!$A$3:$C$25,3,FALSE)</f>
        <v>125664</v>
      </c>
      <c r="M12" s="51">
        <f t="shared" si="6"/>
        <v>2.4890384615384615</v>
      </c>
      <c r="N12" t="b">
        <f t="shared" si="7"/>
        <v>1</v>
      </c>
      <c r="O12" s="51">
        <f>VLOOKUP(A12,'Products Pivot'!$A$4:$C$12,2,FALSE)</f>
        <v>1.3420666666666667</v>
      </c>
      <c r="P12" s="51">
        <f t="shared" si="8"/>
        <v>0.2920666666666667</v>
      </c>
      <c r="Q12">
        <f t="shared" si="9"/>
        <v>408.89333333333337</v>
      </c>
      <c r="R12">
        <f t="shared" si="1"/>
        <v>19626.88</v>
      </c>
      <c r="S12" s="94">
        <f>VLOOKUP(B12,'Components Pivot'!$A$3:$D$25,4,FALSE)</f>
        <v>41825.919999999998</v>
      </c>
      <c r="T12">
        <f t="shared" si="10"/>
        <v>1878.8933333333334</v>
      </c>
      <c r="U12">
        <f t="shared" si="11"/>
        <v>1.3420666666666667</v>
      </c>
      <c r="V12" s="9">
        <f t="shared" si="2"/>
        <v>0</v>
      </c>
      <c r="W12" s="9">
        <f>MAX(VLOOKUP(B12,'Components Pivot'!$A$3:$G$25,5,FALSE),E12*C12)</f>
        <v>67200</v>
      </c>
      <c r="X12" s="59">
        <f t="shared" si="3"/>
        <v>143142.08000000002</v>
      </c>
      <c r="Y12">
        <f t="shared" si="12"/>
        <v>0</v>
      </c>
      <c r="Z12" s="9">
        <f>VLOOKUP(B12,'Components Pivot'!$A$3:$G$25,6,FALSE)</f>
        <v>0</v>
      </c>
      <c r="AA12" s="51">
        <f t="shared" si="13"/>
        <v>2.1300904761904764</v>
      </c>
      <c r="AB12" t="b">
        <f t="shared" si="14"/>
        <v>0</v>
      </c>
      <c r="AC12" s="95">
        <f>VLOOKUP(A12,'Products Pivot'!$A$4:$C$12,3,FALSE)</f>
        <v>0.4704714285714286</v>
      </c>
      <c r="AD12" s="51">
        <f t="shared" si="15"/>
        <v>0</v>
      </c>
      <c r="AE12">
        <f t="shared" si="16"/>
        <v>0</v>
      </c>
      <c r="AF12">
        <f t="shared" si="17"/>
        <v>0</v>
      </c>
      <c r="AG12" s="9">
        <f>VLOOKUP(B12,'Components Pivot'!$A$3:$G$25,7,FALSE)</f>
        <v>0</v>
      </c>
      <c r="AH12" s="59">
        <f t="shared" si="18"/>
        <v>143142.08000000002</v>
      </c>
      <c r="AI12">
        <f t="shared" si="19"/>
        <v>409</v>
      </c>
    </row>
    <row r="13" spans="1:35" x14ac:dyDescent="0.25">
      <c r="A13" t="str">
        <f>'Bill of Materials'!A15</f>
        <v>AB250</v>
      </c>
      <c r="B13" t="str">
        <f>'Bill of Materials'!B15</f>
        <v>CAPF</v>
      </c>
      <c r="C13" s="12">
        <f>'Bill of Materials'!C15</f>
        <v>48</v>
      </c>
      <c r="D13" t="str">
        <f>'Bill of Materials'!D15</f>
        <v>Flip cap</v>
      </c>
      <c r="E13">
        <f>VLOOKUP(A13,'The Business'!$A$8:$D$14,4,FALSE)</f>
        <v>1400</v>
      </c>
      <c r="F13">
        <f>VLOOKUP(A13,'Item Master'!$A$6:$H$31,F$1,FALSE)</f>
        <v>1470</v>
      </c>
      <c r="G13" s="51">
        <f t="shared" si="4"/>
        <v>1.05</v>
      </c>
      <c r="H13">
        <f t="shared" si="0"/>
        <v>67200</v>
      </c>
      <c r="I13" s="9">
        <f>MAX(VLOOKUP(B13,'Components Pivot'!$A$3:$G$25,2,FALSE),E13*C13)</f>
        <v>124800</v>
      </c>
      <c r="J13">
        <f>VLOOKUP(B13,'Item Master'!$A$6:$H$31,J$1,FALSE)</f>
        <v>65738</v>
      </c>
      <c r="K13" s="59">
        <f t="shared" si="5"/>
        <v>70560</v>
      </c>
      <c r="L13" s="94">
        <f>VLOOKUP(B13,'Components Pivot'!$A$3:$C$25,3,FALSE)</f>
        <v>125664</v>
      </c>
      <c r="M13" s="51">
        <f t="shared" si="6"/>
        <v>1.5336698717948718</v>
      </c>
      <c r="N13" t="b">
        <f t="shared" si="7"/>
        <v>1</v>
      </c>
      <c r="O13" s="51">
        <f>VLOOKUP(A13,'Products Pivot'!$A$4:$C$12,2,FALSE)</f>
        <v>1.3420666666666667</v>
      </c>
      <c r="P13" s="51">
        <f t="shared" si="8"/>
        <v>0.2920666666666667</v>
      </c>
      <c r="Q13">
        <f t="shared" si="9"/>
        <v>408.89333333333337</v>
      </c>
      <c r="R13">
        <f t="shared" si="1"/>
        <v>19626.88</v>
      </c>
      <c r="S13" s="94">
        <f>VLOOKUP(B13,'Components Pivot'!$A$3:$D$25,4,FALSE)</f>
        <v>41825.919999999998</v>
      </c>
      <c r="T13">
        <f t="shared" si="10"/>
        <v>1878.8933333333334</v>
      </c>
      <c r="U13">
        <f t="shared" si="11"/>
        <v>1.3420666666666667</v>
      </c>
      <c r="V13" s="9">
        <f t="shared" si="2"/>
        <v>0</v>
      </c>
      <c r="W13" s="9">
        <f>MAX(VLOOKUP(B13,'Components Pivot'!$A$3:$G$25,5,FALSE),E13*C13)</f>
        <v>67200</v>
      </c>
      <c r="X13" s="59">
        <f t="shared" si="3"/>
        <v>23912.080000000002</v>
      </c>
      <c r="Y13">
        <f t="shared" si="12"/>
        <v>0</v>
      </c>
      <c r="Z13" s="9">
        <f>VLOOKUP(B13,'Components Pivot'!$A$3:$G$25,6,FALSE)</f>
        <v>23424</v>
      </c>
      <c r="AA13" s="51">
        <f t="shared" si="13"/>
        <v>0.70440595238095238</v>
      </c>
      <c r="AB13" t="b">
        <f t="shared" si="14"/>
        <v>0</v>
      </c>
      <c r="AC13" s="95">
        <f>VLOOKUP(A13,'Products Pivot'!$A$4:$C$12,3,FALSE)</f>
        <v>0.4704714285714286</v>
      </c>
      <c r="AD13" s="51">
        <f t="shared" si="15"/>
        <v>0</v>
      </c>
      <c r="AE13">
        <f t="shared" si="16"/>
        <v>0</v>
      </c>
      <c r="AF13">
        <f t="shared" si="17"/>
        <v>0</v>
      </c>
      <c r="AG13" s="9">
        <f>VLOOKUP(B13,'Components Pivot'!$A$3:$G$25,7,FALSE)</f>
        <v>23912.080000000002</v>
      </c>
      <c r="AH13" s="59">
        <f t="shared" si="18"/>
        <v>0</v>
      </c>
      <c r="AI13">
        <f t="shared" si="19"/>
        <v>409</v>
      </c>
    </row>
    <row r="14" spans="1:35" x14ac:dyDescent="0.25">
      <c r="A14" t="str">
        <f>'Bill of Materials'!A16</f>
        <v>AB250</v>
      </c>
      <c r="B14" t="str">
        <f>'Bill of Materials'!B16</f>
        <v>CARL</v>
      </c>
      <c r="C14" s="12">
        <f>'Bill of Materials'!C16</f>
        <v>1</v>
      </c>
      <c r="D14" t="str">
        <f>'Bill of Materials'!D16</f>
        <v>Carton large</v>
      </c>
      <c r="E14">
        <f>VLOOKUP(A14,'The Business'!$A$8:$D$14,4,FALSE)</f>
        <v>1400</v>
      </c>
      <c r="F14">
        <f>VLOOKUP(A14,'Item Master'!$A$6:$H$31,F$1,FALSE)</f>
        <v>1470</v>
      </c>
      <c r="G14" s="51">
        <f t="shared" si="4"/>
        <v>1.05</v>
      </c>
      <c r="H14">
        <f t="shared" si="0"/>
        <v>1400</v>
      </c>
      <c r="I14" s="9">
        <f>MAX(VLOOKUP(B14,'Components Pivot'!$A$3:$G$25,2,FALSE),E14*C14)</f>
        <v>5000</v>
      </c>
      <c r="J14">
        <f>VLOOKUP(B14,'Item Master'!$A$6:$H$31,J$1,FALSE)</f>
        <v>4368</v>
      </c>
      <c r="K14" s="59">
        <f t="shared" si="5"/>
        <v>1470</v>
      </c>
      <c r="L14" s="94">
        <f>VLOOKUP(B14,'Components Pivot'!$A$3:$C$25,3,FALSE)</f>
        <v>3854</v>
      </c>
      <c r="M14" s="51">
        <f t="shared" si="6"/>
        <v>1.6444000000000001</v>
      </c>
      <c r="N14" t="b">
        <f t="shared" si="7"/>
        <v>1</v>
      </c>
      <c r="O14" s="51">
        <f>VLOOKUP(A14,'Products Pivot'!$A$4:$C$12,2,FALSE)</f>
        <v>1.3420666666666667</v>
      </c>
      <c r="P14" s="51">
        <f t="shared" si="8"/>
        <v>0.2920666666666667</v>
      </c>
      <c r="Q14">
        <f t="shared" si="9"/>
        <v>408.89333333333337</v>
      </c>
      <c r="R14">
        <f t="shared" si="1"/>
        <v>408.89333333333337</v>
      </c>
      <c r="S14" s="94">
        <f>VLOOKUP(B14,'Components Pivot'!$A$3:$D$25,4,FALSE)</f>
        <v>2392.873333333333</v>
      </c>
      <c r="T14">
        <f t="shared" si="10"/>
        <v>1878.8933333333334</v>
      </c>
      <c r="U14">
        <f t="shared" si="11"/>
        <v>1.3420666666666667</v>
      </c>
      <c r="V14" s="9">
        <f t="shared" si="2"/>
        <v>0</v>
      </c>
      <c r="W14" s="9">
        <f>MAX(VLOOKUP(B14,'Components Pivot'!$A$3:$G$25,5,FALSE),E14*C14)</f>
        <v>1400</v>
      </c>
      <c r="X14" s="59">
        <f t="shared" si="3"/>
        <v>1975.126666666667</v>
      </c>
      <c r="Y14">
        <f t="shared" si="12"/>
        <v>0</v>
      </c>
      <c r="Z14" s="9">
        <f>VLOOKUP(B14,'Components Pivot'!$A$3:$G$25,6,FALSE)</f>
        <v>0</v>
      </c>
      <c r="AA14" s="51">
        <f t="shared" si="13"/>
        <v>1.4108047619047621</v>
      </c>
      <c r="AB14" t="b">
        <f t="shared" si="14"/>
        <v>0</v>
      </c>
      <c r="AC14" s="95">
        <f>VLOOKUP(A14,'Products Pivot'!$A$4:$C$12,3,FALSE)</f>
        <v>0.4704714285714286</v>
      </c>
      <c r="AD14" s="51">
        <f t="shared" si="15"/>
        <v>0</v>
      </c>
      <c r="AE14">
        <f t="shared" si="16"/>
        <v>0</v>
      </c>
      <c r="AF14">
        <f t="shared" si="17"/>
        <v>0</v>
      </c>
      <c r="AG14" s="9">
        <f>VLOOKUP(B14,'Components Pivot'!$A$3:$G$25,7,FALSE)</f>
        <v>0</v>
      </c>
      <c r="AH14" s="59">
        <f t="shared" si="18"/>
        <v>1975.126666666667</v>
      </c>
      <c r="AI14">
        <f t="shared" si="19"/>
        <v>409</v>
      </c>
    </row>
    <row r="15" spans="1:35" x14ac:dyDescent="0.25">
      <c r="A15" t="str">
        <f>'Bill of Materials'!A17</f>
        <v>AB250</v>
      </c>
      <c r="B15" t="str">
        <f>'Bill of Materials'!B17</f>
        <v>ESA</v>
      </c>
      <c r="C15" s="12">
        <f>'Bill of Materials'!C17</f>
        <v>0.12</v>
      </c>
      <c r="D15" t="str">
        <f>'Bill of Materials'!D17</f>
        <v>Apple essence</v>
      </c>
      <c r="E15">
        <f>VLOOKUP(A15,'The Business'!$A$8:$D$14,4,FALSE)</f>
        <v>1400</v>
      </c>
      <c r="F15">
        <f>VLOOKUP(A15,'Item Master'!$A$6:$H$31,F$1,FALSE)</f>
        <v>1470</v>
      </c>
      <c r="G15" s="51">
        <f t="shared" si="4"/>
        <v>1.05</v>
      </c>
      <c r="H15">
        <f t="shared" si="0"/>
        <v>168</v>
      </c>
      <c r="I15" s="9">
        <f>MAX(VLOOKUP(B15,'Components Pivot'!$A$3:$G$25,2,FALSE),E15*C15)</f>
        <v>312</v>
      </c>
      <c r="J15">
        <f>VLOOKUP(B15,'Item Master'!$A$6:$H$31,J$1,FALSE)</f>
        <v>1494</v>
      </c>
      <c r="K15" s="59">
        <f t="shared" si="5"/>
        <v>176.4</v>
      </c>
      <c r="L15" s="94">
        <f>VLOOKUP(B15,'Components Pivot'!$A$3:$C$25,3,FALSE)</f>
        <v>321.79199999999997</v>
      </c>
      <c r="M15" s="51">
        <f t="shared" si="6"/>
        <v>5.8198461538461537</v>
      </c>
      <c r="N15" t="b">
        <f t="shared" si="7"/>
        <v>1</v>
      </c>
      <c r="O15" s="51">
        <f>VLOOKUP(A15,'Products Pivot'!$A$4:$C$12,2,FALSE)</f>
        <v>1.3420666666666667</v>
      </c>
      <c r="P15" s="51">
        <f t="shared" si="8"/>
        <v>0.2920666666666667</v>
      </c>
      <c r="Q15">
        <f t="shared" si="9"/>
        <v>408.89333333333337</v>
      </c>
      <c r="R15">
        <f t="shared" si="1"/>
        <v>49.0672</v>
      </c>
      <c r="S15" s="94">
        <f>VLOOKUP(B15,'Components Pivot'!$A$3:$D$25,4,FALSE)</f>
        <v>102.96719999999999</v>
      </c>
      <c r="T15">
        <f t="shared" si="10"/>
        <v>1878.8933333333334</v>
      </c>
      <c r="U15">
        <f t="shared" si="11"/>
        <v>1.3420666666666667</v>
      </c>
      <c r="V15" s="9">
        <f t="shared" si="2"/>
        <v>0</v>
      </c>
      <c r="W15" s="9">
        <f>MAX(VLOOKUP(B15,'Components Pivot'!$A$3:$G$25,5,FALSE),E15*C15)</f>
        <v>168</v>
      </c>
      <c r="X15" s="59">
        <f t="shared" si="3"/>
        <v>1391.0328</v>
      </c>
      <c r="Y15">
        <f t="shared" si="12"/>
        <v>0</v>
      </c>
      <c r="Z15" s="9">
        <f>VLOOKUP(B15,'Components Pivot'!$A$3:$G$25,6,FALSE)</f>
        <v>0</v>
      </c>
      <c r="AA15" s="51">
        <f t="shared" si="13"/>
        <v>8.2799571428571426</v>
      </c>
      <c r="AB15" t="b">
        <f t="shared" si="14"/>
        <v>0</v>
      </c>
      <c r="AC15" s="95">
        <f>VLOOKUP(A15,'Products Pivot'!$A$4:$C$12,3,FALSE)</f>
        <v>0.4704714285714286</v>
      </c>
      <c r="AD15" s="51">
        <f t="shared" si="15"/>
        <v>0</v>
      </c>
      <c r="AE15">
        <f t="shared" si="16"/>
        <v>0</v>
      </c>
      <c r="AF15">
        <f t="shared" si="17"/>
        <v>0</v>
      </c>
      <c r="AG15" s="9">
        <f>VLOOKUP(B15,'Components Pivot'!$A$3:$G$25,7,FALSE)</f>
        <v>0</v>
      </c>
      <c r="AH15" s="59">
        <f t="shared" si="18"/>
        <v>1391.0328</v>
      </c>
      <c r="AI15">
        <f t="shared" si="19"/>
        <v>409</v>
      </c>
    </row>
    <row r="16" spans="1:35" x14ac:dyDescent="0.25">
      <c r="A16" t="str">
        <f>'Bill of Materials'!A18</f>
        <v>AB250</v>
      </c>
      <c r="B16" t="str">
        <f>'Bill of Materials'!B18</f>
        <v>LAB25</v>
      </c>
      <c r="C16" s="12">
        <f>'Bill of Materials'!C18</f>
        <v>50</v>
      </c>
      <c r="D16" t="str">
        <f>'Bill of Materials'!D18</f>
        <v>Label Apple Blossom 250ml</v>
      </c>
      <c r="E16">
        <f>VLOOKUP(A16,'The Business'!$A$8:$D$14,4,FALSE)</f>
        <v>1400</v>
      </c>
      <c r="F16">
        <f>VLOOKUP(A16,'Item Master'!$A$6:$H$31,F$1,FALSE)</f>
        <v>1470</v>
      </c>
      <c r="G16" s="51">
        <f t="shared" si="4"/>
        <v>1.05</v>
      </c>
      <c r="H16">
        <f t="shared" si="0"/>
        <v>70000</v>
      </c>
      <c r="I16" s="9">
        <f>MAX(VLOOKUP(B16,'Components Pivot'!$A$3:$G$25,2,FALSE),E16*C16)</f>
        <v>70000</v>
      </c>
      <c r="J16">
        <f>VLOOKUP(B16,'Item Master'!$A$6:$H$31,J$1,FALSE)</f>
        <v>266776</v>
      </c>
      <c r="K16" s="59">
        <f t="shared" si="5"/>
        <v>73500</v>
      </c>
      <c r="L16" s="94">
        <f>VLOOKUP(B16,'Components Pivot'!$A$3:$C$25,3,FALSE)</f>
        <v>73500</v>
      </c>
      <c r="M16" s="51">
        <f t="shared" si="6"/>
        <v>4.8610857142857142</v>
      </c>
      <c r="N16" t="b">
        <f t="shared" si="7"/>
        <v>1</v>
      </c>
      <c r="O16" s="51">
        <f>VLOOKUP(A16,'Products Pivot'!$A$4:$C$12,2,FALSE)</f>
        <v>1.3420666666666667</v>
      </c>
      <c r="P16" s="51">
        <f t="shared" si="8"/>
        <v>0.2920666666666667</v>
      </c>
      <c r="Q16">
        <f t="shared" si="9"/>
        <v>408.89333333333337</v>
      </c>
      <c r="R16">
        <f t="shared" si="1"/>
        <v>20444.666666666668</v>
      </c>
      <c r="S16" s="94">
        <f>VLOOKUP(B16,'Components Pivot'!$A$3:$D$25,4,FALSE)</f>
        <v>20444.666666666668</v>
      </c>
      <c r="T16">
        <f t="shared" si="10"/>
        <v>1878.8933333333334</v>
      </c>
      <c r="U16">
        <f t="shared" si="11"/>
        <v>1.3420666666666667</v>
      </c>
      <c r="V16" s="9">
        <f t="shared" si="2"/>
        <v>0</v>
      </c>
      <c r="W16" s="9">
        <f>MAX(VLOOKUP(B16,'Components Pivot'!$A$3:$G$25,5,FALSE),E16*C16)</f>
        <v>70000</v>
      </c>
      <c r="X16" s="59">
        <f t="shared" si="3"/>
        <v>246331.33333333334</v>
      </c>
      <c r="Y16">
        <f t="shared" si="12"/>
        <v>0</v>
      </c>
      <c r="Z16" s="9">
        <f>VLOOKUP(B16,'Components Pivot'!$A$3:$G$25,6,FALSE)</f>
        <v>0</v>
      </c>
      <c r="AA16" s="51">
        <f t="shared" si="13"/>
        <v>3.5190190476190479</v>
      </c>
      <c r="AB16" t="b">
        <f t="shared" si="14"/>
        <v>0</v>
      </c>
      <c r="AC16" s="95">
        <f>VLOOKUP(A16,'Products Pivot'!$A$4:$C$12,3,FALSE)</f>
        <v>0.4704714285714286</v>
      </c>
      <c r="AD16" s="51">
        <f t="shared" si="15"/>
        <v>0</v>
      </c>
      <c r="AE16">
        <f t="shared" si="16"/>
        <v>0</v>
      </c>
      <c r="AF16">
        <f t="shared" si="17"/>
        <v>0</v>
      </c>
      <c r="AG16" s="9">
        <f>VLOOKUP(B16,'Components Pivot'!$A$3:$G$25,7,FALSE)</f>
        <v>0</v>
      </c>
      <c r="AH16" s="59">
        <f t="shared" si="18"/>
        <v>246331.33333333334</v>
      </c>
      <c r="AI16">
        <f t="shared" si="19"/>
        <v>409</v>
      </c>
    </row>
    <row r="17" spans="1:35" x14ac:dyDescent="0.25">
      <c r="A17" t="str">
        <f>'Bill of Materials'!A19</f>
        <v>AB500</v>
      </c>
      <c r="B17" t="str">
        <f>'Bill of Materials'!B19</f>
        <v>BS01</v>
      </c>
      <c r="C17" s="12">
        <f>'Bill of Materials'!C19</f>
        <v>12</v>
      </c>
      <c r="D17" t="str">
        <f>'Bill of Materials'!D19</f>
        <v>Base Shampoo</v>
      </c>
      <c r="E17">
        <f>VLOOKUP(A17,'The Business'!$A$8:$D$14,4,FALSE)</f>
        <v>800</v>
      </c>
      <c r="F17">
        <f>VLOOKUP(A17,'Item Master'!$A$6:$H$31,F$1,FALSE)</f>
        <v>470</v>
      </c>
      <c r="G17" s="51">
        <f t="shared" si="4"/>
        <v>0.58750000000000002</v>
      </c>
      <c r="H17">
        <f t="shared" si="0"/>
        <v>9600</v>
      </c>
      <c r="I17" s="9">
        <f>MAX(VLOOKUP(B17,'Components Pivot'!$A$3:$G$25,2,FALSE),E17*C17)</f>
        <v>60000</v>
      </c>
      <c r="J17">
        <f>VLOOKUP(B17,'Item Master'!$A$6:$H$31,J$1,FALSE)</f>
        <v>34276</v>
      </c>
      <c r="K17" s="59">
        <f t="shared" si="5"/>
        <v>5640</v>
      </c>
      <c r="L17" s="94">
        <f>VLOOKUP(B17,'Components Pivot'!$A$3:$C$25,3,FALSE)</f>
        <v>46248</v>
      </c>
      <c r="M17" s="51">
        <f t="shared" si="6"/>
        <v>1.3420666666666667</v>
      </c>
      <c r="N17" t="b">
        <f t="shared" si="7"/>
        <v>1</v>
      </c>
      <c r="O17" s="51">
        <f>VLOOKUP(A17,'Products Pivot'!$A$4:$C$12,2,FALSE)</f>
        <v>1.1489583333333333</v>
      </c>
      <c r="P17" s="51">
        <f t="shared" si="8"/>
        <v>0.56145833333333328</v>
      </c>
      <c r="Q17">
        <f t="shared" si="9"/>
        <v>449.16666666666663</v>
      </c>
      <c r="R17">
        <f t="shared" si="1"/>
        <v>5390</v>
      </c>
      <c r="S17" s="94">
        <f>VLOOKUP(B17,'Components Pivot'!$A$3:$D$25,4,FALSE)</f>
        <v>28714.48</v>
      </c>
      <c r="T17">
        <f t="shared" si="10"/>
        <v>919.16666666666663</v>
      </c>
      <c r="U17">
        <f t="shared" si="11"/>
        <v>1.1489583333333333</v>
      </c>
      <c r="V17" s="9">
        <f t="shared" si="2"/>
        <v>0</v>
      </c>
      <c r="W17" s="9">
        <f>MAX(VLOOKUP(B17,'Components Pivot'!$A$3:$G$25,5,FALSE),E17*C17)</f>
        <v>9600</v>
      </c>
      <c r="X17" s="59">
        <f t="shared" si="3"/>
        <v>5561.52</v>
      </c>
      <c r="Y17">
        <f t="shared" si="12"/>
        <v>0</v>
      </c>
      <c r="Z17" s="9">
        <f>VLOOKUP(B17,'Components Pivot'!$A$3:$G$25,6,FALSE)</f>
        <v>2342.4</v>
      </c>
      <c r="AA17" s="51">
        <f t="shared" si="13"/>
        <v>0.82332499999999997</v>
      </c>
      <c r="AB17" t="b">
        <f t="shared" si="14"/>
        <v>0</v>
      </c>
      <c r="AC17" s="95">
        <f>VLOOKUP(A17,'Products Pivot'!$A$4:$C$12,3,FALSE)</f>
        <v>0</v>
      </c>
      <c r="AD17" s="51">
        <f t="shared" si="15"/>
        <v>0</v>
      </c>
      <c r="AE17">
        <f t="shared" si="16"/>
        <v>0</v>
      </c>
      <c r="AF17">
        <f t="shared" si="17"/>
        <v>0</v>
      </c>
      <c r="AG17" s="9">
        <f>VLOOKUP(B17,'Components Pivot'!$A$3:$G$25,7,FALSE)</f>
        <v>2391.2080000000001</v>
      </c>
      <c r="AH17" s="59">
        <f t="shared" si="18"/>
        <v>3170.3120000000004</v>
      </c>
      <c r="AI17">
        <f t="shared" si="19"/>
        <v>449</v>
      </c>
    </row>
    <row r="18" spans="1:35" x14ac:dyDescent="0.25">
      <c r="A18" t="str">
        <f>'Bill of Materials'!A20</f>
        <v>AB500</v>
      </c>
      <c r="B18" t="str">
        <f>'Bill of Materials'!B20</f>
        <v>BT500</v>
      </c>
      <c r="C18" s="12">
        <f>'Bill of Materials'!C20</f>
        <v>24</v>
      </c>
      <c r="D18" t="str">
        <f>'Bill of Materials'!D20</f>
        <v>Bottle 500ml</v>
      </c>
      <c r="E18">
        <f>VLOOKUP(A18,'The Business'!$A$8:$D$14,4,FALSE)</f>
        <v>800</v>
      </c>
      <c r="F18">
        <f>VLOOKUP(A18,'Item Master'!$A$6:$H$31,F$1,FALSE)</f>
        <v>470</v>
      </c>
      <c r="G18" s="51">
        <f t="shared" si="4"/>
        <v>0.58750000000000002</v>
      </c>
      <c r="H18">
        <f t="shared" si="0"/>
        <v>19200</v>
      </c>
      <c r="I18" s="9">
        <f>MAX(VLOOKUP(B18,'Components Pivot'!$A$3:$G$25,2,FALSE),E18*C18)</f>
        <v>57600</v>
      </c>
      <c r="J18">
        <f>VLOOKUP(B18,'Item Master'!$A$6:$H$31,J$1,FALSE)</f>
        <v>36516</v>
      </c>
      <c r="K18" s="59">
        <f t="shared" si="5"/>
        <v>11280</v>
      </c>
      <c r="L18" s="94">
        <f>VLOOKUP(B18,'Components Pivot'!$A$3:$C$25,3,FALSE)</f>
        <v>29664</v>
      </c>
      <c r="M18" s="51">
        <f t="shared" si="6"/>
        <v>1.1489583333333333</v>
      </c>
      <c r="N18" t="b">
        <f t="shared" si="7"/>
        <v>1</v>
      </c>
      <c r="O18" s="51">
        <f>VLOOKUP(A18,'Products Pivot'!$A$4:$C$12,2,FALSE)</f>
        <v>1.1489583333333333</v>
      </c>
      <c r="P18" s="51">
        <f t="shared" si="8"/>
        <v>0.56145833333333328</v>
      </c>
      <c r="Q18">
        <f t="shared" si="9"/>
        <v>449.16666666666663</v>
      </c>
      <c r="R18">
        <f t="shared" si="1"/>
        <v>10780</v>
      </c>
      <c r="S18" s="94">
        <f>VLOOKUP(B18,'Components Pivot'!$A$3:$D$25,4,FALSE)</f>
        <v>36516</v>
      </c>
      <c r="T18">
        <f t="shared" si="10"/>
        <v>919.16666666666663</v>
      </c>
      <c r="U18">
        <f t="shared" si="11"/>
        <v>1.1489583333333333</v>
      </c>
      <c r="V18" s="9">
        <f t="shared" si="2"/>
        <v>0</v>
      </c>
      <c r="W18" s="9">
        <f>MAX(VLOOKUP(B18,'Components Pivot'!$A$3:$G$25,5,FALSE),E18*C18)</f>
        <v>19200</v>
      </c>
      <c r="X18" s="59">
        <f t="shared" si="3"/>
        <v>0</v>
      </c>
      <c r="Y18">
        <f t="shared" si="12"/>
        <v>0</v>
      </c>
      <c r="Z18" s="9">
        <f>VLOOKUP(B18,'Components Pivot'!$A$3:$G$25,6,FALSE)</f>
        <v>0</v>
      </c>
      <c r="AA18" s="51">
        <f t="shared" si="13"/>
        <v>0</v>
      </c>
      <c r="AB18" t="b">
        <f t="shared" si="14"/>
        <v>0</v>
      </c>
      <c r="AC18" s="95">
        <f>VLOOKUP(A18,'Products Pivot'!$A$4:$C$12,3,FALSE)</f>
        <v>0</v>
      </c>
      <c r="AD18" s="51">
        <f t="shared" si="15"/>
        <v>0</v>
      </c>
      <c r="AE18">
        <f t="shared" si="16"/>
        <v>0</v>
      </c>
      <c r="AF18">
        <f t="shared" si="17"/>
        <v>0</v>
      </c>
      <c r="AG18" s="9">
        <f>VLOOKUP(B18,'Components Pivot'!$A$3:$G$25,7,FALSE)</f>
        <v>0</v>
      </c>
      <c r="AH18" s="59">
        <f t="shared" si="18"/>
        <v>0</v>
      </c>
      <c r="AI18">
        <f t="shared" si="19"/>
        <v>449</v>
      </c>
    </row>
    <row r="19" spans="1:35" x14ac:dyDescent="0.25">
      <c r="A19" t="str">
        <f>'Bill of Materials'!A21</f>
        <v>AB500</v>
      </c>
      <c r="B19" t="str">
        <f>'Bill of Materials'!B21</f>
        <v>CAPS</v>
      </c>
      <c r="C19" s="12">
        <f>'Bill of Materials'!C21</f>
        <v>24</v>
      </c>
      <c r="D19" t="str">
        <f>'Bill of Materials'!D21</f>
        <v>Screw cap</v>
      </c>
      <c r="E19">
        <f>VLOOKUP(A19,'The Business'!$A$8:$D$14,4,FALSE)</f>
        <v>800</v>
      </c>
      <c r="F19">
        <f>VLOOKUP(A19,'Item Master'!$A$6:$H$31,F$1,FALSE)</f>
        <v>470</v>
      </c>
      <c r="G19" s="51">
        <f t="shared" si="4"/>
        <v>0.58750000000000002</v>
      </c>
      <c r="H19">
        <f t="shared" si="0"/>
        <v>19200</v>
      </c>
      <c r="I19" s="9">
        <f>MAX(VLOOKUP(B19,'Components Pivot'!$A$3:$G$25,2,FALSE),E19*C19)</f>
        <v>57600</v>
      </c>
      <c r="J19">
        <f>VLOOKUP(B19,'Item Master'!$A$6:$H$31,J$1,FALSE)</f>
        <v>37818</v>
      </c>
      <c r="K19" s="59">
        <f t="shared" si="5"/>
        <v>11280</v>
      </c>
      <c r="L19" s="94">
        <f>VLOOKUP(B19,'Components Pivot'!$A$3:$C$25,3,FALSE)</f>
        <v>29664</v>
      </c>
      <c r="M19" s="51">
        <f t="shared" si="6"/>
        <v>1.1715625000000001</v>
      </c>
      <c r="N19" t="b">
        <f t="shared" si="7"/>
        <v>1</v>
      </c>
      <c r="O19" s="51">
        <f>VLOOKUP(A19,'Products Pivot'!$A$4:$C$12,2,FALSE)</f>
        <v>1.1489583333333333</v>
      </c>
      <c r="P19" s="51">
        <f t="shared" si="8"/>
        <v>0.56145833333333328</v>
      </c>
      <c r="Q19">
        <f t="shared" si="9"/>
        <v>449.16666666666663</v>
      </c>
      <c r="R19">
        <f t="shared" si="1"/>
        <v>10780</v>
      </c>
      <c r="S19" s="94">
        <f>VLOOKUP(B19,'Components Pivot'!$A$3:$D$25,4,FALSE)</f>
        <v>36516</v>
      </c>
      <c r="T19">
        <f t="shared" si="10"/>
        <v>919.16666666666663</v>
      </c>
      <c r="U19">
        <f t="shared" si="11"/>
        <v>1.1489583333333333</v>
      </c>
      <c r="V19" s="9">
        <f t="shared" si="2"/>
        <v>0</v>
      </c>
      <c r="W19" s="9">
        <f>MAX(VLOOKUP(B19,'Components Pivot'!$A$3:$G$25,5,FALSE),E19*C19)</f>
        <v>19200</v>
      </c>
      <c r="X19" s="59">
        <f t="shared" si="3"/>
        <v>1302</v>
      </c>
      <c r="Y19">
        <f t="shared" si="12"/>
        <v>0</v>
      </c>
      <c r="Z19" s="9">
        <f>VLOOKUP(B19,'Components Pivot'!$A$3:$G$25,6,FALSE)</f>
        <v>0</v>
      </c>
      <c r="AA19" s="51">
        <f t="shared" si="13"/>
        <v>6.7812499999999998E-2</v>
      </c>
      <c r="AB19" t="b">
        <f t="shared" si="14"/>
        <v>0</v>
      </c>
      <c r="AC19" s="95">
        <f>VLOOKUP(A19,'Products Pivot'!$A$4:$C$12,3,FALSE)</f>
        <v>0</v>
      </c>
      <c r="AD19" s="51">
        <f t="shared" si="15"/>
        <v>0</v>
      </c>
      <c r="AE19">
        <f t="shared" si="16"/>
        <v>0</v>
      </c>
      <c r="AF19">
        <f t="shared" si="17"/>
        <v>0</v>
      </c>
      <c r="AG19" s="9">
        <f>VLOOKUP(B19,'Components Pivot'!$A$3:$G$25,7,FALSE)</f>
        <v>0</v>
      </c>
      <c r="AH19" s="59">
        <f t="shared" si="18"/>
        <v>1302</v>
      </c>
      <c r="AI19">
        <f t="shared" si="19"/>
        <v>449</v>
      </c>
    </row>
    <row r="20" spans="1:35" x14ac:dyDescent="0.25">
      <c r="A20" t="str">
        <f>'Bill of Materials'!A22</f>
        <v>AB500</v>
      </c>
      <c r="B20" t="str">
        <f>'Bill of Materials'!B22</f>
        <v>CARL</v>
      </c>
      <c r="C20" s="12">
        <f>'Bill of Materials'!C22</f>
        <v>1</v>
      </c>
      <c r="D20" t="str">
        <f>'Bill of Materials'!D22</f>
        <v>Carton large</v>
      </c>
      <c r="E20">
        <f>VLOOKUP(A20,'The Business'!$A$8:$D$14,4,FALSE)</f>
        <v>800</v>
      </c>
      <c r="F20">
        <f>VLOOKUP(A20,'Item Master'!$A$6:$H$31,F$1,FALSE)</f>
        <v>470</v>
      </c>
      <c r="G20" s="51">
        <f t="shared" si="4"/>
        <v>0.58750000000000002</v>
      </c>
      <c r="H20">
        <f t="shared" si="0"/>
        <v>800</v>
      </c>
      <c r="I20" s="9">
        <f>MAX(VLOOKUP(B20,'Components Pivot'!$A$3:$G$25,2,FALSE),E20*C20)</f>
        <v>5000</v>
      </c>
      <c r="J20">
        <f>VLOOKUP(B20,'Item Master'!$A$6:$H$31,J$1,FALSE)</f>
        <v>4368</v>
      </c>
      <c r="K20" s="59">
        <f t="shared" si="5"/>
        <v>470</v>
      </c>
      <c r="L20" s="94">
        <f>VLOOKUP(B20,'Components Pivot'!$A$3:$C$25,3,FALSE)</f>
        <v>3854</v>
      </c>
      <c r="M20" s="51">
        <f t="shared" si="6"/>
        <v>1.6444000000000001</v>
      </c>
      <c r="N20" t="b">
        <f t="shared" si="7"/>
        <v>1</v>
      </c>
      <c r="O20" s="51">
        <f>VLOOKUP(A20,'Products Pivot'!$A$4:$C$12,2,FALSE)</f>
        <v>1.1489583333333333</v>
      </c>
      <c r="P20" s="51">
        <f t="shared" si="8"/>
        <v>0.56145833333333328</v>
      </c>
      <c r="Q20">
        <f t="shared" si="9"/>
        <v>449.16666666666663</v>
      </c>
      <c r="R20">
        <f t="shared" si="1"/>
        <v>449.16666666666663</v>
      </c>
      <c r="S20" s="94">
        <f>VLOOKUP(B20,'Components Pivot'!$A$3:$D$25,4,FALSE)</f>
        <v>2392.873333333333</v>
      </c>
      <c r="T20">
        <f t="shared" si="10"/>
        <v>919.16666666666663</v>
      </c>
      <c r="U20">
        <f t="shared" si="11"/>
        <v>1.1489583333333333</v>
      </c>
      <c r="V20" s="9">
        <f t="shared" si="2"/>
        <v>0</v>
      </c>
      <c r="W20" s="9">
        <f>MAX(VLOOKUP(B20,'Components Pivot'!$A$3:$G$25,5,FALSE),E20*C20)</f>
        <v>800</v>
      </c>
      <c r="X20" s="59">
        <f t="shared" si="3"/>
        <v>1975.126666666667</v>
      </c>
      <c r="Y20">
        <f t="shared" si="12"/>
        <v>0</v>
      </c>
      <c r="Z20" s="9">
        <f>VLOOKUP(B20,'Components Pivot'!$A$3:$G$25,6,FALSE)</f>
        <v>0</v>
      </c>
      <c r="AA20" s="51">
        <f t="shared" si="13"/>
        <v>2.4689083333333337</v>
      </c>
      <c r="AB20" t="b">
        <f t="shared" si="14"/>
        <v>0</v>
      </c>
      <c r="AC20" s="95">
        <f>VLOOKUP(A20,'Products Pivot'!$A$4:$C$12,3,FALSE)</f>
        <v>0</v>
      </c>
      <c r="AD20" s="51">
        <f t="shared" si="15"/>
        <v>0</v>
      </c>
      <c r="AE20">
        <f t="shared" si="16"/>
        <v>0</v>
      </c>
      <c r="AF20">
        <f t="shared" si="17"/>
        <v>0</v>
      </c>
      <c r="AG20" s="9">
        <f>VLOOKUP(B20,'Components Pivot'!$A$3:$G$25,7,FALSE)</f>
        <v>0</v>
      </c>
      <c r="AH20" s="59">
        <f t="shared" si="18"/>
        <v>1975.126666666667</v>
      </c>
      <c r="AI20">
        <f t="shared" si="19"/>
        <v>449</v>
      </c>
    </row>
    <row r="21" spans="1:35" x14ac:dyDescent="0.25">
      <c r="A21" t="str">
        <f>'Bill of Materials'!A23</f>
        <v>AB500</v>
      </c>
      <c r="B21" t="str">
        <f>'Bill of Materials'!B23</f>
        <v>ESA</v>
      </c>
      <c r="C21" s="12">
        <f>'Bill of Materials'!C23</f>
        <v>0.12</v>
      </c>
      <c r="D21" t="str">
        <f>'Bill of Materials'!D23</f>
        <v>Apple essence</v>
      </c>
      <c r="E21">
        <f>VLOOKUP(A21,'The Business'!$A$8:$D$14,4,FALSE)</f>
        <v>800</v>
      </c>
      <c r="F21">
        <f>VLOOKUP(A21,'Item Master'!$A$6:$H$31,F$1,FALSE)</f>
        <v>470</v>
      </c>
      <c r="G21" s="51">
        <f t="shared" si="4"/>
        <v>0.58750000000000002</v>
      </c>
      <c r="H21">
        <f t="shared" si="0"/>
        <v>96</v>
      </c>
      <c r="I21" s="9">
        <f>MAX(VLOOKUP(B21,'Components Pivot'!$A$3:$G$25,2,FALSE),E21*C21)</f>
        <v>312</v>
      </c>
      <c r="J21">
        <f>VLOOKUP(B21,'Item Master'!$A$6:$H$31,J$1,FALSE)</f>
        <v>1494</v>
      </c>
      <c r="K21" s="59">
        <f t="shared" si="5"/>
        <v>56.4</v>
      </c>
      <c r="L21" s="94">
        <f>VLOOKUP(B21,'Components Pivot'!$A$3:$C$25,3,FALSE)</f>
        <v>321.79199999999997</v>
      </c>
      <c r="M21" s="51">
        <f t="shared" si="6"/>
        <v>5.8198461538461537</v>
      </c>
      <c r="N21" t="b">
        <f t="shared" si="7"/>
        <v>1</v>
      </c>
      <c r="O21" s="51">
        <f>VLOOKUP(A21,'Products Pivot'!$A$4:$C$12,2,FALSE)</f>
        <v>1.1489583333333333</v>
      </c>
      <c r="P21" s="51">
        <f t="shared" si="8"/>
        <v>0.56145833333333328</v>
      </c>
      <c r="Q21">
        <f t="shared" si="9"/>
        <v>449.16666666666663</v>
      </c>
      <c r="R21">
        <f t="shared" si="1"/>
        <v>53.899999999999991</v>
      </c>
      <c r="S21" s="94">
        <f>VLOOKUP(B21,'Components Pivot'!$A$3:$D$25,4,FALSE)</f>
        <v>102.96719999999999</v>
      </c>
      <c r="T21">
        <f t="shared" si="10"/>
        <v>919.16666666666663</v>
      </c>
      <c r="U21">
        <f t="shared" si="11"/>
        <v>1.1489583333333333</v>
      </c>
      <c r="V21" s="9">
        <f t="shared" si="2"/>
        <v>0</v>
      </c>
      <c r="W21" s="9">
        <f>MAX(VLOOKUP(B21,'Components Pivot'!$A$3:$G$25,5,FALSE),E21*C21)</f>
        <v>96</v>
      </c>
      <c r="X21" s="59">
        <f t="shared" si="3"/>
        <v>1391.0328</v>
      </c>
      <c r="Y21">
        <f t="shared" si="12"/>
        <v>0</v>
      </c>
      <c r="Z21" s="9">
        <f>VLOOKUP(B21,'Components Pivot'!$A$3:$G$25,6,FALSE)</f>
        <v>0</v>
      </c>
      <c r="AA21" s="51">
        <f t="shared" si="13"/>
        <v>14.489924999999999</v>
      </c>
      <c r="AB21" t="b">
        <f t="shared" si="14"/>
        <v>0</v>
      </c>
      <c r="AC21" s="95">
        <f>VLOOKUP(A21,'Products Pivot'!$A$4:$C$12,3,FALSE)</f>
        <v>0</v>
      </c>
      <c r="AD21" s="51">
        <f t="shared" si="15"/>
        <v>0</v>
      </c>
      <c r="AE21">
        <f t="shared" si="16"/>
        <v>0</v>
      </c>
      <c r="AF21">
        <f t="shared" si="17"/>
        <v>0</v>
      </c>
      <c r="AG21" s="9">
        <f>VLOOKUP(B21,'Components Pivot'!$A$3:$G$25,7,FALSE)</f>
        <v>0</v>
      </c>
      <c r="AH21" s="59">
        <f t="shared" si="18"/>
        <v>1391.0328</v>
      </c>
      <c r="AI21">
        <f t="shared" si="19"/>
        <v>449</v>
      </c>
    </row>
    <row r="22" spans="1:35" x14ac:dyDescent="0.25">
      <c r="A22" t="str">
        <f>'Bill of Materials'!A24</f>
        <v>AB500</v>
      </c>
      <c r="B22" t="str">
        <f>'Bill of Materials'!B24</f>
        <v>LAB50</v>
      </c>
      <c r="C22" s="12">
        <f>'Bill of Materials'!C24</f>
        <v>26</v>
      </c>
      <c r="D22" t="str">
        <f>'Bill of Materials'!D24</f>
        <v>Label Apple Blossom 500ml</v>
      </c>
      <c r="E22">
        <f>VLOOKUP(A22,'The Business'!$A$8:$D$14,4,FALSE)</f>
        <v>800</v>
      </c>
      <c r="F22">
        <f>VLOOKUP(A22,'Item Master'!$A$6:$H$31,F$1,FALSE)</f>
        <v>470</v>
      </c>
      <c r="G22" s="51">
        <f t="shared" si="4"/>
        <v>0.58750000000000002</v>
      </c>
      <c r="H22">
        <f t="shared" si="0"/>
        <v>20800</v>
      </c>
      <c r="I22" s="9">
        <f>MAX(VLOOKUP(B22,'Components Pivot'!$A$3:$G$25,2,FALSE),E22*C22)</f>
        <v>20800</v>
      </c>
      <c r="J22">
        <f>VLOOKUP(B22,'Item Master'!$A$6:$H$31,J$1,FALSE)</f>
        <v>24964</v>
      </c>
      <c r="K22" s="59">
        <f t="shared" si="5"/>
        <v>12220</v>
      </c>
      <c r="L22" s="94">
        <f>VLOOKUP(B22,'Components Pivot'!$A$3:$C$25,3,FALSE)</f>
        <v>12220</v>
      </c>
      <c r="M22" s="51">
        <f t="shared" si="6"/>
        <v>1.7876923076923077</v>
      </c>
      <c r="N22" t="b">
        <f t="shared" si="7"/>
        <v>1</v>
      </c>
      <c r="O22" s="51">
        <f>VLOOKUP(A22,'Products Pivot'!$A$4:$C$12,2,FALSE)</f>
        <v>1.1489583333333333</v>
      </c>
      <c r="P22" s="51">
        <f t="shared" si="8"/>
        <v>0.56145833333333328</v>
      </c>
      <c r="Q22">
        <f t="shared" si="9"/>
        <v>449.16666666666663</v>
      </c>
      <c r="R22">
        <f t="shared" si="1"/>
        <v>11678.333333333332</v>
      </c>
      <c r="S22" s="94">
        <f>VLOOKUP(B22,'Components Pivot'!$A$3:$D$25,4,FALSE)</f>
        <v>11678.333333333332</v>
      </c>
      <c r="T22">
        <f t="shared" si="10"/>
        <v>919.16666666666663</v>
      </c>
      <c r="U22">
        <f t="shared" si="11"/>
        <v>1.1489583333333333</v>
      </c>
      <c r="V22" s="9">
        <f t="shared" si="2"/>
        <v>0</v>
      </c>
      <c r="W22" s="9">
        <f>MAX(VLOOKUP(B22,'Components Pivot'!$A$3:$G$25,5,FALSE),E22*C22)</f>
        <v>20800</v>
      </c>
      <c r="X22" s="59">
        <f t="shared" si="3"/>
        <v>13285.666666666668</v>
      </c>
      <c r="Y22">
        <f t="shared" si="12"/>
        <v>0</v>
      </c>
      <c r="Z22" s="9">
        <f>VLOOKUP(B22,'Components Pivot'!$A$3:$G$25,6,FALSE)</f>
        <v>0</v>
      </c>
      <c r="AA22" s="51">
        <f t="shared" si="13"/>
        <v>0.63873397435897439</v>
      </c>
      <c r="AB22" t="b">
        <f t="shared" si="14"/>
        <v>0</v>
      </c>
      <c r="AC22" s="95">
        <f>VLOOKUP(A22,'Products Pivot'!$A$4:$C$12,3,FALSE)</f>
        <v>0</v>
      </c>
      <c r="AD22" s="51">
        <f t="shared" si="15"/>
        <v>0</v>
      </c>
      <c r="AE22">
        <f t="shared" si="16"/>
        <v>0</v>
      </c>
      <c r="AF22">
        <f t="shared" si="17"/>
        <v>0</v>
      </c>
      <c r="AG22" s="9">
        <f>VLOOKUP(B22,'Components Pivot'!$A$3:$G$25,7,FALSE)</f>
        <v>0</v>
      </c>
      <c r="AH22" s="59">
        <f t="shared" si="18"/>
        <v>13285.666666666668</v>
      </c>
      <c r="AI22">
        <f t="shared" si="19"/>
        <v>449</v>
      </c>
    </row>
    <row r="23" spans="1:35" x14ac:dyDescent="0.25">
      <c r="A23" t="str">
        <f>'Bill of Materials'!A25</f>
        <v>FL100</v>
      </c>
      <c r="B23" t="str">
        <f>'Bill of Materials'!B25</f>
        <v>BS01</v>
      </c>
      <c r="C23" s="12">
        <f>'Bill of Materials'!C25</f>
        <v>4.8</v>
      </c>
      <c r="D23" t="str">
        <f>'Bill of Materials'!D25</f>
        <v>Base Shampoo</v>
      </c>
      <c r="E23">
        <f>VLOOKUP(A23,'The Business'!$A$8:$D$14,4,FALSE)</f>
        <v>200</v>
      </c>
      <c r="F23">
        <f>VLOOKUP(A23,'Item Master'!$A$6:$H$31,F$1,FALSE)</f>
        <v>488</v>
      </c>
      <c r="G23" s="51">
        <f t="shared" si="4"/>
        <v>2.44</v>
      </c>
      <c r="H23">
        <f t="shared" si="0"/>
        <v>0</v>
      </c>
      <c r="I23" s="9">
        <f>MAX(VLOOKUP(B23,'Components Pivot'!$A$3:$G$25,2,FALSE),E23*C23)</f>
        <v>60000</v>
      </c>
      <c r="J23">
        <f>VLOOKUP(B23,'Item Master'!$A$6:$H$31,J$1,FALSE)</f>
        <v>34276</v>
      </c>
      <c r="K23" s="59">
        <f t="shared" si="5"/>
        <v>0</v>
      </c>
      <c r="L23" s="94">
        <f>VLOOKUP(B23,'Components Pivot'!$A$3:$C$25,3,FALSE)</f>
        <v>46248</v>
      </c>
      <c r="M23" s="51">
        <f t="shared" si="6"/>
        <v>1.3420666666666667</v>
      </c>
      <c r="N23" t="b">
        <f t="shared" si="7"/>
        <v>0</v>
      </c>
      <c r="O23" s="51">
        <f>VLOOKUP(A23,'Products Pivot'!$A$4:$C$12,2,FALSE)</f>
        <v>1.3420666666666667</v>
      </c>
      <c r="P23" s="51">
        <f t="shared" si="8"/>
        <v>0</v>
      </c>
      <c r="Q23">
        <f t="shared" si="9"/>
        <v>0</v>
      </c>
      <c r="R23">
        <f t="shared" si="1"/>
        <v>0</v>
      </c>
      <c r="S23" s="94">
        <f>VLOOKUP(B23,'Components Pivot'!$A$3:$D$25,4,FALSE)</f>
        <v>28714.48</v>
      </c>
      <c r="T23">
        <f t="shared" si="10"/>
        <v>488</v>
      </c>
      <c r="U23">
        <f t="shared" si="11"/>
        <v>2.44</v>
      </c>
      <c r="V23" s="9">
        <f t="shared" si="2"/>
        <v>960</v>
      </c>
      <c r="W23" s="9">
        <f>MAX(VLOOKUP(B23,'Components Pivot'!$A$3:$G$25,5,FALSE),E23*C23)</f>
        <v>960</v>
      </c>
      <c r="X23" s="59">
        <f t="shared" si="3"/>
        <v>5561.52</v>
      </c>
      <c r="Y23">
        <f t="shared" si="12"/>
        <v>2342.4</v>
      </c>
      <c r="Z23" s="9">
        <f>VLOOKUP(B23,'Components Pivot'!$A$3:$G$25,6,FALSE)</f>
        <v>2342.4</v>
      </c>
      <c r="AA23" s="51">
        <f t="shared" si="13"/>
        <v>8.23325</v>
      </c>
      <c r="AB23" t="b">
        <f t="shared" si="14"/>
        <v>1</v>
      </c>
      <c r="AC23" s="95">
        <f>VLOOKUP(A23,'Products Pivot'!$A$4:$C$12,3,FALSE)</f>
        <v>4.9308416666666668</v>
      </c>
      <c r="AD23" s="51">
        <f t="shared" si="15"/>
        <v>2.4908416666666668</v>
      </c>
      <c r="AE23">
        <f t="shared" si="16"/>
        <v>498.16833333333335</v>
      </c>
      <c r="AF23">
        <f t="shared" si="17"/>
        <v>2391.2080000000001</v>
      </c>
      <c r="AG23" s="9">
        <f>VLOOKUP(B23,'Components Pivot'!$A$3:$G$25,7,FALSE)</f>
        <v>2391.2080000000001</v>
      </c>
      <c r="AH23" s="59">
        <f t="shared" si="18"/>
        <v>3170.3120000000004</v>
      </c>
      <c r="AI23">
        <f t="shared" si="19"/>
        <v>498</v>
      </c>
    </row>
    <row r="24" spans="1:35" x14ac:dyDescent="0.25">
      <c r="A24" t="str">
        <f>'Bill of Materials'!A26</f>
        <v>FL100</v>
      </c>
      <c r="B24" t="str">
        <f>'Bill of Materials'!B26</f>
        <v>BT100</v>
      </c>
      <c r="C24" s="12">
        <f>'Bill of Materials'!C26</f>
        <v>48</v>
      </c>
      <c r="D24" t="str">
        <f>'Bill of Materials'!D26</f>
        <v>Bottle 100ml</v>
      </c>
      <c r="E24">
        <f>VLOOKUP(A24,'The Business'!$A$8:$D$14,4,FALSE)</f>
        <v>200</v>
      </c>
      <c r="F24">
        <f>VLOOKUP(A24,'Item Master'!$A$6:$H$31,F$1,FALSE)</f>
        <v>488</v>
      </c>
      <c r="G24" s="51">
        <f t="shared" si="4"/>
        <v>2.44</v>
      </c>
      <c r="H24">
        <f t="shared" si="0"/>
        <v>9600</v>
      </c>
      <c r="I24" s="9">
        <f>MAX(VLOOKUP(B24,'Components Pivot'!$A$3:$G$25,2,FALSE),E24*C24)</f>
        <v>57600</v>
      </c>
      <c r="J24">
        <f>VLOOKUP(B24,'Item Master'!$A$6:$H$31,J$1,FALSE)</f>
        <v>122472</v>
      </c>
      <c r="K24" s="59">
        <f t="shared" si="5"/>
        <v>23424</v>
      </c>
      <c r="L24" s="94">
        <f>VLOOKUP(B24,'Components Pivot'!$A$3:$C$25,3,FALSE)</f>
        <v>112416</v>
      </c>
      <c r="M24" s="51">
        <f t="shared" si="6"/>
        <v>4.0779166666666669</v>
      </c>
      <c r="N24" t="b">
        <f t="shared" si="7"/>
        <v>1</v>
      </c>
      <c r="O24" s="51">
        <f>VLOOKUP(A24,'Products Pivot'!$A$4:$C$12,2,FALSE)</f>
        <v>1.3420666666666667</v>
      </c>
      <c r="P24" s="51">
        <f t="shared" si="8"/>
        <v>0</v>
      </c>
      <c r="Q24">
        <f t="shared" si="9"/>
        <v>0</v>
      </c>
      <c r="R24">
        <f t="shared" si="1"/>
        <v>0</v>
      </c>
      <c r="S24" s="94">
        <f>VLOOKUP(B24,'Components Pivot'!$A$3:$D$25,4,FALSE)</f>
        <v>0</v>
      </c>
      <c r="T24">
        <f t="shared" si="10"/>
        <v>488</v>
      </c>
      <c r="U24">
        <f t="shared" si="11"/>
        <v>2.44</v>
      </c>
      <c r="V24" s="9">
        <f t="shared" si="2"/>
        <v>9600</v>
      </c>
      <c r="W24" s="9">
        <f>MAX(VLOOKUP(B24,'Components Pivot'!$A$3:$G$25,5,FALSE),E24*C24)</f>
        <v>9600</v>
      </c>
      <c r="X24" s="59">
        <f t="shared" si="3"/>
        <v>122472</v>
      </c>
      <c r="Y24">
        <f t="shared" si="12"/>
        <v>23424</v>
      </c>
      <c r="Z24" s="9">
        <f>VLOOKUP(B24,'Components Pivot'!$A$3:$G$25,6,FALSE)</f>
        <v>23424</v>
      </c>
      <c r="AA24" s="51">
        <f t="shared" si="13"/>
        <v>15.1975</v>
      </c>
      <c r="AB24" t="b">
        <f t="shared" si="14"/>
        <v>1</v>
      </c>
      <c r="AC24" s="95">
        <f>VLOOKUP(A24,'Products Pivot'!$A$4:$C$12,3,FALSE)</f>
        <v>4.9308416666666668</v>
      </c>
      <c r="AD24" s="51">
        <f t="shared" si="15"/>
        <v>2.4908416666666668</v>
      </c>
      <c r="AE24">
        <f t="shared" si="16"/>
        <v>498.16833333333335</v>
      </c>
      <c r="AF24">
        <f t="shared" si="17"/>
        <v>23912.080000000002</v>
      </c>
      <c r="AG24" s="9">
        <f>VLOOKUP(B24,'Components Pivot'!$A$3:$G$25,7,FALSE)</f>
        <v>23912.080000000002</v>
      </c>
      <c r="AH24" s="59">
        <f t="shared" si="18"/>
        <v>98559.92</v>
      </c>
      <c r="AI24">
        <f t="shared" si="19"/>
        <v>498</v>
      </c>
    </row>
    <row r="25" spans="1:35" x14ac:dyDescent="0.25">
      <c r="A25" t="str">
        <f>'Bill of Materials'!A27</f>
        <v>FL100</v>
      </c>
      <c r="B25" t="str">
        <f>'Bill of Materials'!B27</f>
        <v>CAPF</v>
      </c>
      <c r="C25" s="12">
        <f>'Bill of Materials'!C27</f>
        <v>48</v>
      </c>
      <c r="D25" t="str">
        <f>'Bill of Materials'!D27</f>
        <v>Flip cap</v>
      </c>
      <c r="E25">
        <f>VLOOKUP(A25,'The Business'!$A$8:$D$14,4,FALSE)</f>
        <v>200</v>
      </c>
      <c r="F25">
        <f>VLOOKUP(A25,'Item Master'!$A$6:$H$31,F$1,FALSE)</f>
        <v>488</v>
      </c>
      <c r="G25" s="51">
        <f t="shared" si="4"/>
        <v>2.44</v>
      </c>
      <c r="H25">
        <f t="shared" si="0"/>
        <v>0</v>
      </c>
      <c r="I25" s="9">
        <f>MAX(VLOOKUP(B25,'Components Pivot'!$A$3:$G$25,2,FALSE),E25*C25)</f>
        <v>124800</v>
      </c>
      <c r="J25">
        <f>VLOOKUP(B25,'Item Master'!$A$6:$H$31,J$1,FALSE)</f>
        <v>65738</v>
      </c>
      <c r="K25" s="59">
        <f t="shared" si="5"/>
        <v>0</v>
      </c>
      <c r="L25" s="94">
        <f>VLOOKUP(B25,'Components Pivot'!$A$3:$C$25,3,FALSE)</f>
        <v>125664</v>
      </c>
      <c r="M25" s="51">
        <f t="shared" si="6"/>
        <v>1.5336698717948718</v>
      </c>
      <c r="N25" t="b">
        <f t="shared" si="7"/>
        <v>0</v>
      </c>
      <c r="O25" s="51">
        <f>VLOOKUP(A25,'Products Pivot'!$A$4:$C$12,2,FALSE)</f>
        <v>1.3420666666666667</v>
      </c>
      <c r="P25" s="51">
        <f t="shared" si="8"/>
        <v>0</v>
      </c>
      <c r="Q25">
        <f t="shared" si="9"/>
        <v>0</v>
      </c>
      <c r="R25">
        <f t="shared" si="1"/>
        <v>0</v>
      </c>
      <c r="S25" s="94">
        <f>VLOOKUP(B25,'Components Pivot'!$A$3:$D$25,4,FALSE)</f>
        <v>41825.919999999998</v>
      </c>
      <c r="T25">
        <f t="shared" si="10"/>
        <v>488</v>
      </c>
      <c r="U25">
        <f t="shared" si="11"/>
        <v>2.44</v>
      </c>
      <c r="V25" s="9">
        <f t="shared" si="2"/>
        <v>9600</v>
      </c>
      <c r="W25" s="9">
        <f>MAX(VLOOKUP(B25,'Components Pivot'!$A$3:$G$25,5,FALSE),E25*C25)</f>
        <v>9600</v>
      </c>
      <c r="X25" s="59">
        <f t="shared" si="3"/>
        <v>23912.080000000002</v>
      </c>
      <c r="Y25">
        <f t="shared" si="12"/>
        <v>23424</v>
      </c>
      <c r="Z25" s="9">
        <f>VLOOKUP(B25,'Components Pivot'!$A$3:$G$25,6,FALSE)</f>
        <v>23424</v>
      </c>
      <c r="AA25" s="51">
        <f t="shared" si="13"/>
        <v>4.9308416666666668</v>
      </c>
      <c r="AB25" t="b">
        <f t="shared" si="14"/>
        <v>1</v>
      </c>
      <c r="AC25" s="95">
        <f>VLOOKUP(A25,'Products Pivot'!$A$4:$C$12,3,FALSE)</f>
        <v>4.9308416666666668</v>
      </c>
      <c r="AD25" s="51">
        <f t="shared" si="15"/>
        <v>2.4908416666666668</v>
      </c>
      <c r="AE25">
        <f t="shared" si="16"/>
        <v>498.16833333333335</v>
      </c>
      <c r="AF25">
        <f t="shared" si="17"/>
        <v>23912.080000000002</v>
      </c>
      <c r="AG25" s="9">
        <f>VLOOKUP(B25,'Components Pivot'!$A$3:$G$25,7,FALSE)</f>
        <v>23912.080000000002</v>
      </c>
      <c r="AH25" s="59">
        <f t="shared" si="18"/>
        <v>0</v>
      </c>
      <c r="AI25">
        <f t="shared" si="19"/>
        <v>498</v>
      </c>
    </row>
    <row r="26" spans="1:35" x14ac:dyDescent="0.25">
      <c r="A26" t="str">
        <f>'Bill of Materials'!A28</f>
        <v>FL100</v>
      </c>
      <c r="B26" t="str">
        <f>'Bill of Materials'!B28</f>
        <v>CARS</v>
      </c>
      <c r="C26" s="12">
        <f>'Bill of Materials'!C28</f>
        <v>1</v>
      </c>
      <c r="D26" t="str">
        <f>'Bill of Materials'!D28</f>
        <v>Carton small</v>
      </c>
      <c r="E26">
        <f>VLOOKUP(A26,'The Business'!$A$8:$D$14,4,FALSE)</f>
        <v>200</v>
      </c>
      <c r="F26">
        <f>VLOOKUP(A26,'Item Master'!$A$6:$H$31,F$1,FALSE)</f>
        <v>488</v>
      </c>
      <c r="G26" s="51">
        <f t="shared" si="4"/>
        <v>2.44</v>
      </c>
      <c r="H26">
        <f t="shared" si="0"/>
        <v>200</v>
      </c>
      <c r="I26" s="9">
        <f>MAX(VLOOKUP(B26,'Components Pivot'!$A$3:$G$25,2,FALSE),E26*C26)</f>
        <v>200</v>
      </c>
      <c r="J26">
        <f>VLOOKUP(B26,'Item Master'!$A$6:$H$31,J$1,FALSE)</f>
        <v>998</v>
      </c>
      <c r="K26" s="59">
        <f t="shared" si="5"/>
        <v>488</v>
      </c>
      <c r="L26" s="94">
        <f>VLOOKUP(B26,'Components Pivot'!$A$3:$C$25,3,FALSE)</f>
        <v>488</v>
      </c>
      <c r="M26" s="51">
        <f t="shared" si="6"/>
        <v>7.43</v>
      </c>
      <c r="N26" t="b">
        <f t="shared" si="7"/>
        <v>1</v>
      </c>
      <c r="O26" s="51">
        <f>VLOOKUP(A26,'Products Pivot'!$A$4:$C$12,2,FALSE)</f>
        <v>1.3420666666666667</v>
      </c>
      <c r="P26" s="51">
        <f t="shared" si="8"/>
        <v>0</v>
      </c>
      <c r="Q26">
        <f t="shared" si="9"/>
        <v>0</v>
      </c>
      <c r="R26">
        <f t="shared" si="1"/>
        <v>0</v>
      </c>
      <c r="S26" s="94">
        <f>VLOOKUP(B26,'Components Pivot'!$A$3:$D$25,4,FALSE)</f>
        <v>0</v>
      </c>
      <c r="T26">
        <f t="shared" si="10"/>
        <v>488</v>
      </c>
      <c r="U26">
        <f t="shared" si="11"/>
        <v>2.44</v>
      </c>
      <c r="V26" s="9">
        <f t="shared" si="2"/>
        <v>200</v>
      </c>
      <c r="W26" s="9">
        <f>MAX(VLOOKUP(B26,'Components Pivot'!$A$3:$G$25,5,FALSE),E26*C26)</f>
        <v>200</v>
      </c>
      <c r="X26" s="59">
        <f t="shared" si="3"/>
        <v>998</v>
      </c>
      <c r="Y26">
        <f t="shared" si="12"/>
        <v>488</v>
      </c>
      <c r="Z26" s="9">
        <f>VLOOKUP(B26,'Components Pivot'!$A$3:$G$25,6,FALSE)</f>
        <v>488</v>
      </c>
      <c r="AA26" s="51">
        <f t="shared" si="13"/>
        <v>7.43</v>
      </c>
      <c r="AB26" t="b">
        <f t="shared" si="14"/>
        <v>1</v>
      </c>
      <c r="AC26" s="95">
        <f>VLOOKUP(A26,'Products Pivot'!$A$4:$C$12,3,FALSE)</f>
        <v>4.9308416666666668</v>
      </c>
      <c r="AD26" s="51">
        <f t="shared" si="15"/>
        <v>2.4908416666666668</v>
      </c>
      <c r="AE26">
        <f t="shared" si="16"/>
        <v>498.16833333333335</v>
      </c>
      <c r="AF26">
        <f t="shared" si="17"/>
        <v>498.16833333333335</v>
      </c>
      <c r="AG26" s="9">
        <f>VLOOKUP(B26,'Components Pivot'!$A$3:$G$25,7,FALSE)</f>
        <v>498.16833333333335</v>
      </c>
      <c r="AH26" s="59">
        <f t="shared" si="18"/>
        <v>499.83166666666665</v>
      </c>
      <c r="AI26">
        <f t="shared" si="19"/>
        <v>498</v>
      </c>
    </row>
    <row r="27" spans="1:35" x14ac:dyDescent="0.25">
      <c r="A27" t="str">
        <f>'Bill of Materials'!A29</f>
        <v>FL100</v>
      </c>
      <c r="B27" t="str">
        <f>'Bill of Materials'!B29</f>
        <v>ESL</v>
      </c>
      <c r="C27" s="12">
        <f>'Bill of Materials'!C29</f>
        <v>4.8000000000000001E-2</v>
      </c>
      <c r="D27" t="str">
        <f>'Bill of Materials'!D29</f>
        <v>Lemon essence</v>
      </c>
      <c r="E27">
        <f>VLOOKUP(A27,'The Business'!$A$8:$D$14,4,FALSE)</f>
        <v>200</v>
      </c>
      <c r="F27">
        <f>VLOOKUP(A27,'Item Master'!$A$6:$H$31,F$1,FALSE)</f>
        <v>488</v>
      </c>
      <c r="G27" s="51">
        <f t="shared" si="4"/>
        <v>2.44</v>
      </c>
      <c r="H27">
        <f t="shared" si="0"/>
        <v>9.6</v>
      </c>
      <c r="I27" s="9">
        <f>MAX(VLOOKUP(B27,'Components Pivot'!$A$3:$G$25,2,FALSE),E27*C27)</f>
        <v>345.6</v>
      </c>
      <c r="J27">
        <f>VLOOKUP(B27,'Item Master'!$A$6:$H$31,J$1,FALSE)</f>
        <v>1002</v>
      </c>
      <c r="K27" s="59">
        <f t="shared" si="5"/>
        <v>23.423999999999999</v>
      </c>
      <c r="L27" s="94">
        <f>VLOOKUP(B27,'Components Pivot'!$A$3:$C$25,3,FALSE)</f>
        <v>253.10399999999998</v>
      </c>
      <c r="M27" s="51">
        <f t="shared" si="6"/>
        <v>3.6316666666666664</v>
      </c>
      <c r="N27" t="b">
        <f t="shared" si="7"/>
        <v>1</v>
      </c>
      <c r="O27" s="51">
        <f>VLOOKUP(A27,'Products Pivot'!$A$4:$C$12,2,FALSE)</f>
        <v>1.3420666666666667</v>
      </c>
      <c r="P27" s="51">
        <f t="shared" si="8"/>
        <v>0</v>
      </c>
      <c r="Q27">
        <f t="shared" si="9"/>
        <v>0</v>
      </c>
      <c r="R27">
        <f t="shared" si="1"/>
        <v>0</v>
      </c>
      <c r="S27" s="94">
        <f>VLOOKUP(B27,'Components Pivot'!$A$3:$D$25,4,FALSE)</f>
        <v>184.17759999999998</v>
      </c>
      <c r="T27">
        <f t="shared" si="10"/>
        <v>488</v>
      </c>
      <c r="U27">
        <f t="shared" si="11"/>
        <v>2.44</v>
      </c>
      <c r="V27" s="9">
        <f t="shared" si="2"/>
        <v>9.6</v>
      </c>
      <c r="W27" s="9">
        <f>MAX(VLOOKUP(B27,'Components Pivot'!$A$3:$G$25,5,FALSE),E27*C27)</f>
        <v>9.6</v>
      </c>
      <c r="X27" s="59">
        <f t="shared" si="3"/>
        <v>817.82240000000002</v>
      </c>
      <c r="Y27">
        <f t="shared" si="12"/>
        <v>23.423999999999999</v>
      </c>
      <c r="Z27" s="9">
        <f>VLOOKUP(B27,'Components Pivot'!$A$3:$G$25,6,FALSE)</f>
        <v>23.423999999999999</v>
      </c>
      <c r="AA27" s="51">
        <f t="shared" si="13"/>
        <v>87.629833333333337</v>
      </c>
      <c r="AB27" t="b">
        <f t="shared" si="14"/>
        <v>1</v>
      </c>
      <c r="AC27" s="95">
        <f>VLOOKUP(A27,'Products Pivot'!$A$4:$C$12,3,FALSE)</f>
        <v>4.9308416666666668</v>
      </c>
      <c r="AD27" s="51">
        <f t="shared" si="15"/>
        <v>2.4908416666666668</v>
      </c>
      <c r="AE27">
        <f t="shared" si="16"/>
        <v>498.16833333333335</v>
      </c>
      <c r="AF27">
        <f t="shared" si="17"/>
        <v>23.912080000000003</v>
      </c>
      <c r="AG27" s="9">
        <f>VLOOKUP(B27,'Components Pivot'!$A$3:$G$25,7,FALSE)</f>
        <v>23.912080000000003</v>
      </c>
      <c r="AH27" s="59">
        <f t="shared" si="18"/>
        <v>793.91031999999996</v>
      </c>
      <c r="AI27">
        <f t="shared" si="19"/>
        <v>498</v>
      </c>
    </row>
    <row r="28" spans="1:35" x14ac:dyDescent="0.25">
      <c r="A28" t="str">
        <f>'Bill of Materials'!A30</f>
        <v>FL100</v>
      </c>
      <c r="B28" t="str">
        <f>'Bill of Materials'!B30</f>
        <v>LFL10</v>
      </c>
      <c r="C28" s="12">
        <f>'Bill of Materials'!C30</f>
        <v>50</v>
      </c>
      <c r="D28" t="str">
        <f>'Bill of Materials'!D30</f>
        <v>Label Fragrant Lemon 100ml</v>
      </c>
      <c r="E28">
        <f>VLOOKUP(A28,'The Business'!$A$8:$D$14,4,FALSE)</f>
        <v>200</v>
      </c>
      <c r="F28">
        <f>VLOOKUP(A28,'Item Master'!$A$6:$H$31,F$1,FALSE)</f>
        <v>488</v>
      </c>
      <c r="G28" s="51">
        <f t="shared" si="4"/>
        <v>2.44</v>
      </c>
      <c r="H28">
        <f t="shared" si="0"/>
        <v>10000</v>
      </c>
      <c r="I28" s="9">
        <f>MAX(VLOOKUP(B28,'Components Pivot'!$A$3:$G$25,2,FALSE),E28*C28)</f>
        <v>10000</v>
      </c>
      <c r="J28">
        <f>VLOOKUP(B28,'Item Master'!$A$6:$H$31,J$1,FALSE)</f>
        <v>32140</v>
      </c>
      <c r="K28" s="59">
        <f t="shared" si="5"/>
        <v>24400</v>
      </c>
      <c r="L28" s="94">
        <f>VLOOKUP(B28,'Components Pivot'!$A$3:$C$25,3,FALSE)</f>
        <v>24400</v>
      </c>
      <c r="M28" s="51">
        <f t="shared" si="6"/>
        <v>5.6539999999999999</v>
      </c>
      <c r="N28" t="b">
        <f t="shared" si="7"/>
        <v>1</v>
      </c>
      <c r="O28" s="51">
        <f>VLOOKUP(A28,'Products Pivot'!$A$4:$C$12,2,FALSE)</f>
        <v>1.3420666666666667</v>
      </c>
      <c r="P28" s="51">
        <f t="shared" si="8"/>
        <v>0</v>
      </c>
      <c r="Q28">
        <f t="shared" si="9"/>
        <v>0</v>
      </c>
      <c r="R28">
        <f t="shared" si="1"/>
        <v>0</v>
      </c>
      <c r="S28" s="94">
        <f>VLOOKUP(B28,'Components Pivot'!$A$3:$D$25,4,FALSE)</f>
        <v>0</v>
      </c>
      <c r="T28">
        <f t="shared" si="10"/>
        <v>488</v>
      </c>
      <c r="U28">
        <f t="shared" si="11"/>
        <v>2.44</v>
      </c>
      <c r="V28" s="9">
        <f t="shared" si="2"/>
        <v>10000</v>
      </c>
      <c r="W28" s="9">
        <f>MAX(VLOOKUP(B28,'Components Pivot'!$A$3:$G$25,5,FALSE),E28*C28)</f>
        <v>10000</v>
      </c>
      <c r="X28" s="59">
        <f t="shared" si="3"/>
        <v>32140</v>
      </c>
      <c r="Y28">
        <f t="shared" si="12"/>
        <v>24400</v>
      </c>
      <c r="Z28" s="9">
        <f>VLOOKUP(B28,'Components Pivot'!$A$3:$G$25,6,FALSE)</f>
        <v>24400</v>
      </c>
      <c r="AA28" s="51">
        <f t="shared" si="13"/>
        <v>5.6539999999999999</v>
      </c>
      <c r="AB28" t="b">
        <f t="shared" si="14"/>
        <v>1</v>
      </c>
      <c r="AC28" s="95">
        <f>VLOOKUP(A28,'Products Pivot'!$A$4:$C$12,3,FALSE)</f>
        <v>4.9308416666666668</v>
      </c>
      <c r="AD28" s="51">
        <f t="shared" si="15"/>
        <v>2.4908416666666668</v>
      </c>
      <c r="AE28">
        <f t="shared" si="16"/>
        <v>498.16833333333335</v>
      </c>
      <c r="AF28">
        <f t="shared" si="17"/>
        <v>24908.416666666668</v>
      </c>
      <c r="AG28" s="9">
        <f>VLOOKUP(B28,'Components Pivot'!$A$3:$G$25,7,FALSE)</f>
        <v>24908.416666666668</v>
      </c>
      <c r="AH28" s="59">
        <f t="shared" si="18"/>
        <v>7231.5833333333321</v>
      </c>
      <c r="AI28">
        <f t="shared" si="19"/>
        <v>498</v>
      </c>
    </row>
    <row r="29" spans="1:35" x14ac:dyDescent="0.25">
      <c r="A29" t="str">
        <f>'Bill of Materials'!A31</f>
        <v>FL250</v>
      </c>
      <c r="B29" t="str">
        <f>'Bill of Materials'!B31</f>
        <v>BS01</v>
      </c>
      <c r="C29" s="12">
        <f>'Bill of Materials'!C31</f>
        <v>12</v>
      </c>
      <c r="D29" t="str">
        <f>'Bill of Materials'!D31</f>
        <v>Base Shampoo</v>
      </c>
      <c r="E29">
        <f>VLOOKUP(A29,'The Business'!$A$8:$D$14,4,FALSE)</f>
        <v>1200</v>
      </c>
      <c r="F29">
        <f>VLOOKUP(A29,'Item Master'!$A$6:$H$31,F$1,FALSE)</f>
        <v>1148</v>
      </c>
      <c r="G29" s="51">
        <f t="shared" si="4"/>
        <v>0.95666666666666667</v>
      </c>
      <c r="H29">
        <f t="shared" si="0"/>
        <v>14400</v>
      </c>
      <c r="I29" s="9">
        <f>MAX(VLOOKUP(B29,'Components Pivot'!$A$3:$G$25,2,FALSE),E29*C29)</f>
        <v>60000</v>
      </c>
      <c r="J29">
        <f>VLOOKUP(B29,'Item Master'!$A$6:$H$31,J$1,FALSE)</f>
        <v>34276</v>
      </c>
      <c r="K29" s="59">
        <f t="shared" si="5"/>
        <v>13776</v>
      </c>
      <c r="L29" s="94">
        <f>VLOOKUP(B29,'Components Pivot'!$A$3:$C$25,3,FALSE)</f>
        <v>46248</v>
      </c>
      <c r="M29" s="51">
        <f t="shared" si="6"/>
        <v>1.3420666666666667</v>
      </c>
      <c r="N29" t="b">
        <f t="shared" si="7"/>
        <v>1</v>
      </c>
      <c r="O29" s="51">
        <f>VLOOKUP(A29,'Products Pivot'!$A$4:$C$12,2,FALSE)</f>
        <v>1.3420666666666667</v>
      </c>
      <c r="P29" s="51">
        <f t="shared" si="8"/>
        <v>0.38540000000000008</v>
      </c>
      <c r="Q29">
        <f t="shared" si="9"/>
        <v>462.48000000000008</v>
      </c>
      <c r="R29">
        <f t="shared" si="1"/>
        <v>5549.7600000000011</v>
      </c>
      <c r="S29" s="94">
        <f>VLOOKUP(B29,'Components Pivot'!$A$3:$D$25,4,FALSE)</f>
        <v>28714.48</v>
      </c>
      <c r="T29">
        <f t="shared" si="10"/>
        <v>1610.48</v>
      </c>
      <c r="U29">
        <f t="shared" si="11"/>
        <v>1.3420666666666667</v>
      </c>
      <c r="V29" s="9">
        <f t="shared" si="2"/>
        <v>0</v>
      </c>
      <c r="W29" s="9">
        <f>MAX(VLOOKUP(B29,'Components Pivot'!$A$3:$G$25,5,FALSE),E29*C29)</f>
        <v>14400</v>
      </c>
      <c r="X29" s="59">
        <f t="shared" si="3"/>
        <v>5561.52</v>
      </c>
      <c r="Y29">
        <f t="shared" si="12"/>
        <v>0</v>
      </c>
      <c r="Z29" s="9">
        <f>VLOOKUP(B29,'Components Pivot'!$A$3:$G$25,6,FALSE)</f>
        <v>2342.4</v>
      </c>
      <c r="AA29" s="51">
        <f t="shared" si="13"/>
        <v>0.54888333333333339</v>
      </c>
      <c r="AB29" t="b">
        <f t="shared" si="14"/>
        <v>0</v>
      </c>
      <c r="AC29" s="95">
        <f>VLOOKUP(A29,'Products Pivot'!$A$4:$C$12,3,FALSE)</f>
        <v>0.54888333333333339</v>
      </c>
      <c r="AD29" s="51">
        <f t="shared" si="15"/>
        <v>0</v>
      </c>
      <c r="AE29">
        <f t="shared" si="16"/>
        <v>0</v>
      </c>
      <c r="AF29">
        <f t="shared" si="17"/>
        <v>0</v>
      </c>
      <c r="AG29" s="9">
        <f>VLOOKUP(B29,'Components Pivot'!$A$3:$G$25,7,FALSE)</f>
        <v>2391.2080000000001</v>
      </c>
      <c r="AH29" s="59">
        <f t="shared" si="18"/>
        <v>3170.3120000000004</v>
      </c>
      <c r="AI29">
        <f t="shared" si="19"/>
        <v>462</v>
      </c>
    </row>
    <row r="30" spans="1:35" x14ac:dyDescent="0.25">
      <c r="A30" t="str">
        <f>'Bill of Materials'!A32</f>
        <v>FL250</v>
      </c>
      <c r="B30" t="str">
        <f>'Bill of Materials'!B32</f>
        <v>BT250</v>
      </c>
      <c r="C30" s="12">
        <f>'Bill of Materials'!C32</f>
        <v>48</v>
      </c>
      <c r="D30" t="str">
        <f>'Bill of Materials'!D32</f>
        <v>Bottle 250ml</v>
      </c>
      <c r="E30">
        <f>VLOOKUP(A30,'The Business'!$A$8:$D$14,4,FALSE)</f>
        <v>1200</v>
      </c>
      <c r="F30">
        <f>VLOOKUP(A30,'Item Master'!$A$6:$H$31,F$1,FALSE)</f>
        <v>1148</v>
      </c>
      <c r="G30" s="51">
        <f t="shared" si="4"/>
        <v>0.95666666666666667</v>
      </c>
      <c r="H30">
        <f t="shared" si="0"/>
        <v>57600</v>
      </c>
      <c r="I30" s="9">
        <f>MAX(VLOOKUP(B30,'Components Pivot'!$A$3:$G$25,2,FALSE),E30*C30)</f>
        <v>124800</v>
      </c>
      <c r="J30">
        <f>VLOOKUP(B30,'Item Master'!$A$6:$H$31,J$1,FALSE)</f>
        <v>184968</v>
      </c>
      <c r="K30" s="59">
        <f t="shared" si="5"/>
        <v>55104</v>
      </c>
      <c r="L30" s="94">
        <f>VLOOKUP(B30,'Components Pivot'!$A$3:$C$25,3,FALSE)</f>
        <v>125664</v>
      </c>
      <c r="M30" s="51">
        <f t="shared" si="6"/>
        <v>2.4890384615384615</v>
      </c>
      <c r="N30" t="b">
        <f t="shared" si="7"/>
        <v>1</v>
      </c>
      <c r="O30" s="51">
        <f>VLOOKUP(A30,'Products Pivot'!$A$4:$C$12,2,FALSE)</f>
        <v>1.3420666666666667</v>
      </c>
      <c r="P30" s="51">
        <f t="shared" si="8"/>
        <v>0.38540000000000008</v>
      </c>
      <c r="Q30">
        <f t="shared" si="9"/>
        <v>462.48000000000008</v>
      </c>
      <c r="R30">
        <f t="shared" si="1"/>
        <v>22199.040000000005</v>
      </c>
      <c r="S30" s="94">
        <f>VLOOKUP(B30,'Components Pivot'!$A$3:$D$25,4,FALSE)</f>
        <v>41825.919999999998</v>
      </c>
      <c r="T30">
        <f t="shared" si="10"/>
        <v>1610.48</v>
      </c>
      <c r="U30">
        <f t="shared" si="11"/>
        <v>1.3420666666666667</v>
      </c>
      <c r="V30" s="9">
        <f t="shared" si="2"/>
        <v>0</v>
      </c>
      <c r="W30" s="9">
        <f>MAX(VLOOKUP(B30,'Components Pivot'!$A$3:$G$25,5,FALSE),E30*C30)</f>
        <v>57600</v>
      </c>
      <c r="X30" s="59">
        <f t="shared" si="3"/>
        <v>143142.08000000002</v>
      </c>
      <c r="Y30">
        <f t="shared" si="12"/>
        <v>0</v>
      </c>
      <c r="Z30" s="9">
        <f>VLOOKUP(B30,'Components Pivot'!$A$3:$G$25,6,FALSE)</f>
        <v>0</v>
      </c>
      <c r="AA30" s="51">
        <f t="shared" si="13"/>
        <v>2.4851055555555557</v>
      </c>
      <c r="AB30" t="b">
        <f t="shared" si="14"/>
        <v>0</v>
      </c>
      <c r="AC30" s="95">
        <f>VLOOKUP(A30,'Products Pivot'!$A$4:$C$12,3,FALSE)</f>
        <v>0.54888333333333339</v>
      </c>
      <c r="AD30" s="51">
        <f t="shared" si="15"/>
        <v>0</v>
      </c>
      <c r="AE30">
        <f t="shared" si="16"/>
        <v>0</v>
      </c>
      <c r="AF30">
        <f t="shared" si="17"/>
        <v>0</v>
      </c>
      <c r="AG30" s="9">
        <f>VLOOKUP(B30,'Components Pivot'!$A$3:$G$25,7,FALSE)</f>
        <v>0</v>
      </c>
      <c r="AH30" s="59">
        <f t="shared" si="18"/>
        <v>143142.08000000002</v>
      </c>
      <c r="AI30">
        <f t="shared" si="19"/>
        <v>462</v>
      </c>
    </row>
    <row r="31" spans="1:35" x14ac:dyDescent="0.25">
      <c r="A31" t="str">
        <f>'Bill of Materials'!A33</f>
        <v>FL250</v>
      </c>
      <c r="B31" t="str">
        <f>'Bill of Materials'!B33</f>
        <v>CAPF</v>
      </c>
      <c r="C31" s="12">
        <f>'Bill of Materials'!C33</f>
        <v>48</v>
      </c>
      <c r="D31" t="str">
        <f>'Bill of Materials'!D33</f>
        <v>Flip cap</v>
      </c>
      <c r="E31">
        <f>VLOOKUP(A31,'The Business'!$A$8:$D$14,4,FALSE)</f>
        <v>1200</v>
      </c>
      <c r="F31">
        <f>VLOOKUP(A31,'Item Master'!$A$6:$H$31,F$1,FALSE)</f>
        <v>1148</v>
      </c>
      <c r="G31" s="51">
        <f t="shared" si="4"/>
        <v>0.95666666666666667</v>
      </c>
      <c r="H31">
        <f t="shared" si="0"/>
        <v>57600</v>
      </c>
      <c r="I31" s="9">
        <f>MAX(VLOOKUP(B31,'Components Pivot'!$A$3:$G$25,2,FALSE),E31*C31)</f>
        <v>124800</v>
      </c>
      <c r="J31">
        <f>VLOOKUP(B31,'Item Master'!$A$6:$H$31,J$1,FALSE)</f>
        <v>65738</v>
      </c>
      <c r="K31" s="59">
        <f t="shared" si="5"/>
        <v>55104</v>
      </c>
      <c r="L31" s="94">
        <f>VLOOKUP(B31,'Components Pivot'!$A$3:$C$25,3,FALSE)</f>
        <v>125664</v>
      </c>
      <c r="M31" s="51">
        <f t="shared" si="6"/>
        <v>1.5336698717948718</v>
      </c>
      <c r="N31" t="b">
        <f t="shared" si="7"/>
        <v>1</v>
      </c>
      <c r="O31" s="51">
        <f>VLOOKUP(A31,'Products Pivot'!$A$4:$C$12,2,FALSE)</f>
        <v>1.3420666666666667</v>
      </c>
      <c r="P31" s="51">
        <f t="shared" si="8"/>
        <v>0.38540000000000008</v>
      </c>
      <c r="Q31">
        <f t="shared" si="9"/>
        <v>462.48000000000008</v>
      </c>
      <c r="R31">
        <f t="shared" si="1"/>
        <v>22199.040000000005</v>
      </c>
      <c r="S31" s="94">
        <f>VLOOKUP(B31,'Components Pivot'!$A$3:$D$25,4,FALSE)</f>
        <v>41825.919999999998</v>
      </c>
      <c r="T31">
        <f t="shared" si="10"/>
        <v>1610.48</v>
      </c>
      <c r="U31">
        <f t="shared" si="11"/>
        <v>1.3420666666666667</v>
      </c>
      <c r="V31" s="9">
        <f t="shared" si="2"/>
        <v>0</v>
      </c>
      <c r="W31" s="9">
        <f>MAX(VLOOKUP(B31,'Components Pivot'!$A$3:$G$25,5,FALSE),E31*C31)</f>
        <v>57600</v>
      </c>
      <c r="X31" s="59">
        <f t="shared" si="3"/>
        <v>23912.080000000002</v>
      </c>
      <c r="Y31">
        <f t="shared" si="12"/>
        <v>0</v>
      </c>
      <c r="Z31" s="9">
        <f>VLOOKUP(B31,'Components Pivot'!$A$3:$G$25,6,FALSE)</f>
        <v>23424</v>
      </c>
      <c r="AA31" s="51">
        <f t="shared" si="13"/>
        <v>0.82180694444444446</v>
      </c>
      <c r="AB31" t="b">
        <f t="shared" si="14"/>
        <v>0</v>
      </c>
      <c r="AC31" s="95">
        <f>VLOOKUP(A31,'Products Pivot'!$A$4:$C$12,3,FALSE)</f>
        <v>0.54888333333333339</v>
      </c>
      <c r="AD31" s="51">
        <f t="shared" si="15"/>
        <v>0</v>
      </c>
      <c r="AE31">
        <f t="shared" si="16"/>
        <v>0</v>
      </c>
      <c r="AF31">
        <f t="shared" si="17"/>
        <v>0</v>
      </c>
      <c r="AG31" s="9">
        <f>VLOOKUP(B31,'Components Pivot'!$A$3:$G$25,7,FALSE)</f>
        <v>23912.080000000002</v>
      </c>
      <c r="AH31" s="59">
        <f t="shared" si="18"/>
        <v>0</v>
      </c>
      <c r="AI31">
        <f t="shared" si="19"/>
        <v>462</v>
      </c>
    </row>
    <row r="32" spans="1:35" x14ac:dyDescent="0.25">
      <c r="A32" t="str">
        <f>'Bill of Materials'!A34</f>
        <v>FL250</v>
      </c>
      <c r="B32" t="str">
        <f>'Bill of Materials'!B34</f>
        <v>CARL</v>
      </c>
      <c r="C32" s="12">
        <f>'Bill of Materials'!C34</f>
        <v>1</v>
      </c>
      <c r="D32" t="str">
        <f>'Bill of Materials'!D34</f>
        <v>Carton large</v>
      </c>
      <c r="E32">
        <f>VLOOKUP(A32,'The Business'!$A$8:$D$14,4,FALSE)</f>
        <v>1200</v>
      </c>
      <c r="F32">
        <f>VLOOKUP(A32,'Item Master'!$A$6:$H$31,F$1,FALSE)</f>
        <v>1148</v>
      </c>
      <c r="G32" s="51">
        <f t="shared" si="4"/>
        <v>0.95666666666666667</v>
      </c>
      <c r="H32">
        <f t="shared" si="0"/>
        <v>1200</v>
      </c>
      <c r="I32" s="9">
        <f>MAX(VLOOKUP(B32,'Components Pivot'!$A$3:$G$25,2,FALSE),E32*C32)</f>
        <v>5000</v>
      </c>
      <c r="J32">
        <f>VLOOKUP(B32,'Item Master'!$A$6:$H$31,J$1,FALSE)</f>
        <v>4368</v>
      </c>
      <c r="K32" s="59">
        <f t="shared" si="5"/>
        <v>1148</v>
      </c>
      <c r="L32" s="94">
        <f>VLOOKUP(B32,'Components Pivot'!$A$3:$C$25,3,FALSE)</f>
        <v>3854</v>
      </c>
      <c r="M32" s="51">
        <f t="shared" si="6"/>
        <v>1.6444000000000001</v>
      </c>
      <c r="N32" t="b">
        <f t="shared" si="7"/>
        <v>1</v>
      </c>
      <c r="O32" s="51">
        <f>VLOOKUP(A32,'Products Pivot'!$A$4:$C$12,2,FALSE)</f>
        <v>1.3420666666666667</v>
      </c>
      <c r="P32" s="51">
        <f t="shared" si="8"/>
        <v>0.38540000000000008</v>
      </c>
      <c r="Q32">
        <f t="shared" si="9"/>
        <v>462.48000000000008</v>
      </c>
      <c r="R32">
        <f t="shared" si="1"/>
        <v>462.48000000000008</v>
      </c>
      <c r="S32" s="94">
        <f>VLOOKUP(B32,'Components Pivot'!$A$3:$D$25,4,FALSE)</f>
        <v>2392.873333333333</v>
      </c>
      <c r="T32">
        <f t="shared" si="10"/>
        <v>1610.48</v>
      </c>
      <c r="U32">
        <f t="shared" si="11"/>
        <v>1.3420666666666667</v>
      </c>
      <c r="V32" s="9">
        <f t="shared" si="2"/>
        <v>0</v>
      </c>
      <c r="W32" s="9">
        <f>MAX(VLOOKUP(B32,'Components Pivot'!$A$3:$G$25,5,FALSE),E32*C32)</f>
        <v>1200</v>
      </c>
      <c r="X32" s="59">
        <f t="shared" si="3"/>
        <v>1975.126666666667</v>
      </c>
      <c r="Y32">
        <f t="shared" si="12"/>
        <v>0</v>
      </c>
      <c r="Z32" s="9">
        <f>VLOOKUP(B32,'Components Pivot'!$A$3:$G$25,6,FALSE)</f>
        <v>0</v>
      </c>
      <c r="AA32" s="51">
        <f t="shared" si="13"/>
        <v>1.6459388888888891</v>
      </c>
      <c r="AB32" t="b">
        <f t="shared" si="14"/>
        <v>0</v>
      </c>
      <c r="AC32" s="95">
        <f>VLOOKUP(A32,'Products Pivot'!$A$4:$C$12,3,FALSE)</f>
        <v>0.54888333333333339</v>
      </c>
      <c r="AD32" s="51">
        <f t="shared" si="15"/>
        <v>0</v>
      </c>
      <c r="AE32">
        <f t="shared" si="16"/>
        <v>0</v>
      </c>
      <c r="AF32">
        <f t="shared" si="17"/>
        <v>0</v>
      </c>
      <c r="AG32" s="9">
        <f>VLOOKUP(B32,'Components Pivot'!$A$3:$G$25,7,FALSE)</f>
        <v>0</v>
      </c>
      <c r="AH32" s="59">
        <f t="shared" si="18"/>
        <v>1975.126666666667</v>
      </c>
      <c r="AI32">
        <f t="shared" si="19"/>
        <v>462</v>
      </c>
    </row>
    <row r="33" spans="1:35" x14ac:dyDescent="0.25">
      <c r="A33" t="str">
        <f>'Bill of Materials'!A35</f>
        <v>FL250</v>
      </c>
      <c r="B33" t="str">
        <f>'Bill of Materials'!B35</f>
        <v>ESL</v>
      </c>
      <c r="C33" s="12">
        <f>'Bill of Materials'!C35</f>
        <v>0.12</v>
      </c>
      <c r="D33" t="str">
        <f>'Bill of Materials'!D35</f>
        <v>Lemon essence</v>
      </c>
      <c r="E33">
        <f>VLOOKUP(A33,'The Business'!$A$8:$D$14,4,FALSE)</f>
        <v>1200</v>
      </c>
      <c r="F33">
        <f>VLOOKUP(A33,'Item Master'!$A$6:$H$31,F$1,FALSE)</f>
        <v>1148</v>
      </c>
      <c r="G33" s="51">
        <f t="shared" si="4"/>
        <v>0.95666666666666667</v>
      </c>
      <c r="H33">
        <f t="shared" si="0"/>
        <v>144</v>
      </c>
      <c r="I33" s="9">
        <f>MAX(VLOOKUP(B33,'Components Pivot'!$A$3:$G$25,2,FALSE),E33*C33)</f>
        <v>345.6</v>
      </c>
      <c r="J33">
        <f>VLOOKUP(B33,'Item Master'!$A$6:$H$31,J$1,FALSE)</f>
        <v>1002</v>
      </c>
      <c r="K33" s="59">
        <f t="shared" si="5"/>
        <v>137.76</v>
      </c>
      <c r="L33" s="94">
        <f>VLOOKUP(B33,'Components Pivot'!$A$3:$C$25,3,FALSE)</f>
        <v>253.10399999999998</v>
      </c>
      <c r="M33" s="51">
        <f t="shared" si="6"/>
        <v>3.6316666666666664</v>
      </c>
      <c r="N33" t="b">
        <f t="shared" si="7"/>
        <v>1</v>
      </c>
      <c r="O33" s="51">
        <f>VLOOKUP(A33,'Products Pivot'!$A$4:$C$12,2,FALSE)</f>
        <v>1.3420666666666667</v>
      </c>
      <c r="P33" s="51">
        <f t="shared" si="8"/>
        <v>0.38540000000000008</v>
      </c>
      <c r="Q33">
        <f t="shared" si="9"/>
        <v>462.48000000000008</v>
      </c>
      <c r="R33">
        <f t="shared" si="1"/>
        <v>55.497600000000006</v>
      </c>
      <c r="S33" s="94">
        <f>VLOOKUP(B33,'Components Pivot'!$A$3:$D$25,4,FALSE)</f>
        <v>184.17759999999998</v>
      </c>
      <c r="T33">
        <f t="shared" si="10"/>
        <v>1610.48</v>
      </c>
      <c r="U33">
        <f t="shared" si="11"/>
        <v>1.3420666666666667</v>
      </c>
      <c r="V33" s="9">
        <f t="shared" si="2"/>
        <v>0</v>
      </c>
      <c r="W33" s="9">
        <f>MAX(VLOOKUP(B33,'Components Pivot'!$A$3:$G$25,5,FALSE),E33*C33)</f>
        <v>144</v>
      </c>
      <c r="X33" s="59">
        <f t="shared" si="3"/>
        <v>817.82240000000002</v>
      </c>
      <c r="Y33">
        <f t="shared" si="12"/>
        <v>0</v>
      </c>
      <c r="Z33" s="9">
        <f>VLOOKUP(B33,'Components Pivot'!$A$3:$G$25,6,FALSE)</f>
        <v>23.423999999999999</v>
      </c>
      <c r="AA33" s="51">
        <f t="shared" si="13"/>
        <v>5.8419888888888885</v>
      </c>
      <c r="AB33" t="b">
        <f t="shared" si="14"/>
        <v>0</v>
      </c>
      <c r="AC33" s="95">
        <f>VLOOKUP(A33,'Products Pivot'!$A$4:$C$12,3,FALSE)</f>
        <v>0.54888333333333339</v>
      </c>
      <c r="AD33" s="51">
        <f t="shared" si="15"/>
        <v>0</v>
      </c>
      <c r="AE33">
        <f t="shared" si="16"/>
        <v>0</v>
      </c>
      <c r="AF33">
        <f t="shared" si="17"/>
        <v>0</v>
      </c>
      <c r="AG33" s="9">
        <f>VLOOKUP(B33,'Components Pivot'!$A$3:$G$25,7,FALSE)</f>
        <v>23.912080000000003</v>
      </c>
      <c r="AH33" s="59">
        <f t="shared" si="18"/>
        <v>793.91031999999996</v>
      </c>
      <c r="AI33">
        <f t="shared" si="19"/>
        <v>462</v>
      </c>
    </row>
    <row r="34" spans="1:35" x14ac:dyDescent="0.25">
      <c r="A34" t="str">
        <f>'Bill of Materials'!A36</f>
        <v>FL250</v>
      </c>
      <c r="B34" t="str">
        <f>'Bill of Materials'!B36</f>
        <v>LFL25</v>
      </c>
      <c r="C34" s="12">
        <f>'Bill of Materials'!C36</f>
        <v>50</v>
      </c>
      <c r="D34" t="str">
        <f>'Bill of Materials'!D36</f>
        <v>Label Fragrant Lemon 250ml</v>
      </c>
      <c r="E34">
        <f>VLOOKUP(A34,'The Business'!$A$8:$D$14,4,FALSE)</f>
        <v>1200</v>
      </c>
      <c r="F34">
        <f>VLOOKUP(A34,'Item Master'!$A$6:$H$31,F$1,FALSE)</f>
        <v>1148</v>
      </c>
      <c r="G34" s="51">
        <f t="shared" si="4"/>
        <v>0.95666666666666667</v>
      </c>
      <c r="H34">
        <f t="shared" si="0"/>
        <v>60000</v>
      </c>
      <c r="I34" s="9">
        <f>MAX(VLOOKUP(B34,'Components Pivot'!$A$3:$G$25,2,FALSE),E34*C34)</f>
        <v>60000</v>
      </c>
      <c r="J34">
        <f>VLOOKUP(B34,'Item Master'!$A$6:$H$31,J$1,FALSE)</f>
        <v>83496</v>
      </c>
      <c r="K34" s="59">
        <f t="shared" si="5"/>
        <v>57400</v>
      </c>
      <c r="L34" s="94">
        <f>VLOOKUP(B34,'Components Pivot'!$A$3:$C$25,3,FALSE)</f>
        <v>57400</v>
      </c>
      <c r="M34" s="51">
        <f t="shared" si="6"/>
        <v>2.3482666666666665</v>
      </c>
      <c r="N34" t="b">
        <f t="shared" si="7"/>
        <v>1</v>
      </c>
      <c r="O34" s="51">
        <f>VLOOKUP(A34,'Products Pivot'!$A$4:$C$12,2,FALSE)</f>
        <v>1.3420666666666667</v>
      </c>
      <c r="P34" s="51">
        <f t="shared" si="8"/>
        <v>0.38540000000000008</v>
      </c>
      <c r="Q34">
        <f t="shared" si="9"/>
        <v>462.48000000000008</v>
      </c>
      <c r="R34">
        <f t="shared" si="1"/>
        <v>23124.000000000004</v>
      </c>
      <c r="S34" s="94">
        <f>VLOOKUP(B34,'Components Pivot'!$A$3:$D$25,4,FALSE)</f>
        <v>23124</v>
      </c>
      <c r="T34">
        <f t="shared" si="10"/>
        <v>1610.48</v>
      </c>
      <c r="U34">
        <f t="shared" si="11"/>
        <v>1.3420666666666667</v>
      </c>
      <c r="V34" s="9">
        <f t="shared" si="2"/>
        <v>0</v>
      </c>
      <c r="W34" s="9">
        <f>MAX(VLOOKUP(B34,'Components Pivot'!$A$3:$G$25,5,FALSE),E34*C34)</f>
        <v>60000</v>
      </c>
      <c r="X34" s="59">
        <f t="shared" si="3"/>
        <v>60372</v>
      </c>
      <c r="Y34">
        <f t="shared" si="12"/>
        <v>0</v>
      </c>
      <c r="Z34" s="9">
        <f>VLOOKUP(B34,'Components Pivot'!$A$3:$G$25,6,FALSE)</f>
        <v>0</v>
      </c>
      <c r="AA34" s="51">
        <f t="shared" si="13"/>
        <v>1.0062</v>
      </c>
      <c r="AB34" t="b">
        <f t="shared" si="14"/>
        <v>0</v>
      </c>
      <c r="AC34" s="95">
        <f>VLOOKUP(A34,'Products Pivot'!$A$4:$C$12,3,FALSE)</f>
        <v>0.54888333333333339</v>
      </c>
      <c r="AD34" s="51">
        <f t="shared" si="15"/>
        <v>0</v>
      </c>
      <c r="AE34">
        <f t="shared" si="16"/>
        <v>0</v>
      </c>
      <c r="AF34">
        <f t="shared" si="17"/>
        <v>0</v>
      </c>
      <c r="AG34" s="9">
        <f>VLOOKUP(B34,'Components Pivot'!$A$3:$G$25,7,FALSE)</f>
        <v>0</v>
      </c>
      <c r="AH34" s="59">
        <f t="shared" si="18"/>
        <v>60372</v>
      </c>
      <c r="AI34">
        <f t="shared" si="19"/>
        <v>462</v>
      </c>
    </row>
    <row r="35" spans="1:35" x14ac:dyDescent="0.25">
      <c r="A35" t="str">
        <f>'Bill of Materials'!A37</f>
        <v>FL500</v>
      </c>
      <c r="B35" t="str">
        <f>'Bill of Materials'!B37</f>
        <v>BS01</v>
      </c>
      <c r="C35" s="12">
        <f>'Bill of Materials'!C37</f>
        <v>12</v>
      </c>
      <c r="D35" t="str">
        <f>'Bill of Materials'!D37</f>
        <v>Base Shampoo</v>
      </c>
      <c r="E35">
        <f>VLOOKUP(A35,'The Business'!$A$8:$D$14,4,FALSE)</f>
        <v>1600</v>
      </c>
      <c r="F35">
        <f>VLOOKUP(A35,'Item Master'!$A$6:$H$31,F$1,FALSE)</f>
        <v>766</v>
      </c>
      <c r="G35" s="51">
        <f t="shared" si="4"/>
        <v>0.47875000000000001</v>
      </c>
      <c r="H35">
        <f t="shared" si="0"/>
        <v>19200</v>
      </c>
      <c r="I35" s="9">
        <f>MAX(VLOOKUP(B35,'Components Pivot'!$A$3:$G$25,2,FALSE),E35*C35)</f>
        <v>60000</v>
      </c>
      <c r="J35">
        <f>VLOOKUP(B35,'Item Master'!$A$6:$H$31,J$1,FALSE)</f>
        <v>34276</v>
      </c>
      <c r="K35" s="59">
        <f t="shared" si="5"/>
        <v>9192</v>
      </c>
      <c r="L35" s="94">
        <f>VLOOKUP(B35,'Components Pivot'!$A$3:$C$25,3,FALSE)</f>
        <v>46248</v>
      </c>
      <c r="M35" s="51">
        <f t="shared" si="6"/>
        <v>1.3420666666666667</v>
      </c>
      <c r="N35" t="b">
        <f t="shared" si="7"/>
        <v>1</v>
      </c>
      <c r="O35" s="51">
        <f>VLOOKUP(A35,'Products Pivot'!$A$4:$C$12,2,FALSE)</f>
        <v>1.1489583333333333</v>
      </c>
      <c r="P35" s="51">
        <f t="shared" si="8"/>
        <v>0.67020833333333329</v>
      </c>
      <c r="Q35">
        <f t="shared" si="9"/>
        <v>1072.3333333333333</v>
      </c>
      <c r="R35">
        <f t="shared" si="1"/>
        <v>12868</v>
      </c>
      <c r="S35" s="94">
        <f>VLOOKUP(B35,'Components Pivot'!$A$3:$D$25,4,FALSE)</f>
        <v>28714.48</v>
      </c>
      <c r="T35">
        <f t="shared" si="10"/>
        <v>1838.3333333333333</v>
      </c>
      <c r="U35">
        <f t="shared" si="11"/>
        <v>1.1489583333333333</v>
      </c>
      <c r="V35" s="9">
        <f t="shared" si="2"/>
        <v>0</v>
      </c>
      <c r="W35" s="9">
        <f>MAX(VLOOKUP(B35,'Components Pivot'!$A$3:$G$25,5,FALSE),E35*C35)</f>
        <v>19200</v>
      </c>
      <c r="X35" s="59">
        <f t="shared" si="3"/>
        <v>5561.52</v>
      </c>
      <c r="Y35">
        <f t="shared" si="12"/>
        <v>0</v>
      </c>
      <c r="Z35" s="9">
        <f>VLOOKUP(B35,'Components Pivot'!$A$3:$G$25,6,FALSE)</f>
        <v>2342.4</v>
      </c>
      <c r="AA35" s="51">
        <f t="shared" si="13"/>
        <v>0.41166249999999999</v>
      </c>
      <c r="AB35" t="b">
        <f t="shared" si="14"/>
        <v>0</v>
      </c>
      <c r="AC35" s="95">
        <f>VLOOKUP(A35,'Products Pivot'!$A$4:$C$12,3,FALSE)</f>
        <v>0</v>
      </c>
      <c r="AD35" s="51">
        <f t="shared" si="15"/>
        <v>0</v>
      </c>
      <c r="AE35">
        <f t="shared" si="16"/>
        <v>0</v>
      </c>
      <c r="AF35">
        <f t="shared" si="17"/>
        <v>0</v>
      </c>
      <c r="AG35" s="9">
        <f>VLOOKUP(B35,'Components Pivot'!$A$3:$G$25,7,FALSE)</f>
        <v>2391.2080000000001</v>
      </c>
      <c r="AH35" s="59">
        <f t="shared" si="18"/>
        <v>3170.3120000000004</v>
      </c>
      <c r="AI35">
        <f t="shared" si="19"/>
        <v>1072</v>
      </c>
    </row>
    <row r="36" spans="1:35" x14ac:dyDescent="0.25">
      <c r="A36" t="str">
        <f>'Bill of Materials'!A38</f>
        <v>FL500</v>
      </c>
      <c r="B36" t="str">
        <f>'Bill of Materials'!B38</f>
        <v>BT500</v>
      </c>
      <c r="C36" s="12">
        <f>'Bill of Materials'!C38</f>
        <v>24</v>
      </c>
      <c r="D36" t="str">
        <f>'Bill of Materials'!D38</f>
        <v>Bottle 500ml</v>
      </c>
      <c r="E36">
        <f>VLOOKUP(A36,'The Business'!$A$8:$D$14,4,FALSE)</f>
        <v>1600</v>
      </c>
      <c r="F36">
        <f>VLOOKUP(A36,'Item Master'!$A$6:$H$31,F$1,FALSE)</f>
        <v>766</v>
      </c>
      <c r="G36" s="51">
        <f t="shared" si="4"/>
        <v>0.47875000000000001</v>
      </c>
      <c r="H36">
        <f t="shared" si="0"/>
        <v>38400</v>
      </c>
      <c r="I36" s="9">
        <f>MAX(VLOOKUP(B36,'Components Pivot'!$A$3:$G$25,2,FALSE),E36*C36)</f>
        <v>57600</v>
      </c>
      <c r="J36">
        <f>VLOOKUP(B36,'Item Master'!$A$6:$H$31,J$1,FALSE)</f>
        <v>36516</v>
      </c>
      <c r="K36" s="59">
        <f t="shared" si="5"/>
        <v>18384</v>
      </c>
      <c r="L36" s="94">
        <f>VLOOKUP(B36,'Components Pivot'!$A$3:$C$25,3,FALSE)</f>
        <v>29664</v>
      </c>
      <c r="M36" s="51">
        <f t="shared" si="6"/>
        <v>1.1489583333333333</v>
      </c>
      <c r="N36" t="b">
        <f t="shared" si="7"/>
        <v>1</v>
      </c>
      <c r="O36" s="51">
        <f>VLOOKUP(A36,'Products Pivot'!$A$4:$C$12,2,FALSE)</f>
        <v>1.1489583333333333</v>
      </c>
      <c r="P36" s="51">
        <f t="shared" si="8"/>
        <v>0.67020833333333329</v>
      </c>
      <c r="Q36">
        <f t="shared" si="9"/>
        <v>1072.3333333333333</v>
      </c>
      <c r="R36">
        <f t="shared" si="1"/>
        <v>25736</v>
      </c>
      <c r="S36" s="94">
        <f>VLOOKUP(B36,'Components Pivot'!$A$3:$D$25,4,FALSE)</f>
        <v>36516</v>
      </c>
      <c r="T36">
        <f t="shared" si="10"/>
        <v>1838.3333333333333</v>
      </c>
      <c r="U36">
        <f t="shared" si="11"/>
        <v>1.1489583333333333</v>
      </c>
      <c r="V36" s="9">
        <f t="shared" si="2"/>
        <v>0</v>
      </c>
      <c r="W36" s="9">
        <f>MAX(VLOOKUP(B36,'Components Pivot'!$A$3:$G$25,5,FALSE),E36*C36)</f>
        <v>38400</v>
      </c>
      <c r="X36" s="59">
        <f t="shared" si="3"/>
        <v>0</v>
      </c>
      <c r="Y36">
        <f t="shared" si="12"/>
        <v>0</v>
      </c>
      <c r="Z36" s="9">
        <f>VLOOKUP(B36,'Components Pivot'!$A$3:$G$25,6,FALSE)</f>
        <v>0</v>
      </c>
      <c r="AA36" s="51">
        <f t="shared" si="13"/>
        <v>0</v>
      </c>
      <c r="AB36" t="b">
        <f t="shared" si="14"/>
        <v>0</v>
      </c>
      <c r="AC36" s="95">
        <f>VLOOKUP(A36,'Products Pivot'!$A$4:$C$12,3,FALSE)</f>
        <v>0</v>
      </c>
      <c r="AD36" s="51">
        <f t="shared" si="15"/>
        <v>0</v>
      </c>
      <c r="AE36">
        <f t="shared" si="16"/>
        <v>0</v>
      </c>
      <c r="AF36">
        <f t="shared" si="17"/>
        <v>0</v>
      </c>
      <c r="AG36" s="9">
        <f>VLOOKUP(B36,'Components Pivot'!$A$3:$G$25,7,FALSE)</f>
        <v>0</v>
      </c>
      <c r="AH36" s="59">
        <f t="shared" si="18"/>
        <v>0</v>
      </c>
      <c r="AI36">
        <f t="shared" si="19"/>
        <v>1072</v>
      </c>
    </row>
    <row r="37" spans="1:35" x14ac:dyDescent="0.25">
      <c r="A37" t="str">
        <f>'Bill of Materials'!A39</f>
        <v>FL500</v>
      </c>
      <c r="B37" t="str">
        <f>'Bill of Materials'!B39</f>
        <v>CAPS</v>
      </c>
      <c r="C37" s="12">
        <f>'Bill of Materials'!C39</f>
        <v>24</v>
      </c>
      <c r="D37" t="str">
        <f>'Bill of Materials'!D39</f>
        <v>Screw cap</v>
      </c>
      <c r="E37">
        <f>VLOOKUP(A37,'The Business'!$A$8:$D$14,4,FALSE)</f>
        <v>1600</v>
      </c>
      <c r="F37">
        <f>VLOOKUP(A37,'Item Master'!$A$6:$H$31,F$1,FALSE)</f>
        <v>766</v>
      </c>
      <c r="G37" s="51">
        <f t="shared" si="4"/>
        <v>0.47875000000000001</v>
      </c>
      <c r="H37">
        <f t="shared" si="0"/>
        <v>38400</v>
      </c>
      <c r="I37" s="9">
        <f>MAX(VLOOKUP(B37,'Components Pivot'!$A$3:$G$25,2,FALSE),E37*C37)</f>
        <v>57600</v>
      </c>
      <c r="J37">
        <f>VLOOKUP(B37,'Item Master'!$A$6:$H$31,J$1,FALSE)</f>
        <v>37818</v>
      </c>
      <c r="K37" s="59">
        <f t="shared" si="5"/>
        <v>18384</v>
      </c>
      <c r="L37" s="94">
        <f>VLOOKUP(B37,'Components Pivot'!$A$3:$C$25,3,FALSE)</f>
        <v>29664</v>
      </c>
      <c r="M37" s="51">
        <f t="shared" si="6"/>
        <v>1.1715625000000001</v>
      </c>
      <c r="N37" t="b">
        <f t="shared" si="7"/>
        <v>1</v>
      </c>
      <c r="O37" s="51">
        <f>VLOOKUP(A37,'Products Pivot'!$A$4:$C$12,2,FALSE)</f>
        <v>1.1489583333333333</v>
      </c>
      <c r="P37" s="51">
        <f t="shared" si="8"/>
        <v>0.67020833333333329</v>
      </c>
      <c r="Q37">
        <f t="shared" si="9"/>
        <v>1072.3333333333333</v>
      </c>
      <c r="R37">
        <f t="shared" si="1"/>
        <v>25736</v>
      </c>
      <c r="S37" s="94">
        <f>VLOOKUP(B37,'Components Pivot'!$A$3:$D$25,4,FALSE)</f>
        <v>36516</v>
      </c>
      <c r="T37">
        <f t="shared" si="10"/>
        <v>1838.3333333333333</v>
      </c>
      <c r="U37">
        <f t="shared" si="11"/>
        <v>1.1489583333333333</v>
      </c>
      <c r="V37" s="9">
        <f t="shared" si="2"/>
        <v>0</v>
      </c>
      <c r="W37" s="9">
        <f>MAX(VLOOKUP(B37,'Components Pivot'!$A$3:$G$25,5,FALSE),E37*C37)</f>
        <v>38400</v>
      </c>
      <c r="X37" s="59">
        <f t="shared" si="3"/>
        <v>1302</v>
      </c>
      <c r="Y37">
        <f t="shared" si="12"/>
        <v>0</v>
      </c>
      <c r="Z37" s="9">
        <f>VLOOKUP(B37,'Components Pivot'!$A$3:$G$25,6,FALSE)</f>
        <v>0</v>
      </c>
      <c r="AA37" s="51">
        <f t="shared" si="13"/>
        <v>3.3906249999999999E-2</v>
      </c>
      <c r="AB37" t="b">
        <f t="shared" si="14"/>
        <v>0</v>
      </c>
      <c r="AC37" s="95">
        <f>VLOOKUP(A37,'Products Pivot'!$A$4:$C$12,3,FALSE)</f>
        <v>0</v>
      </c>
      <c r="AD37" s="51">
        <f t="shared" si="15"/>
        <v>0</v>
      </c>
      <c r="AE37">
        <f t="shared" si="16"/>
        <v>0</v>
      </c>
      <c r="AF37">
        <f t="shared" si="17"/>
        <v>0</v>
      </c>
      <c r="AG37" s="9">
        <f>VLOOKUP(B37,'Components Pivot'!$A$3:$G$25,7,FALSE)</f>
        <v>0</v>
      </c>
      <c r="AH37" s="59">
        <f t="shared" si="18"/>
        <v>1302</v>
      </c>
      <c r="AI37">
        <f t="shared" si="19"/>
        <v>1072</v>
      </c>
    </row>
    <row r="38" spans="1:35" x14ac:dyDescent="0.25">
      <c r="A38" t="str">
        <f>'Bill of Materials'!A40</f>
        <v>FL500</v>
      </c>
      <c r="B38" t="str">
        <f>'Bill of Materials'!B40</f>
        <v>CARL</v>
      </c>
      <c r="C38" s="12">
        <f>'Bill of Materials'!C40</f>
        <v>1</v>
      </c>
      <c r="D38" t="str">
        <f>'Bill of Materials'!D40</f>
        <v>Carton large</v>
      </c>
      <c r="E38">
        <f>VLOOKUP(A38,'The Business'!$A$8:$D$14,4,FALSE)</f>
        <v>1600</v>
      </c>
      <c r="F38">
        <f>VLOOKUP(A38,'Item Master'!$A$6:$H$31,F$1,FALSE)</f>
        <v>766</v>
      </c>
      <c r="G38" s="51">
        <f t="shared" si="4"/>
        <v>0.47875000000000001</v>
      </c>
      <c r="H38">
        <f t="shared" si="0"/>
        <v>1600</v>
      </c>
      <c r="I38" s="9">
        <f>MAX(VLOOKUP(B38,'Components Pivot'!$A$3:$G$25,2,FALSE),E38*C38)</f>
        <v>5000</v>
      </c>
      <c r="J38">
        <f>VLOOKUP(B38,'Item Master'!$A$6:$H$31,J$1,FALSE)</f>
        <v>4368</v>
      </c>
      <c r="K38" s="59">
        <f t="shared" si="5"/>
        <v>766</v>
      </c>
      <c r="L38" s="94">
        <f>VLOOKUP(B38,'Components Pivot'!$A$3:$C$25,3,FALSE)</f>
        <v>3854</v>
      </c>
      <c r="M38" s="51">
        <f t="shared" si="6"/>
        <v>1.6444000000000001</v>
      </c>
      <c r="N38" t="b">
        <f t="shared" si="7"/>
        <v>1</v>
      </c>
      <c r="O38" s="51">
        <f>VLOOKUP(A38,'Products Pivot'!$A$4:$C$12,2,FALSE)</f>
        <v>1.1489583333333333</v>
      </c>
      <c r="P38" s="51">
        <f t="shared" si="8"/>
        <v>0.67020833333333329</v>
      </c>
      <c r="Q38">
        <f t="shared" si="9"/>
        <v>1072.3333333333333</v>
      </c>
      <c r="R38">
        <f t="shared" si="1"/>
        <v>1072.3333333333333</v>
      </c>
      <c r="S38" s="94">
        <f>VLOOKUP(B38,'Components Pivot'!$A$3:$D$25,4,FALSE)</f>
        <v>2392.873333333333</v>
      </c>
      <c r="T38">
        <f t="shared" si="10"/>
        <v>1838.3333333333333</v>
      </c>
      <c r="U38">
        <f t="shared" si="11"/>
        <v>1.1489583333333333</v>
      </c>
      <c r="V38" s="9">
        <f t="shared" si="2"/>
        <v>0</v>
      </c>
      <c r="W38" s="9">
        <f>MAX(VLOOKUP(B38,'Components Pivot'!$A$3:$G$25,5,FALSE),E38*C38)</f>
        <v>1600</v>
      </c>
      <c r="X38" s="59">
        <f t="shared" si="3"/>
        <v>1975.126666666667</v>
      </c>
      <c r="Y38">
        <f t="shared" si="12"/>
        <v>0</v>
      </c>
      <c r="Z38" s="9">
        <f>VLOOKUP(B38,'Components Pivot'!$A$3:$G$25,6,FALSE)</f>
        <v>0</v>
      </c>
      <c r="AA38" s="51">
        <f t="shared" si="13"/>
        <v>1.2344541666666669</v>
      </c>
      <c r="AB38" t="b">
        <f t="shared" si="14"/>
        <v>0</v>
      </c>
      <c r="AC38" s="95">
        <f>VLOOKUP(A38,'Products Pivot'!$A$4:$C$12,3,FALSE)</f>
        <v>0</v>
      </c>
      <c r="AD38" s="51">
        <f t="shared" si="15"/>
        <v>0</v>
      </c>
      <c r="AE38">
        <f t="shared" si="16"/>
        <v>0</v>
      </c>
      <c r="AF38">
        <f t="shared" si="17"/>
        <v>0</v>
      </c>
      <c r="AG38" s="9">
        <f>VLOOKUP(B38,'Components Pivot'!$A$3:$G$25,7,FALSE)</f>
        <v>0</v>
      </c>
      <c r="AH38" s="59">
        <f t="shared" si="18"/>
        <v>1975.126666666667</v>
      </c>
      <c r="AI38">
        <f t="shared" si="19"/>
        <v>1072</v>
      </c>
    </row>
    <row r="39" spans="1:35" x14ac:dyDescent="0.25">
      <c r="A39" t="str">
        <f>'Bill of Materials'!A41</f>
        <v>FL500</v>
      </c>
      <c r="B39" t="str">
        <f>'Bill of Materials'!B41</f>
        <v>ESL</v>
      </c>
      <c r="C39" s="12">
        <f>'Bill of Materials'!C41</f>
        <v>0.12</v>
      </c>
      <c r="D39" t="str">
        <f>'Bill of Materials'!D41</f>
        <v>Lemon essence</v>
      </c>
      <c r="E39">
        <f>VLOOKUP(A39,'The Business'!$A$8:$D$14,4,FALSE)</f>
        <v>1600</v>
      </c>
      <c r="F39">
        <f>VLOOKUP(A39,'Item Master'!$A$6:$H$31,F$1,FALSE)</f>
        <v>766</v>
      </c>
      <c r="G39" s="51">
        <f t="shared" si="4"/>
        <v>0.47875000000000001</v>
      </c>
      <c r="H39">
        <f t="shared" si="0"/>
        <v>192</v>
      </c>
      <c r="I39" s="9">
        <f>MAX(VLOOKUP(B39,'Components Pivot'!$A$3:$G$25,2,FALSE),E39*C39)</f>
        <v>345.6</v>
      </c>
      <c r="J39">
        <f>VLOOKUP(B39,'Item Master'!$A$6:$H$31,J$1,FALSE)</f>
        <v>1002</v>
      </c>
      <c r="K39" s="59">
        <f t="shared" si="5"/>
        <v>91.92</v>
      </c>
      <c r="L39" s="94">
        <f>VLOOKUP(B39,'Components Pivot'!$A$3:$C$25,3,FALSE)</f>
        <v>253.10399999999998</v>
      </c>
      <c r="M39" s="51">
        <f t="shared" si="6"/>
        <v>3.6316666666666664</v>
      </c>
      <c r="N39" t="b">
        <f t="shared" si="7"/>
        <v>1</v>
      </c>
      <c r="O39" s="51">
        <f>VLOOKUP(A39,'Products Pivot'!$A$4:$C$12,2,FALSE)</f>
        <v>1.1489583333333333</v>
      </c>
      <c r="P39" s="51">
        <f t="shared" si="8"/>
        <v>0.67020833333333329</v>
      </c>
      <c r="Q39">
        <f t="shared" si="9"/>
        <v>1072.3333333333333</v>
      </c>
      <c r="R39">
        <f t="shared" si="1"/>
        <v>128.67999999999998</v>
      </c>
      <c r="S39" s="94">
        <f>VLOOKUP(B39,'Components Pivot'!$A$3:$D$25,4,FALSE)</f>
        <v>184.17759999999998</v>
      </c>
      <c r="T39">
        <f t="shared" si="10"/>
        <v>1838.3333333333333</v>
      </c>
      <c r="U39">
        <f t="shared" si="11"/>
        <v>1.1489583333333333</v>
      </c>
      <c r="V39" s="9">
        <f t="shared" si="2"/>
        <v>0</v>
      </c>
      <c r="W39" s="9">
        <f>MAX(VLOOKUP(B39,'Components Pivot'!$A$3:$G$25,5,FALSE),E39*C39)</f>
        <v>192</v>
      </c>
      <c r="X39" s="59">
        <f t="shared" si="3"/>
        <v>817.82240000000002</v>
      </c>
      <c r="Y39">
        <f t="shared" si="12"/>
        <v>0</v>
      </c>
      <c r="Z39" s="9">
        <f>VLOOKUP(B39,'Components Pivot'!$A$3:$G$25,6,FALSE)</f>
        <v>23.423999999999999</v>
      </c>
      <c r="AA39" s="51">
        <f t="shared" si="13"/>
        <v>4.3814916666666663</v>
      </c>
      <c r="AB39" t="b">
        <f t="shared" si="14"/>
        <v>0</v>
      </c>
      <c r="AC39" s="95">
        <f>VLOOKUP(A39,'Products Pivot'!$A$4:$C$12,3,FALSE)</f>
        <v>0</v>
      </c>
      <c r="AD39" s="51">
        <f t="shared" si="15"/>
        <v>0</v>
      </c>
      <c r="AE39">
        <f t="shared" si="16"/>
        <v>0</v>
      </c>
      <c r="AF39">
        <f t="shared" si="17"/>
        <v>0</v>
      </c>
      <c r="AG39" s="9">
        <f>VLOOKUP(B39,'Components Pivot'!$A$3:$G$25,7,FALSE)</f>
        <v>23.912080000000003</v>
      </c>
      <c r="AH39" s="59">
        <f t="shared" si="18"/>
        <v>793.91031999999996</v>
      </c>
      <c r="AI39">
        <f t="shared" si="19"/>
        <v>1072</v>
      </c>
    </row>
    <row r="40" spans="1:35" x14ac:dyDescent="0.25">
      <c r="A40" t="str">
        <f>'Bill of Materials'!A42</f>
        <v>FL500</v>
      </c>
      <c r="B40" t="str">
        <f>'Bill of Materials'!B42</f>
        <v>LFL50</v>
      </c>
      <c r="C40" s="12">
        <f>'Bill of Materials'!C42</f>
        <v>26</v>
      </c>
      <c r="D40" t="str">
        <f>'Bill of Materials'!D42</f>
        <v>Label Fragrant Lemon 500ml</v>
      </c>
      <c r="E40">
        <f>VLOOKUP(A40,'The Business'!$A$8:$D$14,4,FALSE)</f>
        <v>1600</v>
      </c>
      <c r="F40">
        <f>VLOOKUP(A40,'Item Master'!$A$6:$H$31,F$1,FALSE)</f>
        <v>766</v>
      </c>
      <c r="G40" s="51">
        <f t="shared" si="4"/>
        <v>0.47875000000000001</v>
      </c>
      <c r="H40">
        <f t="shared" si="0"/>
        <v>41600</v>
      </c>
      <c r="I40" s="9">
        <f>MAX(VLOOKUP(B40,'Components Pivot'!$A$3:$G$25,2,FALSE),E40*C40)</f>
        <v>41600</v>
      </c>
      <c r="J40">
        <f>VLOOKUP(B40,'Item Master'!$A$6:$H$31,J$1,FALSE)</f>
        <v>117354</v>
      </c>
      <c r="K40" s="59">
        <f t="shared" si="5"/>
        <v>19916</v>
      </c>
      <c r="L40" s="94">
        <f>VLOOKUP(B40,'Components Pivot'!$A$3:$C$25,3,FALSE)</f>
        <v>19916</v>
      </c>
      <c r="M40" s="51">
        <f t="shared" si="6"/>
        <v>3.2997596153846156</v>
      </c>
      <c r="N40" t="b">
        <f t="shared" si="7"/>
        <v>1</v>
      </c>
      <c r="O40" s="51">
        <f>VLOOKUP(A40,'Products Pivot'!$A$4:$C$12,2,FALSE)</f>
        <v>1.1489583333333333</v>
      </c>
      <c r="P40" s="51">
        <f t="shared" si="8"/>
        <v>0.67020833333333329</v>
      </c>
      <c r="Q40">
        <f t="shared" si="9"/>
        <v>1072.3333333333333</v>
      </c>
      <c r="R40">
        <f t="shared" si="1"/>
        <v>27880.666666666664</v>
      </c>
      <c r="S40" s="94">
        <f>VLOOKUP(B40,'Components Pivot'!$A$3:$D$25,4,FALSE)</f>
        <v>27880.666666666664</v>
      </c>
      <c r="T40">
        <f t="shared" si="10"/>
        <v>1838.3333333333333</v>
      </c>
      <c r="U40">
        <f t="shared" si="11"/>
        <v>1.1489583333333333</v>
      </c>
      <c r="V40" s="9">
        <f t="shared" si="2"/>
        <v>0</v>
      </c>
      <c r="W40" s="9">
        <f>MAX(VLOOKUP(B40,'Components Pivot'!$A$3:$G$25,5,FALSE),E40*C40)</f>
        <v>41600</v>
      </c>
      <c r="X40" s="59">
        <f t="shared" si="3"/>
        <v>89473.333333333343</v>
      </c>
      <c r="Y40">
        <f t="shared" si="12"/>
        <v>0</v>
      </c>
      <c r="Z40" s="9">
        <f>VLOOKUP(B40,'Components Pivot'!$A$3:$G$25,6,FALSE)</f>
        <v>0</v>
      </c>
      <c r="AA40" s="51">
        <f t="shared" si="13"/>
        <v>2.1508012820512823</v>
      </c>
      <c r="AB40" t="b">
        <f t="shared" si="14"/>
        <v>0</v>
      </c>
      <c r="AC40" s="95">
        <f>VLOOKUP(A40,'Products Pivot'!$A$4:$C$12,3,FALSE)</f>
        <v>0</v>
      </c>
      <c r="AD40" s="51">
        <f t="shared" si="15"/>
        <v>0</v>
      </c>
      <c r="AE40">
        <f t="shared" si="16"/>
        <v>0</v>
      </c>
      <c r="AF40">
        <f t="shared" si="17"/>
        <v>0</v>
      </c>
      <c r="AG40" s="9">
        <f>VLOOKUP(B40,'Components Pivot'!$A$3:$G$25,7,FALSE)</f>
        <v>0</v>
      </c>
      <c r="AH40" s="59">
        <f t="shared" si="18"/>
        <v>89473.333333333343</v>
      </c>
      <c r="AI40">
        <f t="shared" si="19"/>
        <v>1072</v>
      </c>
    </row>
  </sheetData>
  <pageMargins left="0.44" right="0.33" top="1" bottom="1" header="0.5" footer="0.5"/>
  <pageSetup paperSize="9" scale="79" fitToWidth="3" orientation="landscape" horizontalDpi="300" verticalDpi="300" r:id="rId1"/>
  <headerFooter alignWithMargins="0">
    <oddHeader>&amp;Chttp://www.production-scheduling.com</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0"/>
  <sheetViews>
    <sheetView workbookViewId="0">
      <selection activeCell="I9" sqref="I9"/>
    </sheetView>
  </sheetViews>
  <sheetFormatPr defaultRowHeight="13.2" x14ac:dyDescent="0.25"/>
  <cols>
    <col min="1" max="1" width="10.44140625" customWidth="1"/>
    <col min="2" max="2" width="12.5546875" bestFit="1" customWidth="1"/>
    <col min="3" max="3" width="11.44140625" bestFit="1" customWidth="1"/>
    <col min="4" max="4" width="12" bestFit="1" customWidth="1"/>
    <col min="5" max="5" width="12.5546875" bestFit="1" customWidth="1"/>
    <col min="6" max="6" width="13.44140625" bestFit="1" customWidth="1"/>
    <col min="7" max="7" width="12" bestFit="1" customWidth="1"/>
  </cols>
  <sheetData>
    <row r="3" spans="1:7" x14ac:dyDescent="0.25">
      <c r="A3" s="105"/>
      <c r="B3" s="106" t="s">
        <v>114</v>
      </c>
      <c r="C3" s="109"/>
      <c r="D3" s="109"/>
      <c r="E3" s="109"/>
      <c r="F3" s="109"/>
      <c r="G3" s="110"/>
    </row>
    <row r="4" spans="1:7" ht="51" customHeight="1" x14ac:dyDescent="0.25">
      <c r="A4" s="106" t="s">
        <v>99</v>
      </c>
      <c r="B4" s="105" t="s">
        <v>216</v>
      </c>
      <c r="C4" s="109" t="s">
        <v>217</v>
      </c>
      <c r="D4" s="109" t="s">
        <v>218</v>
      </c>
      <c r="E4" s="109" t="s">
        <v>219</v>
      </c>
      <c r="F4" s="109" t="s">
        <v>220</v>
      </c>
      <c r="G4" s="110" t="s">
        <v>221</v>
      </c>
    </row>
    <row r="5" spans="1:7" x14ac:dyDescent="0.25">
      <c r="A5" s="105" t="s">
        <v>53</v>
      </c>
      <c r="B5" s="97">
        <v>60000</v>
      </c>
      <c r="C5" s="98">
        <v>46248</v>
      </c>
      <c r="D5" s="98">
        <v>28714.48</v>
      </c>
      <c r="E5" s="98">
        <v>960</v>
      </c>
      <c r="F5" s="98">
        <v>2342.4</v>
      </c>
      <c r="G5" s="99">
        <v>2391.2080000000001</v>
      </c>
    </row>
    <row r="6" spans="1:7" x14ac:dyDescent="0.25">
      <c r="A6" s="107" t="s">
        <v>63</v>
      </c>
      <c r="B6" s="100">
        <v>57600</v>
      </c>
      <c r="C6" s="58">
        <v>112416</v>
      </c>
      <c r="D6" s="58">
        <v>0</v>
      </c>
      <c r="E6" s="58">
        <v>9600</v>
      </c>
      <c r="F6" s="58">
        <v>23424</v>
      </c>
      <c r="G6" s="101">
        <v>23912.080000000002</v>
      </c>
    </row>
    <row r="7" spans="1:7" x14ac:dyDescent="0.25">
      <c r="A7" s="107" t="s">
        <v>67</v>
      </c>
      <c r="B7" s="100">
        <v>124800</v>
      </c>
      <c r="C7" s="58">
        <v>125664</v>
      </c>
      <c r="D7" s="58">
        <v>41825.919999999998</v>
      </c>
      <c r="E7" s="58">
        <v>0</v>
      </c>
      <c r="F7" s="58">
        <v>0</v>
      </c>
      <c r="G7" s="101">
        <v>0</v>
      </c>
    </row>
    <row r="8" spans="1:7" x14ac:dyDescent="0.25">
      <c r="A8" s="107" t="s">
        <v>69</v>
      </c>
      <c r="B8" s="100">
        <v>57600</v>
      </c>
      <c r="C8" s="58">
        <v>29664</v>
      </c>
      <c r="D8" s="58">
        <v>36516</v>
      </c>
      <c r="E8" s="58">
        <v>0</v>
      </c>
      <c r="F8" s="58">
        <v>0</v>
      </c>
      <c r="G8" s="101">
        <v>0</v>
      </c>
    </row>
    <row r="9" spans="1:7" x14ac:dyDescent="0.25">
      <c r="A9" s="107" t="s">
        <v>71</v>
      </c>
      <c r="B9" s="100">
        <v>124800</v>
      </c>
      <c r="C9" s="58">
        <v>125664</v>
      </c>
      <c r="D9" s="58">
        <v>41825.919999999998</v>
      </c>
      <c r="E9" s="58">
        <v>9600</v>
      </c>
      <c r="F9" s="58">
        <v>23424</v>
      </c>
      <c r="G9" s="101">
        <v>23912.080000000002</v>
      </c>
    </row>
    <row r="10" spans="1:7" x14ac:dyDescent="0.25">
      <c r="A10" s="107" t="s">
        <v>73</v>
      </c>
      <c r="B10" s="100">
        <v>57600</v>
      </c>
      <c r="C10" s="58">
        <v>29664</v>
      </c>
      <c r="D10" s="58">
        <v>36516</v>
      </c>
      <c r="E10" s="58">
        <v>0</v>
      </c>
      <c r="F10" s="58">
        <v>0</v>
      </c>
      <c r="G10" s="101">
        <v>0</v>
      </c>
    </row>
    <row r="11" spans="1:7" x14ac:dyDescent="0.25">
      <c r="A11" s="107" t="s">
        <v>91</v>
      </c>
      <c r="B11" s="100">
        <v>5000</v>
      </c>
      <c r="C11" s="58">
        <v>3854</v>
      </c>
      <c r="D11" s="58">
        <v>2392.873333333333</v>
      </c>
      <c r="E11" s="58">
        <v>0</v>
      </c>
      <c r="F11" s="58">
        <v>0</v>
      </c>
      <c r="G11" s="101">
        <v>0</v>
      </c>
    </row>
    <row r="12" spans="1:7" x14ac:dyDescent="0.25">
      <c r="A12" s="107" t="s">
        <v>88</v>
      </c>
      <c r="B12" s="100">
        <v>200</v>
      </c>
      <c r="C12" s="58">
        <v>488</v>
      </c>
      <c r="D12" s="58">
        <v>0</v>
      </c>
      <c r="E12" s="58">
        <v>200</v>
      </c>
      <c r="F12" s="58">
        <v>488</v>
      </c>
      <c r="G12" s="101">
        <v>498.16833333333335</v>
      </c>
    </row>
    <row r="13" spans="1:7" x14ac:dyDescent="0.25">
      <c r="A13" s="107" t="s">
        <v>58</v>
      </c>
      <c r="B13" s="100">
        <v>312</v>
      </c>
      <c r="C13" s="58">
        <v>321.79199999999997</v>
      </c>
      <c r="D13" s="58">
        <v>102.96719999999999</v>
      </c>
      <c r="E13" s="58">
        <v>0</v>
      </c>
      <c r="F13" s="58">
        <v>0</v>
      </c>
      <c r="G13" s="101">
        <v>0</v>
      </c>
    </row>
    <row r="14" spans="1:7" x14ac:dyDescent="0.25">
      <c r="A14" s="107" t="s">
        <v>61</v>
      </c>
      <c r="B14" s="100">
        <v>345.6</v>
      </c>
      <c r="C14" s="58">
        <v>253.10399999999998</v>
      </c>
      <c r="D14" s="58">
        <v>184.17759999999998</v>
      </c>
      <c r="E14" s="58">
        <v>9.6</v>
      </c>
      <c r="F14" s="58">
        <v>23.423999999999999</v>
      </c>
      <c r="G14" s="101">
        <v>23.912080000000003</v>
      </c>
    </row>
    <row r="15" spans="1:7" x14ac:dyDescent="0.25">
      <c r="A15" s="107" t="s">
        <v>75</v>
      </c>
      <c r="B15" s="100">
        <v>50000</v>
      </c>
      <c r="C15" s="58">
        <v>92700</v>
      </c>
      <c r="D15" s="58">
        <v>0</v>
      </c>
      <c r="E15" s="58">
        <v>0</v>
      </c>
      <c r="F15" s="58">
        <v>0</v>
      </c>
      <c r="G15" s="101">
        <v>0</v>
      </c>
    </row>
    <row r="16" spans="1:7" x14ac:dyDescent="0.25">
      <c r="A16" s="107" t="s">
        <v>78</v>
      </c>
      <c r="B16" s="100">
        <v>70000</v>
      </c>
      <c r="C16" s="58">
        <v>73500</v>
      </c>
      <c r="D16" s="58">
        <v>20444.666666666668</v>
      </c>
      <c r="E16" s="58">
        <v>0</v>
      </c>
      <c r="F16" s="58">
        <v>0</v>
      </c>
      <c r="G16" s="101">
        <v>0</v>
      </c>
    </row>
    <row r="17" spans="1:7" x14ac:dyDescent="0.25">
      <c r="A17" s="107" t="s">
        <v>80</v>
      </c>
      <c r="B17" s="100">
        <v>20800</v>
      </c>
      <c r="C17" s="58">
        <v>12220</v>
      </c>
      <c r="D17" s="58">
        <v>11678.333333333332</v>
      </c>
      <c r="E17" s="58">
        <v>0</v>
      </c>
      <c r="F17" s="58">
        <v>0</v>
      </c>
      <c r="G17" s="101">
        <v>0</v>
      </c>
    </row>
    <row r="18" spans="1:7" x14ac:dyDescent="0.25">
      <c r="A18" s="107" t="s">
        <v>82</v>
      </c>
      <c r="B18" s="100">
        <v>10000</v>
      </c>
      <c r="C18" s="58">
        <v>24400</v>
      </c>
      <c r="D18" s="58">
        <v>0</v>
      </c>
      <c r="E18" s="58">
        <v>10000</v>
      </c>
      <c r="F18" s="58">
        <v>24400</v>
      </c>
      <c r="G18" s="101">
        <v>24908.416666666668</v>
      </c>
    </row>
    <row r="19" spans="1:7" x14ac:dyDescent="0.25">
      <c r="A19" s="107" t="s">
        <v>84</v>
      </c>
      <c r="B19" s="100">
        <v>60000</v>
      </c>
      <c r="C19" s="58">
        <v>57400</v>
      </c>
      <c r="D19" s="58">
        <v>23124</v>
      </c>
      <c r="E19" s="58">
        <v>0</v>
      </c>
      <c r="F19" s="58">
        <v>0</v>
      </c>
      <c r="G19" s="101">
        <v>0</v>
      </c>
    </row>
    <row r="20" spans="1:7" x14ac:dyDescent="0.25">
      <c r="A20" s="108" t="s">
        <v>86</v>
      </c>
      <c r="B20" s="102">
        <v>41600</v>
      </c>
      <c r="C20" s="103">
        <v>19916</v>
      </c>
      <c r="D20" s="103">
        <v>27880.666666666664</v>
      </c>
      <c r="E20" s="103">
        <v>0</v>
      </c>
      <c r="F20" s="103">
        <v>0</v>
      </c>
      <c r="G20" s="104">
        <v>0</v>
      </c>
    </row>
  </sheetData>
  <pageMargins left="0.75" right="0.75" top="1" bottom="1" header="0.5" footer="0.5"/>
  <pageSetup paperSize="9" orientation="portrait" horizontalDpi="300" verticalDpi="300" r:id="rId2"/>
  <headerFooter alignWithMargins="0">
    <oddHeader>&amp;Chttp://www.production-scheduling.com</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heetViews>
  <sheetFormatPr defaultRowHeight="13.2" x14ac:dyDescent="0.25"/>
  <cols>
    <col min="1" max="1" width="7.44140625" customWidth="1"/>
    <col min="2" max="2" width="12.88671875" customWidth="1"/>
    <col min="3" max="3" width="12.44140625" customWidth="1"/>
    <col min="4" max="4" width="12" bestFit="1" customWidth="1"/>
  </cols>
  <sheetData>
    <row r="3" spans="1:4" x14ac:dyDescent="0.25">
      <c r="A3" s="105"/>
      <c r="B3" s="106" t="s">
        <v>114</v>
      </c>
      <c r="C3" s="109"/>
      <c r="D3" s="110"/>
    </row>
    <row r="4" spans="1:4" ht="51" customHeight="1" x14ac:dyDescent="0.25">
      <c r="A4" s="106" t="s">
        <v>98</v>
      </c>
      <c r="B4" s="105" t="s">
        <v>222</v>
      </c>
      <c r="C4" s="109" t="s">
        <v>223</v>
      </c>
      <c r="D4" s="117" t="s">
        <v>224</v>
      </c>
    </row>
    <row r="5" spans="1:4" x14ac:dyDescent="0.25">
      <c r="A5" s="105" t="s">
        <v>26</v>
      </c>
      <c r="B5" s="97">
        <v>1.3420666666666667</v>
      </c>
      <c r="C5" s="98">
        <v>0.98616833333333342</v>
      </c>
      <c r="D5" s="118">
        <v>0</v>
      </c>
    </row>
    <row r="6" spans="1:4" x14ac:dyDescent="0.25">
      <c r="A6" s="107" t="s">
        <v>28</v>
      </c>
      <c r="B6" s="100">
        <v>1.3420666666666667</v>
      </c>
      <c r="C6" s="58">
        <v>0.4704714285714286</v>
      </c>
      <c r="D6" s="119">
        <v>2454</v>
      </c>
    </row>
    <row r="7" spans="1:4" x14ac:dyDescent="0.25">
      <c r="A7" s="107" t="s">
        <v>30</v>
      </c>
      <c r="B7" s="100">
        <v>1.1489583333333333</v>
      </c>
      <c r="C7" s="58">
        <v>0</v>
      </c>
      <c r="D7" s="119">
        <v>2694</v>
      </c>
    </row>
    <row r="8" spans="1:4" x14ac:dyDescent="0.25">
      <c r="A8" s="107" t="s">
        <v>32</v>
      </c>
      <c r="B8" s="100">
        <v>1.3420666666666667</v>
      </c>
      <c r="C8" s="58">
        <v>4.9308416666666668</v>
      </c>
      <c r="D8" s="119">
        <v>2988</v>
      </c>
    </row>
    <row r="9" spans="1:4" x14ac:dyDescent="0.25">
      <c r="A9" s="107" t="s">
        <v>34</v>
      </c>
      <c r="B9" s="100">
        <v>1.3420666666666667</v>
      </c>
      <c r="C9" s="58">
        <v>0.54888333333333339</v>
      </c>
      <c r="D9" s="119">
        <v>2772</v>
      </c>
    </row>
    <row r="10" spans="1:4" x14ac:dyDescent="0.25">
      <c r="A10" s="108" t="s">
        <v>36</v>
      </c>
      <c r="B10" s="102">
        <v>1.1489583333333333</v>
      </c>
      <c r="C10" s="103">
        <v>0</v>
      </c>
      <c r="D10" s="120">
        <v>6432</v>
      </c>
    </row>
  </sheetData>
  <pageMargins left="0.75" right="0.75" top="1" bottom="1" header="0.5" footer="0.5"/>
  <pageSetup paperSize="9" orientation="portrait" horizontalDpi="300" verticalDpi="300" r:id="rId2"/>
  <headerFooter alignWithMargins="0">
    <oddHeader>&amp;Chttp://www.production-scheduling.com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42"/>
  <sheetViews>
    <sheetView showGridLines="0" showRowColHeaders="0" tabSelected="1" workbookViewId="0">
      <pane ySplit="5" topLeftCell="A6" activePane="bottomLeft" state="frozen"/>
      <selection pane="bottomLeft"/>
    </sheetView>
  </sheetViews>
  <sheetFormatPr defaultRowHeight="13.2" x14ac:dyDescent="0.25"/>
  <cols>
    <col min="1" max="1" width="2" customWidth="1"/>
    <col min="2" max="2" width="91.5546875" customWidth="1"/>
  </cols>
  <sheetData>
    <row r="7" spans="1:2" x14ac:dyDescent="0.25">
      <c r="B7" t="s">
        <v>225</v>
      </c>
    </row>
    <row r="9" spans="1:2" x14ac:dyDescent="0.25">
      <c r="A9" s="4" t="s">
        <v>276</v>
      </c>
    </row>
    <row r="10" spans="1:2" ht="52.8" x14ac:dyDescent="0.25">
      <c r="B10" s="96" t="s">
        <v>226</v>
      </c>
    </row>
    <row r="11" spans="1:2" ht="6" customHeight="1" x14ac:dyDescent="0.25"/>
    <row r="12" spans="1:2" x14ac:dyDescent="0.25">
      <c r="B12" t="s">
        <v>227</v>
      </c>
    </row>
    <row r="13" spans="1:2" ht="6" customHeight="1" x14ac:dyDescent="0.25"/>
    <row r="14" spans="1:2" x14ac:dyDescent="0.25">
      <c r="A14" s="116"/>
      <c r="B14" s="9" t="s">
        <v>228</v>
      </c>
    </row>
    <row r="15" spans="1:2" x14ac:dyDescent="0.25">
      <c r="A15" s="116"/>
      <c r="B15" s="9" t="s">
        <v>229</v>
      </c>
    </row>
    <row r="16" spans="1:2" x14ac:dyDescent="0.25">
      <c r="A16" s="116"/>
      <c r="B16" s="9" t="s">
        <v>283</v>
      </c>
    </row>
    <row r="17" spans="1:2" x14ac:dyDescent="0.25">
      <c r="A17" s="116"/>
      <c r="B17" s="9"/>
    </row>
    <row r="18" spans="1:2" ht="12.75" customHeight="1" x14ac:dyDescent="0.25">
      <c r="A18" s="4" t="s">
        <v>277</v>
      </c>
    </row>
    <row r="19" spans="1:2" ht="26.4" x14ac:dyDescent="0.25">
      <c r="B19" s="96" t="s">
        <v>319</v>
      </c>
    </row>
    <row r="20" spans="1:2" ht="6" customHeight="1" x14ac:dyDescent="0.25"/>
    <row r="21" spans="1:2" ht="26.4" x14ac:dyDescent="0.25">
      <c r="B21" s="96" t="s">
        <v>267</v>
      </c>
    </row>
    <row r="22" spans="1:2" x14ac:dyDescent="0.25">
      <c r="B22" s="112" t="s">
        <v>268</v>
      </c>
    </row>
    <row r="23" spans="1:2" ht="6" customHeight="1" x14ac:dyDescent="0.25"/>
    <row r="24" spans="1:2" x14ac:dyDescent="0.25">
      <c r="B24" t="s">
        <v>269</v>
      </c>
    </row>
    <row r="25" spans="1:2" x14ac:dyDescent="0.25">
      <c r="B25" s="112" t="s">
        <v>270</v>
      </c>
    </row>
    <row r="27" spans="1:2" x14ac:dyDescent="0.25">
      <c r="A27" s="4" t="s">
        <v>278</v>
      </c>
    </row>
    <row r="28" spans="1:2" x14ac:dyDescent="0.25">
      <c r="B28" t="s">
        <v>271</v>
      </c>
    </row>
    <row r="29" spans="1:2" ht="6" customHeight="1" x14ac:dyDescent="0.25"/>
    <row r="30" spans="1:2" x14ac:dyDescent="0.25">
      <c r="B30" s="9" t="s">
        <v>273</v>
      </c>
    </row>
    <row r="31" spans="1:2" x14ac:dyDescent="0.25">
      <c r="B31" s="9" t="s">
        <v>274</v>
      </c>
    </row>
    <row r="32" spans="1:2" x14ac:dyDescent="0.25">
      <c r="B32" s="9" t="s">
        <v>272</v>
      </c>
    </row>
    <row r="33" spans="1:2" x14ac:dyDescent="0.25">
      <c r="B33" s="115" t="s">
        <v>318</v>
      </c>
    </row>
    <row r="34" spans="1:2" x14ac:dyDescent="0.25">
      <c r="B34" s="96" t="s">
        <v>320</v>
      </c>
    </row>
    <row r="35" spans="1:2" x14ac:dyDescent="0.25">
      <c r="B35" s="9" t="s">
        <v>275</v>
      </c>
    </row>
    <row r="37" spans="1:2" x14ac:dyDescent="0.25">
      <c r="A37" s="4" t="s">
        <v>279</v>
      </c>
    </row>
    <row r="38" spans="1:2" x14ac:dyDescent="0.25">
      <c r="B38" t="s">
        <v>280</v>
      </c>
    </row>
    <row r="39" spans="1:2" ht="6" customHeight="1" x14ac:dyDescent="0.25"/>
    <row r="40" spans="1:2" x14ac:dyDescent="0.25">
      <c r="B40" s="11" t="s">
        <v>281</v>
      </c>
    </row>
    <row r="41" spans="1:2" ht="6" customHeight="1" x14ac:dyDescent="0.25"/>
    <row r="42" spans="1:2" ht="26.4" x14ac:dyDescent="0.25">
      <c r="B42" s="96" t="s">
        <v>282</v>
      </c>
    </row>
  </sheetData>
  <hyperlinks>
    <hyperlink ref="B22" r:id="rId1" display="mailto:Production-Scheduling@Mweb.co.za"/>
    <hyperlink ref="B25" r:id="rId2" display="http://www.production-scheduling.com/"/>
  </hyperlinks>
  <pageMargins left="0.7" right="0.34" top="1" bottom="1" header="0.5" footer="0.5"/>
  <pageSetup paperSize="9" orientation="portrait" horizontalDpi="300" verticalDpi="300" r:id="rId3"/>
  <headerFooter alignWithMargins="0">
    <oddHeader>&amp;Chttp://www.production-scheduling.com</oddHeader>
  </headerFooter>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2"/>
  <sheetViews>
    <sheetView showGridLines="0" showRowColHeaders="0" workbookViewId="0"/>
  </sheetViews>
  <sheetFormatPr defaultRowHeight="13.2" x14ac:dyDescent="0.25"/>
  <cols>
    <col min="1" max="1" width="27.33203125" customWidth="1"/>
    <col min="2" max="14" width="3.109375" customWidth="1"/>
  </cols>
  <sheetData>
    <row r="1" spans="1:14" x14ac:dyDescent="0.25">
      <c r="A1" s="4" t="s">
        <v>256</v>
      </c>
    </row>
    <row r="3" spans="1:14" x14ac:dyDescent="0.25">
      <c r="A3" t="s">
        <v>244</v>
      </c>
    </row>
    <row r="4" spans="1:14" x14ac:dyDescent="0.25">
      <c r="A4" t="s">
        <v>245</v>
      </c>
    </row>
    <row r="5" spans="1:14" x14ac:dyDescent="0.25">
      <c r="A5" t="s">
        <v>246</v>
      </c>
    </row>
    <row r="7" spans="1:14" ht="147.6" x14ac:dyDescent="0.25">
      <c r="A7" s="114"/>
      <c r="B7" s="113" t="s">
        <v>238</v>
      </c>
      <c r="C7" s="113" t="s">
        <v>5</v>
      </c>
      <c r="D7" s="113" t="s">
        <v>6</v>
      </c>
      <c r="E7" s="113" t="s">
        <v>231</v>
      </c>
      <c r="F7" s="113" t="s">
        <v>8</v>
      </c>
      <c r="G7" s="113" t="s">
        <v>239</v>
      </c>
      <c r="H7" s="113" t="s">
        <v>10</v>
      </c>
      <c r="I7" s="113" t="s">
        <v>11</v>
      </c>
      <c r="J7" s="113" t="s">
        <v>12</v>
      </c>
      <c r="K7" s="113" t="s">
        <v>13</v>
      </c>
      <c r="L7" s="113" t="s">
        <v>15</v>
      </c>
      <c r="M7" s="113" t="s">
        <v>16</v>
      </c>
      <c r="N7" s="113" t="s">
        <v>17</v>
      </c>
    </row>
    <row r="8" spans="1:14" x14ac:dyDescent="0.25">
      <c r="A8" s="52" t="s">
        <v>238</v>
      </c>
      <c r="B8" s="38"/>
      <c r="C8" s="38"/>
      <c r="D8" s="38"/>
      <c r="E8" s="38"/>
      <c r="F8" s="38"/>
      <c r="G8" s="38"/>
      <c r="H8" s="38"/>
      <c r="I8" s="38"/>
      <c r="J8" s="38"/>
      <c r="K8" s="38"/>
      <c r="L8" s="38"/>
      <c r="M8" s="38"/>
      <c r="N8" s="38"/>
    </row>
    <row r="9" spans="1:14" x14ac:dyDescent="0.25">
      <c r="A9" s="52" t="s">
        <v>5</v>
      </c>
      <c r="B9" s="38"/>
      <c r="C9" s="38"/>
      <c r="D9" s="38" t="s">
        <v>240</v>
      </c>
      <c r="E9" s="38"/>
      <c r="F9" s="38"/>
      <c r="G9" s="38"/>
      <c r="H9" s="38"/>
      <c r="I9" s="38"/>
      <c r="J9" s="38"/>
      <c r="K9" s="38"/>
      <c r="L9" s="38"/>
      <c r="M9" s="38"/>
      <c r="N9" s="38"/>
    </row>
    <row r="10" spans="1:14" x14ac:dyDescent="0.25">
      <c r="A10" s="52" t="s">
        <v>6</v>
      </c>
      <c r="B10" s="38"/>
      <c r="C10" s="38"/>
      <c r="D10" s="38"/>
      <c r="E10" s="38"/>
      <c r="F10" s="38"/>
      <c r="G10" s="38"/>
      <c r="H10" s="38"/>
      <c r="I10" s="38"/>
      <c r="J10" s="38"/>
      <c r="K10" s="38"/>
      <c r="L10" s="38"/>
      <c r="M10" s="38"/>
      <c r="N10" s="38"/>
    </row>
    <row r="11" spans="1:14" x14ac:dyDescent="0.25">
      <c r="A11" s="52" t="s">
        <v>231</v>
      </c>
      <c r="B11" s="38"/>
      <c r="C11" s="38" t="s">
        <v>240</v>
      </c>
      <c r="D11" s="38"/>
      <c r="E11" s="38"/>
      <c r="F11" s="38"/>
      <c r="G11" s="38"/>
      <c r="H11" s="38"/>
      <c r="I11" s="38"/>
      <c r="J11" s="38"/>
      <c r="K11" s="38"/>
      <c r="L11" s="38"/>
      <c r="M11" s="38"/>
      <c r="N11" s="38"/>
    </row>
    <row r="12" spans="1:14" x14ac:dyDescent="0.25">
      <c r="A12" s="52" t="s">
        <v>8</v>
      </c>
      <c r="B12" s="38"/>
      <c r="C12" s="38" t="s">
        <v>240</v>
      </c>
      <c r="D12" s="38" t="s">
        <v>240</v>
      </c>
      <c r="E12" s="38"/>
      <c r="F12" s="38"/>
      <c r="G12" s="38"/>
      <c r="H12" s="38"/>
      <c r="I12" s="38"/>
      <c r="J12" s="38"/>
      <c r="K12" s="38"/>
      <c r="L12" s="38"/>
      <c r="M12" s="38"/>
      <c r="N12" s="38"/>
    </row>
    <row r="13" spans="1:14" x14ac:dyDescent="0.25">
      <c r="A13" s="52" t="s">
        <v>239</v>
      </c>
      <c r="B13" s="38" t="s">
        <v>240</v>
      </c>
      <c r="C13" s="38" t="s">
        <v>240</v>
      </c>
      <c r="D13" s="38"/>
      <c r="E13" s="38"/>
      <c r="F13" s="38"/>
      <c r="G13" s="38"/>
      <c r="H13" s="38"/>
      <c r="I13" s="38"/>
      <c r="J13" s="38"/>
      <c r="K13" s="38"/>
      <c r="L13" s="38"/>
      <c r="M13" s="38"/>
      <c r="N13" s="38"/>
    </row>
    <row r="14" spans="1:14" x14ac:dyDescent="0.25">
      <c r="A14" s="52" t="s">
        <v>10</v>
      </c>
      <c r="B14" s="38"/>
      <c r="C14" s="38"/>
      <c r="D14" s="38"/>
      <c r="E14" s="38"/>
      <c r="F14" s="38"/>
      <c r="G14" s="38" t="s">
        <v>241</v>
      </c>
      <c r="H14" s="38"/>
      <c r="I14" s="38"/>
      <c r="J14" s="38"/>
      <c r="K14" s="38"/>
      <c r="L14" s="38"/>
      <c r="M14" s="38"/>
      <c r="N14" s="38"/>
    </row>
    <row r="15" spans="1:14" x14ac:dyDescent="0.25">
      <c r="A15" s="52" t="s">
        <v>11</v>
      </c>
      <c r="B15" s="38"/>
      <c r="C15" s="38"/>
      <c r="D15" s="38"/>
      <c r="E15" s="38" t="s">
        <v>240</v>
      </c>
      <c r="F15" s="38"/>
      <c r="G15" s="38"/>
      <c r="H15" s="38" t="s">
        <v>240</v>
      </c>
      <c r="I15" s="38"/>
      <c r="J15" s="38"/>
      <c r="K15" s="38"/>
      <c r="L15" s="38"/>
      <c r="M15" s="38"/>
      <c r="N15" s="38"/>
    </row>
    <row r="16" spans="1:14" x14ac:dyDescent="0.25">
      <c r="A16" s="52" t="s">
        <v>12</v>
      </c>
      <c r="B16" s="38"/>
      <c r="C16" s="38" t="s">
        <v>240</v>
      </c>
      <c r="D16" s="38"/>
      <c r="E16" s="38"/>
      <c r="F16" s="38" t="s">
        <v>240</v>
      </c>
      <c r="G16" s="38"/>
      <c r="H16" s="38"/>
      <c r="I16" s="38" t="s">
        <v>241</v>
      </c>
      <c r="J16" s="38"/>
      <c r="K16" s="38"/>
      <c r="L16" s="38"/>
      <c r="M16" s="38"/>
      <c r="N16" s="38"/>
    </row>
    <row r="17" spans="1:14" x14ac:dyDescent="0.25">
      <c r="A17" s="52" t="s">
        <v>13</v>
      </c>
      <c r="B17" s="38"/>
      <c r="C17" s="38"/>
      <c r="D17" s="38"/>
      <c r="E17" s="38"/>
      <c r="F17" s="38"/>
      <c r="G17" s="38"/>
      <c r="H17" s="38"/>
      <c r="I17" s="38"/>
      <c r="J17" s="38" t="s">
        <v>241</v>
      </c>
      <c r="K17" s="38"/>
      <c r="L17" s="38"/>
      <c r="M17" s="38"/>
      <c r="N17" s="38"/>
    </row>
    <row r="18" spans="1:14" x14ac:dyDescent="0.25">
      <c r="A18" s="52" t="s">
        <v>15</v>
      </c>
      <c r="B18" s="38" t="s">
        <v>240</v>
      </c>
      <c r="C18" s="38" t="s">
        <v>240</v>
      </c>
      <c r="D18" s="38"/>
      <c r="E18" s="38" t="s">
        <v>240</v>
      </c>
      <c r="F18" s="38"/>
      <c r="G18" s="38"/>
      <c r="H18" s="38"/>
      <c r="I18" s="38"/>
      <c r="J18" s="38"/>
      <c r="K18" s="38"/>
      <c r="L18" s="38"/>
      <c r="M18" s="38" t="s">
        <v>240</v>
      </c>
      <c r="N18" s="38" t="s">
        <v>240</v>
      </c>
    </row>
    <row r="19" spans="1:14" x14ac:dyDescent="0.25">
      <c r="A19" s="52" t="s">
        <v>16</v>
      </c>
      <c r="B19" s="38"/>
      <c r="C19" s="38"/>
      <c r="D19" s="38"/>
      <c r="E19" s="38"/>
      <c r="F19" s="38"/>
      <c r="G19" s="38"/>
      <c r="H19" s="38"/>
      <c r="I19" s="38"/>
      <c r="J19" s="38"/>
      <c r="K19" s="38"/>
      <c r="L19" s="38" t="s">
        <v>241</v>
      </c>
      <c r="M19" s="38"/>
      <c r="N19" s="38"/>
    </row>
    <row r="20" spans="1:14" x14ac:dyDescent="0.25">
      <c r="A20" s="52" t="s">
        <v>17</v>
      </c>
      <c r="B20" s="38"/>
      <c r="C20" s="38"/>
      <c r="D20" s="38"/>
      <c r="E20" s="38"/>
      <c r="F20" s="38"/>
      <c r="G20" s="38"/>
      <c r="H20" s="38"/>
      <c r="I20" s="38"/>
      <c r="J20" s="38"/>
      <c r="K20" s="38"/>
      <c r="L20" s="38" t="s">
        <v>241</v>
      </c>
      <c r="M20" s="38"/>
      <c r="N20" s="38"/>
    </row>
    <row r="22" spans="1:14" x14ac:dyDescent="0.25">
      <c r="A22" t="s">
        <v>242</v>
      </c>
      <c r="B22" s="38" t="s">
        <v>240</v>
      </c>
    </row>
    <row r="23" spans="1:14" x14ac:dyDescent="0.25">
      <c r="A23" t="s">
        <v>243</v>
      </c>
      <c r="B23" s="38" t="s">
        <v>241</v>
      </c>
    </row>
    <row r="26" spans="1:14" x14ac:dyDescent="0.25">
      <c r="A26" s="4" t="s">
        <v>257</v>
      </c>
    </row>
    <row r="27" spans="1:14" x14ac:dyDescent="0.25">
      <c r="A27" s="4"/>
    </row>
    <row r="28" spans="1:14" x14ac:dyDescent="0.25">
      <c r="A28" t="s">
        <v>258</v>
      </c>
    </row>
    <row r="29" spans="1:14" x14ac:dyDescent="0.25">
      <c r="A29" t="s">
        <v>259</v>
      </c>
    </row>
    <row r="37" spans="1:8" x14ac:dyDescent="0.25">
      <c r="A37" t="s">
        <v>260</v>
      </c>
    </row>
    <row r="38" spans="1:8" x14ac:dyDescent="0.25">
      <c r="A38" t="s">
        <v>261</v>
      </c>
    </row>
    <row r="39" spans="1:8" x14ac:dyDescent="0.25">
      <c r="A39" t="s">
        <v>262</v>
      </c>
      <c r="H39" t="s">
        <v>263</v>
      </c>
    </row>
    <row r="40" spans="1:8" x14ac:dyDescent="0.25">
      <c r="A40" t="s">
        <v>266</v>
      </c>
    </row>
    <row r="41" spans="1:8" x14ac:dyDescent="0.25">
      <c r="A41" t="s">
        <v>264</v>
      </c>
    </row>
    <row r="42" spans="1:8" x14ac:dyDescent="0.25">
      <c r="A42" t="s">
        <v>265</v>
      </c>
    </row>
  </sheetData>
  <pageMargins left="0.75" right="0.75" top="1" bottom="1" header="0.5" footer="0.5"/>
  <pageSetup paperSize="9" orientation="portrait" horizontalDpi="300" verticalDpi="300" r:id="rId1"/>
  <headerFooter alignWithMargins="0">
    <oddHeader>&amp;Chttp://www.production-scheduling.com</oddHeader>
  </headerFooter>
  <drawing r:id="rId2"/>
  <legacyDrawing r:id="rId3"/>
  <oleObjects>
    <mc:AlternateContent xmlns:mc="http://schemas.openxmlformats.org/markup-compatibility/2006">
      <mc:Choice Requires="x14">
        <oleObject progId="Paint.Picture" shapeId="5141" r:id="rId4">
          <objectPr defaultSize="0" r:id="rId5">
            <anchor moveWithCells="1">
              <from>
                <xdr:col>5</xdr:col>
                <xdr:colOff>175260</xdr:colOff>
                <xdr:row>38</xdr:row>
                <xdr:rowOff>22860</xdr:rowOff>
              </from>
              <to>
                <xdr:col>6</xdr:col>
                <xdr:colOff>137160</xdr:colOff>
                <xdr:row>39</xdr:row>
                <xdr:rowOff>30480</xdr:rowOff>
              </to>
            </anchor>
          </objectPr>
        </oleObject>
      </mc:Choice>
      <mc:Fallback>
        <oleObject progId="Paint.Picture" shapeId="5141"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showRowColHeaders="0" workbookViewId="0">
      <selection activeCell="C1" sqref="C1"/>
    </sheetView>
  </sheetViews>
  <sheetFormatPr defaultRowHeight="13.2" x14ac:dyDescent="0.25"/>
  <cols>
    <col min="1" max="1" width="8.44140625" customWidth="1"/>
    <col min="2" max="2" width="23.88671875" customWidth="1"/>
    <col min="3" max="3" width="17.44140625" customWidth="1"/>
    <col min="4" max="4" width="25.109375" customWidth="1"/>
  </cols>
  <sheetData>
    <row r="1" spans="1:4" x14ac:dyDescent="0.25">
      <c r="A1" s="4" t="s">
        <v>18</v>
      </c>
    </row>
    <row r="3" spans="1:4" x14ac:dyDescent="0.25">
      <c r="A3" t="s">
        <v>19</v>
      </c>
    </row>
    <row r="5" spans="1:4" x14ac:dyDescent="0.25">
      <c r="A5" s="5" t="s">
        <v>20</v>
      </c>
    </row>
    <row r="6" spans="1:4" ht="39.75" customHeight="1" x14ac:dyDescent="0.25">
      <c r="A6" s="125" t="s">
        <v>21</v>
      </c>
      <c r="B6" s="125"/>
      <c r="C6" s="125"/>
      <c r="D6" s="125"/>
    </row>
    <row r="8" spans="1:4" x14ac:dyDescent="0.25">
      <c r="A8" s="6" t="s">
        <v>22</v>
      </c>
      <c r="B8" s="6" t="s">
        <v>23</v>
      </c>
      <c r="C8" s="6" t="s">
        <v>24</v>
      </c>
      <c r="D8" s="6" t="s">
        <v>25</v>
      </c>
    </row>
    <row r="9" spans="1:4" x14ac:dyDescent="0.25">
      <c r="A9" s="52" t="s">
        <v>26</v>
      </c>
      <c r="B9" s="52" t="s">
        <v>27</v>
      </c>
      <c r="C9" s="20">
        <v>48</v>
      </c>
      <c r="D9" s="20">
        <v>1000</v>
      </c>
    </row>
    <row r="10" spans="1:4" x14ac:dyDescent="0.25">
      <c r="A10" s="52" t="s">
        <v>28</v>
      </c>
      <c r="B10" s="52" t="s">
        <v>29</v>
      </c>
      <c r="C10" s="20">
        <v>48</v>
      </c>
      <c r="D10" s="20">
        <v>1400</v>
      </c>
    </row>
    <row r="11" spans="1:4" x14ac:dyDescent="0.25">
      <c r="A11" s="52" t="s">
        <v>30</v>
      </c>
      <c r="B11" s="52" t="s">
        <v>31</v>
      </c>
      <c r="C11" s="20">
        <v>24</v>
      </c>
      <c r="D11" s="20">
        <v>800</v>
      </c>
    </row>
    <row r="12" spans="1:4" x14ac:dyDescent="0.25">
      <c r="A12" s="52" t="s">
        <v>32</v>
      </c>
      <c r="B12" s="52" t="s">
        <v>33</v>
      </c>
      <c r="C12" s="20">
        <v>48</v>
      </c>
      <c r="D12" s="20">
        <v>200</v>
      </c>
    </row>
    <row r="13" spans="1:4" x14ac:dyDescent="0.25">
      <c r="A13" s="52" t="s">
        <v>34</v>
      </c>
      <c r="B13" s="52" t="s">
        <v>35</v>
      </c>
      <c r="C13" s="20">
        <v>48</v>
      </c>
      <c r="D13" s="20">
        <v>1200</v>
      </c>
    </row>
    <row r="14" spans="1:4" x14ac:dyDescent="0.25">
      <c r="A14" s="52" t="s">
        <v>36</v>
      </c>
      <c r="B14" s="52" t="s">
        <v>37</v>
      </c>
      <c r="C14" s="20">
        <v>24</v>
      </c>
      <c r="D14" s="20">
        <v>1600</v>
      </c>
    </row>
    <row r="16" spans="1:4" x14ac:dyDescent="0.25">
      <c r="A16" s="5" t="s">
        <v>38</v>
      </c>
    </row>
    <row r="17" spans="1:4" ht="51.75" customHeight="1" x14ac:dyDescent="0.25">
      <c r="A17" s="125" t="s">
        <v>39</v>
      </c>
      <c r="B17" s="125"/>
      <c r="C17" s="125"/>
      <c r="D17" s="125"/>
    </row>
    <row r="19" spans="1:4" x14ac:dyDescent="0.25">
      <c r="A19" s="5" t="s">
        <v>40</v>
      </c>
    </row>
    <row r="20" spans="1:4" ht="65.25" customHeight="1" x14ac:dyDescent="0.25">
      <c r="A20" s="125" t="s">
        <v>287</v>
      </c>
      <c r="B20" s="125"/>
      <c r="C20" s="125"/>
      <c r="D20" s="125"/>
    </row>
    <row r="22" spans="1:4" ht="39" customHeight="1" x14ac:dyDescent="0.25">
      <c r="A22" s="125" t="s">
        <v>41</v>
      </c>
      <c r="B22" s="125"/>
      <c r="C22" s="125"/>
      <c r="D22" s="125"/>
    </row>
    <row r="24" spans="1:4" x14ac:dyDescent="0.25">
      <c r="A24" s="5" t="s">
        <v>42</v>
      </c>
    </row>
    <row r="25" spans="1:4" ht="37.5" customHeight="1" x14ac:dyDescent="0.25">
      <c r="A25" s="125" t="s">
        <v>43</v>
      </c>
      <c r="B25" s="125"/>
      <c r="C25" s="125"/>
      <c r="D25" s="125"/>
    </row>
  </sheetData>
  <mergeCells count="5">
    <mergeCell ref="A25:D25"/>
    <mergeCell ref="A6:D6"/>
    <mergeCell ref="A17:D17"/>
    <mergeCell ref="A20:D20"/>
    <mergeCell ref="A22:D22"/>
  </mergeCells>
  <pageMargins left="0.75" right="0.75" top="1" bottom="1" header="0.5" footer="0.5"/>
  <pageSetup paperSize="9" orientation="portrait" horizontalDpi="300" verticalDpi="300" r:id="rId1"/>
  <headerFooter alignWithMargins="0">
    <oddHeader>&amp;Chttp://www.production-scheduling.com</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85" workbookViewId="0">
      <selection activeCell="A2" sqref="A2"/>
    </sheetView>
  </sheetViews>
  <sheetFormatPr defaultRowHeight="13.2" x14ac:dyDescent="0.25"/>
  <cols>
    <col min="2" max="2" width="24.88671875" customWidth="1"/>
    <col min="4" max="4" width="11.6640625" customWidth="1"/>
    <col min="6" max="6" width="18.6640625" customWidth="1"/>
    <col min="7" max="7" width="7.44140625" customWidth="1"/>
    <col min="8" max="8" width="9.88671875" customWidth="1"/>
  </cols>
  <sheetData>
    <row r="1" spans="1:8" x14ac:dyDescent="0.25">
      <c r="A1" s="4" t="s">
        <v>5</v>
      </c>
    </row>
    <row r="3" spans="1:8" x14ac:dyDescent="0.25">
      <c r="A3" t="s">
        <v>44</v>
      </c>
    </row>
    <row r="4" spans="1:8" x14ac:dyDescent="0.25">
      <c r="A4" t="s">
        <v>322</v>
      </c>
    </row>
    <row r="6" spans="1:8" ht="39.6" x14ac:dyDescent="0.25">
      <c r="A6" s="8" t="s">
        <v>22</v>
      </c>
      <c r="B6" s="8" t="s">
        <v>23</v>
      </c>
      <c r="C6" s="8" t="s">
        <v>45</v>
      </c>
      <c r="D6" s="8" t="s">
        <v>46</v>
      </c>
      <c r="E6" s="8" t="s">
        <v>47</v>
      </c>
      <c r="F6" s="8" t="s">
        <v>48</v>
      </c>
      <c r="G6" s="8" t="s">
        <v>49</v>
      </c>
      <c r="H6" s="8" t="s">
        <v>50</v>
      </c>
    </row>
    <row r="7" spans="1:8" x14ac:dyDescent="0.25">
      <c r="A7" t="s">
        <v>26</v>
      </c>
      <c r="B7" t="s">
        <v>27</v>
      </c>
      <c r="C7" t="s">
        <v>230</v>
      </c>
      <c r="D7" t="s">
        <v>51</v>
      </c>
      <c r="E7" s="9" t="s">
        <v>52</v>
      </c>
      <c r="F7" s="9" t="e">
        <f>VLOOKUP(E7,'Supplier Master'!$A$4:$B$10,2,FALSE)</f>
        <v>#N/A</v>
      </c>
      <c r="G7" s="9"/>
      <c r="H7" s="10">
        <v>1854</v>
      </c>
    </row>
    <row r="8" spans="1:8" x14ac:dyDescent="0.25">
      <c r="A8" t="s">
        <v>28</v>
      </c>
      <c r="B8" t="s">
        <v>29</v>
      </c>
      <c r="C8" t="s">
        <v>230</v>
      </c>
      <c r="D8" t="s">
        <v>51</v>
      </c>
      <c r="E8" s="9" t="s">
        <v>52</v>
      </c>
      <c r="F8" s="9" t="e">
        <f>VLOOKUP(E8,'Supplier Master'!$A$4:$B$10,2,FALSE)</f>
        <v>#N/A</v>
      </c>
      <c r="G8" s="9"/>
      <c r="H8" s="10">
        <v>1470</v>
      </c>
    </row>
    <row r="9" spans="1:8" x14ac:dyDescent="0.25">
      <c r="A9" t="s">
        <v>30</v>
      </c>
      <c r="B9" t="s">
        <v>31</v>
      </c>
      <c r="C9" t="s">
        <v>230</v>
      </c>
      <c r="D9" t="s">
        <v>51</v>
      </c>
      <c r="E9" s="9" t="s">
        <v>52</v>
      </c>
      <c r="F9" s="9" t="e">
        <f>VLOOKUP(E9,'Supplier Master'!$A$4:$B$10,2,FALSE)</f>
        <v>#N/A</v>
      </c>
      <c r="G9" s="9"/>
      <c r="H9" s="10">
        <v>470</v>
      </c>
    </row>
    <row r="10" spans="1:8" x14ac:dyDescent="0.25">
      <c r="A10" t="s">
        <v>32</v>
      </c>
      <c r="B10" t="s">
        <v>33</v>
      </c>
      <c r="C10" t="s">
        <v>230</v>
      </c>
      <c r="D10" t="s">
        <v>51</v>
      </c>
      <c r="E10" s="9" t="s">
        <v>52</v>
      </c>
      <c r="F10" s="9" t="e">
        <f>VLOOKUP(E10,'Supplier Master'!$A$4:$B$10,2,FALSE)</f>
        <v>#N/A</v>
      </c>
      <c r="G10" s="9"/>
      <c r="H10" s="10">
        <v>488</v>
      </c>
    </row>
    <row r="11" spans="1:8" x14ac:dyDescent="0.25">
      <c r="A11" t="s">
        <v>34</v>
      </c>
      <c r="B11" t="s">
        <v>35</v>
      </c>
      <c r="C11" t="s">
        <v>230</v>
      </c>
      <c r="D11" t="s">
        <v>51</v>
      </c>
      <c r="E11" s="9" t="s">
        <v>52</v>
      </c>
      <c r="F11" s="9" t="e">
        <f>VLOOKUP(E11,'Supplier Master'!$A$4:$B$10,2,FALSE)</f>
        <v>#N/A</v>
      </c>
      <c r="G11" s="9"/>
      <c r="H11" s="10">
        <v>1148</v>
      </c>
    </row>
    <row r="12" spans="1:8" x14ac:dyDescent="0.25">
      <c r="A12" t="s">
        <v>36</v>
      </c>
      <c r="B12" t="s">
        <v>37</v>
      </c>
      <c r="C12" t="s">
        <v>230</v>
      </c>
      <c r="D12" t="s">
        <v>51</v>
      </c>
      <c r="E12" s="9" t="s">
        <v>52</v>
      </c>
      <c r="F12" s="9" t="e">
        <f>VLOOKUP(E12,'Supplier Master'!$A$4:$B$10,2,FALSE)</f>
        <v>#N/A</v>
      </c>
      <c r="G12" s="9"/>
      <c r="H12" s="10">
        <v>766</v>
      </c>
    </row>
    <row r="13" spans="1:8" x14ac:dyDescent="0.25">
      <c r="A13" t="s">
        <v>53</v>
      </c>
      <c r="B13" t="s">
        <v>54</v>
      </c>
      <c r="C13" t="s">
        <v>55</v>
      </c>
      <c r="D13" t="s">
        <v>56</v>
      </c>
      <c r="E13" t="s">
        <v>57</v>
      </c>
      <c r="F13" s="9" t="str">
        <f>VLOOKUP(E13,'Supplier Master'!$A$4:$B$10,2,FALSE)</f>
        <v>Ace Chemicals</v>
      </c>
      <c r="G13">
        <v>14</v>
      </c>
      <c r="H13" s="10">
        <v>34276</v>
      </c>
    </row>
    <row r="14" spans="1:8" x14ac:dyDescent="0.25">
      <c r="A14" t="s">
        <v>58</v>
      </c>
      <c r="B14" t="s">
        <v>59</v>
      </c>
      <c r="C14" t="s">
        <v>55</v>
      </c>
      <c r="D14" t="s">
        <v>56</v>
      </c>
      <c r="E14" t="s">
        <v>60</v>
      </c>
      <c r="F14" s="9" t="str">
        <f>VLOOKUP(E14,'Supplier Master'!$A$4:$B$10,2,FALSE)</f>
        <v>Chang Essences</v>
      </c>
      <c r="G14">
        <v>30</v>
      </c>
      <c r="H14" s="10">
        <v>1494</v>
      </c>
    </row>
    <row r="15" spans="1:8" x14ac:dyDescent="0.25">
      <c r="A15" t="s">
        <v>61</v>
      </c>
      <c r="B15" t="s">
        <v>62</v>
      </c>
      <c r="C15" t="s">
        <v>55</v>
      </c>
      <c r="D15" t="s">
        <v>56</v>
      </c>
      <c r="E15" t="s">
        <v>60</v>
      </c>
      <c r="F15" s="9" t="str">
        <f>VLOOKUP(E15,'Supplier Master'!$A$4:$B$10,2,FALSE)</f>
        <v>Chang Essences</v>
      </c>
      <c r="G15">
        <v>30</v>
      </c>
      <c r="H15" s="10">
        <v>1002</v>
      </c>
    </row>
    <row r="16" spans="1:8" x14ac:dyDescent="0.25">
      <c r="A16" t="s">
        <v>63</v>
      </c>
      <c r="B16" t="s">
        <v>64</v>
      </c>
      <c r="C16" t="s">
        <v>65</v>
      </c>
      <c r="D16" t="s">
        <v>56</v>
      </c>
      <c r="E16" t="s">
        <v>66</v>
      </c>
      <c r="F16" s="9" t="str">
        <f>VLOOKUP(E16,'Supplier Master'!$A$4:$B$10,2,FALSE)</f>
        <v>Best Plastics</v>
      </c>
      <c r="G16">
        <v>21</v>
      </c>
      <c r="H16" s="10">
        <v>122472</v>
      </c>
    </row>
    <row r="17" spans="1:8" x14ac:dyDescent="0.25">
      <c r="A17" t="s">
        <v>67</v>
      </c>
      <c r="B17" t="s">
        <v>68</v>
      </c>
      <c r="C17" t="s">
        <v>65</v>
      </c>
      <c r="D17" t="s">
        <v>56</v>
      </c>
      <c r="E17" t="s">
        <v>66</v>
      </c>
      <c r="F17" s="9" t="str">
        <f>VLOOKUP(E17,'Supplier Master'!$A$4:$B$10,2,FALSE)</f>
        <v>Best Plastics</v>
      </c>
      <c r="G17">
        <v>21</v>
      </c>
      <c r="H17" s="10">
        <v>184968</v>
      </c>
    </row>
    <row r="18" spans="1:8" x14ac:dyDescent="0.25">
      <c r="A18" t="s">
        <v>69</v>
      </c>
      <c r="B18" t="s">
        <v>70</v>
      </c>
      <c r="C18" t="s">
        <v>65</v>
      </c>
      <c r="D18" t="s">
        <v>56</v>
      </c>
      <c r="E18" t="s">
        <v>66</v>
      </c>
      <c r="F18" s="9" t="str">
        <f>VLOOKUP(E18,'Supplier Master'!$A$4:$B$10,2,FALSE)</f>
        <v>Best Plastics</v>
      </c>
      <c r="G18">
        <v>21</v>
      </c>
      <c r="H18" s="10">
        <v>36516</v>
      </c>
    </row>
    <row r="19" spans="1:8" x14ac:dyDescent="0.25">
      <c r="A19" t="s">
        <v>71</v>
      </c>
      <c r="B19" t="s">
        <v>72</v>
      </c>
      <c r="C19" t="s">
        <v>65</v>
      </c>
      <c r="D19" t="s">
        <v>56</v>
      </c>
      <c r="E19" t="s">
        <v>66</v>
      </c>
      <c r="F19" s="9" t="str">
        <f>VLOOKUP(E19,'Supplier Master'!$A$4:$B$10,2,FALSE)</f>
        <v>Best Plastics</v>
      </c>
      <c r="G19">
        <v>21</v>
      </c>
      <c r="H19" s="10">
        <v>65738</v>
      </c>
    </row>
    <row r="20" spans="1:8" x14ac:dyDescent="0.25">
      <c r="A20" t="s">
        <v>73</v>
      </c>
      <c r="B20" t="s">
        <v>74</v>
      </c>
      <c r="C20" t="s">
        <v>65</v>
      </c>
      <c r="D20" t="s">
        <v>56</v>
      </c>
      <c r="E20" t="s">
        <v>66</v>
      </c>
      <c r="F20" s="9" t="str">
        <f>VLOOKUP(E20,'Supplier Master'!$A$4:$B$10,2,FALSE)</f>
        <v>Best Plastics</v>
      </c>
      <c r="G20">
        <v>21</v>
      </c>
      <c r="H20" s="10">
        <v>37818</v>
      </c>
    </row>
    <row r="21" spans="1:8" x14ac:dyDescent="0.25">
      <c r="A21" t="s">
        <v>75</v>
      </c>
      <c r="B21" t="s">
        <v>76</v>
      </c>
      <c r="C21" t="s">
        <v>65</v>
      </c>
      <c r="D21" t="s">
        <v>56</v>
      </c>
      <c r="E21" t="s">
        <v>77</v>
      </c>
      <c r="F21" s="9" t="str">
        <f>VLOOKUP(E21,'Supplier Master'!$A$4:$B$10,2,FALSE)</f>
        <v>Dave's Printing</v>
      </c>
      <c r="G21">
        <v>7</v>
      </c>
      <c r="H21" s="10">
        <v>211796</v>
      </c>
    </row>
    <row r="22" spans="1:8" x14ac:dyDescent="0.25">
      <c r="A22" t="s">
        <v>78</v>
      </c>
      <c r="B22" t="s">
        <v>79</v>
      </c>
      <c r="C22" t="s">
        <v>65</v>
      </c>
      <c r="D22" t="s">
        <v>56</v>
      </c>
      <c r="E22" t="s">
        <v>77</v>
      </c>
      <c r="F22" s="9" t="str">
        <f>VLOOKUP(E22,'Supplier Master'!$A$4:$B$10,2,FALSE)</f>
        <v>Dave's Printing</v>
      </c>
      <c r="G22">
        <v>7</v>
      </c>
      <c r="H22" s="10">
        <v>266776</v>
      </c>
    </row>
    <row r="23" spans="1:8" x14ac:dyDescent="0.25">
      <c r="A23" t="s">
        <v>80</v>
      </c>
      <c r="B23" t="s">
        <v>81</v>
      </c>
      <c r="C23" t="s">
        <v>65</v>
      </c>
      <c r="D23" t="s">
        <v>56</v>
      </c>
      <c r="E23" t="s">
        <v>77</v>
      </c>
      <c r="F23" s="9" t="str">
        <f>VLOOKUP(E23,'Supplier Master'!$A$4:$B$10,2,FALSE)</f>
        <v>Dave's Printing</v>
      </c>
      <c r="G23">
        <v>7</v>
      </c>
      <c r="H23" s="10">
        <v>24964</v>
      </c>
    </row>
    <row r="24" spans="1:8" x14ac:dyDescent="0.25">
      <c r="A24" t="s">
        <v>82</v>
      </c>
      <c r="B24" t="s">
        <v>83</v>
      </c>
      <c r="C24" t="s">
        <v>65</v>
      </c>
      <c r="D24" t="s">
        <v>56</v>
      </c>
      <c r="E24" t="s">
        <v>77</v>
      </c>
      <c r="F24" s="9" t="str">
        <f>VLOOKUP(E24,'Supplier Master'!$A$4:$B$10,2,FALSE)</f>
        <v>Dave's Printing</v>
      </c>
      <c r="G24">
        <v>7</v>
      </c>
      <c r="H24" s="10">
        <v>32140</v>
      </c>
    </row>
    <row r="25" spans="1:8" x14ac:dyDescent="0.25">
      <c r="A25" t="s">
        <v>84</v>
      </c>
      <c r="B25" t="s">
        <v>85</v>
      </c>
      <c r="C25" t="s">
        <v>65</v>
      </c>
      <c r="D25" t="s">
        <v>56</v>
      </c>
      <c r="E25" t="s">
        <v>77</v>
      </c>
      <c r="F25" s="9" t="str">
        <f>VLOOKUP(E25,'Supplier Master'!$A$4:$B$10,2,FALSE)</f>
        <v>Dave's Printing</v>
      </c>
      <c r="G25">
        <v>7</v>
      </c>
      <c r="H25" s="10">
        <v>83496</v>
      </c>
    </row>
    <row r="26" spans="1:8" x14ac:dyDescent="0.25">
      <c r="A26" t="s">
        <v>86</v>
      </c>
      <c r="B26" t="s">
        <v>87</v>
      </c>
      <c r="C26" t="s">
        <v>65</v>
      </c>
      <c r="D26" t="s">
        <v>56</v>
      </c>
      <c r="E26" t="s">
        <v>77</v>
      </c>
      <c r="F26" s="9" t="str">
        <f>VLOOKUP(E26,'Supplier Master'!$A$4:$B$10,2,FALSE)</f>
        <v>Dave's Printing</v>
      </c>
      <c r="G26">
        <v>7</v>
      </c>
      <c r="H26" s="10">
        <v>117354</v>
      </c>
    </row>
    <row r="27" spans="1:8" x14ac:dyDescent="0.25">
      <c r="A27" t="s">
        <v>88</v>
      </c>
      <c r="B27" t="s">
        <v>89</v>
      </c>
      <c r="C27" t="s">
        <v>65</v>
      </c>
      <c r="D27" t="s">
        <v>56</v>
      </c>
      <c r="E27" t="s">
        <v>90</v>
      </c>
      <c r="F27" s="9" t="str">
        <f>VLOOKUP(E27,'Supplier Master'!$A$4:$B$10,2,FALSE)</f>
        <v>Eduardo Corrugates</v>
      </c>
      <c r="G27">
        <v>21</v>
      </c>
      <c r="H27" s="10">
        <v>998</v>
      </c>
    </row>
    <row r="28" spans="1:8" x14ac:dyDescent="0.25">
      <c r="A28" t="s">
        <v>91</v>
      </c>
      <c r="B28" t="s">
        <v>92</v>
      </c>
      <c r="C28" t="s">
        <v>65</v>
      </c>
      <c r="D28" t="s">
        <v>56</v>
      </c>
      <c r="E28" t="s">
        <v>90</v>
      </c>
      <c r="F28" s="9" t="str">
        <f>VLOOKUP(E28,'Supplier Master'!$A$4:$B$10,2,FALSE)</f>
        <v>Eduardo Corrugates</v>
      </c>
      <c r="G28">
        <v>21</v>
      </c>
      <c r="H28" s="10">
        <v>4368</v>
      </c>
    </row>
  </sheetData>
  <pageMargins left="0.75" right="0.75" top="1" bottom="1" header="0.5" footer="0.5"/>
  <pageSetup paperSize="9" orientation="portrait" horizontalDpi="300" verticalDpi="300" r:id="rId1"/>
  <headerFooter alignWithMargins="0">
    <oddHeader>&amp;Chttp://www.production-scheduling.com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3.2" x14ac:dyDescent="0.25"/>
  <cols>
    <col min="2" max="2" width="20.109375" customWidth="1"/>
  </cols>
  <sheetData>
    <row r="1" spans="1:2" x14ac:dyDescent="0.25">
      <c r="A1" s="4" t="s">
        <v>6</v>
      </c>
    </row>
    <row r="4" spans="1:2" x14ac:dyDescent="0.25">
      <c r="A4" s="11" t="s">
        <v>22</v>
      </c>
      <c r="B4" s="11" t="s">
        <v>48</v>
      </c>
    </row>
    <row r="5" spans="1:2" x14ac:dyDescent="0.25">
      <c r="A5" t="s">
        <v>57</v>
      </c>
      <c r="B5" t="s">
        <v>93</v>
      </c>
    </row>
    <row r="6" spans="1:2" x14ac:dyDescent="0.25">
      <c r="A6" t="s">
        <v>66</v>
      </c>
      <c r="B6" t="s">
        <v>94</v>
      </c>
    </row>
    <row r="7" spans="1:2" x14ac:dyDescent="0.25">
      <c r="A7" t="s">
        <v>60</v>
      </c>
      <c r="B7" t="s">
        <v>95</v>
      </c>
    </row>
    <row r="8" spans="1:2" x14ac:dyDescent="0.25">
      <c r="A8" t="s">
        <v>77</v>
      </c>
      <c r="B8" t="s">
        <v>96</v>
      </c>
    </row>
    <row r="9" spans="1:2" x14ac:dyDescent="0.25">
      <c r="A9" t="s">
        <v>90</v>
      </c>
      <c r="B9" t="s">
        <v>97</v>
      </c>
    </row>
  </sheetData>
  <pageMargins left="0.75" right="0.75" top="1" bottom="1" header="0.5" footer="0.5"/>
  <pageSetup paperSize="9" orientation="portrait" horizontalDpi="300" verticalDpi="300" r:id="rId1"/>
  <headerFooter alignWithMargins="0">
    <oddHeader>&amp;Chttp://www.production-scheduling.com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A4" sqref="A4"/>
    </sheetView>
  </sheetViews>
  <sheetFormatPr defaultRowHeight="13.2" x14ac:dyDescent="0.25"/>
  <cols>
    <col min="1" max="1" width="8.88671875" customWidth="1"/>
    <col min="2" max="2" width="13.44140625" customWidth="1"/>
    <col min="3" max="3" width="6.5546875" customWidth="1"/>
    <col min="4" max="4" width="24.5546875" customWidth="1"/>
  </cols>
  <sheetData>
    <row r="1" spans="1:4" x14ac:dyDescent="0.25">
      <c r="A1" s="4" t="s">
        <v>231</v>
      </c>
    </row>
    <row r="3" spans="1:4" x14ac:dyDescent="0.25">
      <c r="A3" t="s">
        <v>323</v>
      </c>
    </row>
    <row r="4" spans="1:4" x14ac:dyDescent="0.25">
      <c r="A4" t="s">
        <v>324</v>
      </c>
    </row>
    <row r="6" spans="1:4" ht="13.5" customHeight="1" x14ac:dyDescent="0.25">
      <c r="A6" s="111" t="s">
        <v>98</v>
      </c>
      <c r="B6" s="111" t="s">
        <v>99</v>
      </c>
      <c r="C6" s="111" t="s">
        <v>100</v>
      </c>
      <c r="D6" s="111" t="s">
        <v>101</v>
      </c>
    </row>
    <row r="7" spans="1:4" x14ac:dyDescent="0.25">
      <c r="A7" t="s">
        <v>26</v>
      </c>
      <c r="B7" t="s">
        <v>53</v>
      </c>
      <c r="C7" s="12">
        <v>4.8</v>
      </c>
      <c r="D7" t="str">
        <f>VLOOKUP(B7,'Item Master'!$A$7:$I$31,2,FALSE)</f>
        <v>Base Shampoo</v>
      </c>
    </row>
    <row r="8" spans="1:4" x14ac:dyDescent="0.25">
      <c r="A8" t="s">
        <v>26</v>
      </c>
      <c r="B8" t="s">
        <v>63</v>
      </c>
      <c r="C8" s="12">
        <v>48</v>
      </c>
      <c r="D8" t="str">
        <f>VLOOKUP(B8,'Item Master'!$A$7:$I$31,2,FALSE)</f>
        <v>Bottle 100ml</v>
      </c>
    </row>
    <row r="9" spans="1:4" x14ac:dyDescent="0.25">
      <c r="A9" t="s">
        <v>26</v>
      </c>
      <c r="B9" t="s">
        <v>71</v>
      </c>
      <c r="C9" s="12">
        <v>48</v>
      </c>
      <c r="D9" t="str">
        <f>VLOOKUP(B9,'Item Master'!$A$7:$I$31,2,FALSE)</f>
        <v>Flip cap</v>
      </c>
    </row>
    <row r="10" spans="1:4" x14ac:dyDescent="0.25">
      <c r="A10" t="s">
        <v>26</v>
      </c>
      <c r="B10" t="s">
        <v>88</v>
      </c>
      <c r="C10" s="12">
        <v>1</v>
      </c>
      <c r="D10" t="str">
        <f>VLOOKUP(B10,'Item Master'!$A$7:$I$31,2,FALSE)</f>
        <v>Carton small</v>
      </c>
    </row>
    <row r="11" spans="1:4" x14ac:dyDescent="0.25">
      <c r="A11" t="s">
        <v>26</v>
      </c>
      <c r="B11" t="s">
        <v>58</v>
      </c>
      <c r="C11" s="12">
        <v>4.8000000000000001E-2</v>
      </c>
      <c r="D11" t="str">
        <f>VLOOKUP(B11,'Item Master'!$A$7:$I$31,2,FALSE)</f>
        <v>Apple essence</v>
      </c>
    </row>
    <row r="12" spans="1:4" x14ac:dyDescent="0.25">
      <c r="A12" t="s">
        <v>26</v>
      </c>
      <c r="B12" t="s">
        <v>75</v>
      </c>
      <c r="C12" s="12">
        <v>50</v>
      </c>
      <c r="D12" t="str">
        <f>VLOOKUP(B12,'Item Master'!$A$7:$I$31,2,FALSE)</f>
        <v>Label Apple Blossom 100ml</v>
      </c>
    </row>
    <row r="13" spans="1:4" x14ac:dyDescent="0.25">
      <c r="A13" t="s">
        <v>28</v>
      </c>
      <c r="B13" t="s">
        <v>53</v>
      </c>
      <c r="C13" s="12">
        <v>12</v>
      </c>
      <c r="D13" t="str">
        <f>VLOOKUP(B13,'Item Master'!$A$7:$I$31,2,FALSE)</f>
        <v>Base Shampoo</v>
      </c>
    </row>
    <row r="14" spans="1:4" x14ac:dyDescent="0.25">
      <c r="A14" t="s">
        <v>28</v>
      </c>
      <c r="B14" t="s">
        <v>67</v>
      </c>
      <c r="C14" s="12">
        <v>48</v>
      </c>
      <c r="D14" t="str">
        <f>VLOOKUP(B14,'Item Master'!$A$7:$I$31,2,FALSE)</f>
        <v>Bottle 250ml</v>
      </c>
    </row>
    <row r="15" spans="1:4" x14ac:dyDescent="0.25">
      <c r="A15" t="s">
        <v>28</v>
      </c>
      <c r="B15" t="s">
        <v>71</v>
      </c>
      <c r="C15" s="12">
        <v>48</v>
      </c>
      <c r="D15" t="str">
        <f>VLOOKUP(B15,'Item Master'!$A$7:$I$31,2,FALSE)</f>
        <v>Flip cap</v>
      </c>
    </row>
    <row r="16" spans="1:4" x14ac:dyDescent="0.25">
      <c r="A16" t="s">
        <v>28</v>
      </c>
      <c r="B16" t="s">
        <v>91</v>
      </c>
      <c r="C16" s="12">
        <v>1</v>
      </c>
      <c r="D16" t="str">
        <f>VLOOKUP(B16,'Item Master'!$A$7:$I$31,2,FALSE)</f>
        <v>Carton large</v>
      </c>
    </row>
    <row r="17" spans="1:4" x14ac:dyDescent="0.25">
      <c r="A17" t="s">
        <v>28</v>
      </c>
      <c r="B17" t="s">
        <v>58</v>
      </c>
      <c r="C17" s="12">
        <v>0.12</v>
      </c>
      <c r="D17" t="str">
        <f>VLOOKUP(B17,'Item Master'!$A$7:$I$31,2,FALSE)</f>
        <v>Apple essence</v>
      </c>
    </row>
    <row r="18" spans="1:4" x14ac:dyDescent="0.25">
      <c r="A18" t="s">
        <v>28</v>
      </c>
      <c r="B18" t="s">
        <v>78</v>
      </c>
      <c r="C18" s="12">
        <v>50</v>
      </c>
      <c r="D18" t="str">
        <f>VLOOKUP(B18,'Item Master'!$A$7:$I$31,2,FALSE)</f>
        <v>Label Apple Blossom 250ml</v>
      </c>
    </row>
    <row r="19" spans="1:4" x14ac:dyDescent="0.25">
      <c r="A19" t="s">
        <v>30</v>
      </c>
      <c r="B19" t="s">
        <v>53</v>
      </c>
      <c r="C19" s="12">
        <v>12</v>
      </c>
      <c r="D19" t="str">
        <f>VLOOKUP(B19,'Item Master'!$A$7:$I$31,2,FALSE)</f>
        <v>Base Shampoo</v>
      </c>
    </row>
    <row r="20" spans="1:4" x14ac:dyDescent="0.25">
      <c r="A20" t="s">
        <v>30</v>
      </c>
      <c r="B20" t="s">
        <v>69</v>
      </c>
      <c r="C20" s="12">
        <v>24</v>
      </c>
      <c r="D20" t="str">
        <f>VLOOKUP(B20,'Item Master'!$A$7:$I$31,2,FALSE)</f>
        <v>Bottle 500ml</v>
      </c>
    </row>
    <row r="21" spans="1:4" x14ac:dyDescent="0.25">
      <c r="A21" t="s">
        <v>30</v>
      </c>
      <c r="B21" t="s">
        <v>73</v>
      </c>
      <c r="C21" s="12">
        <v>24</v>
      </c>
      <c r="D21" t="str">
        <f>VLOOKUP(B21,'Item Master'!$A$7:$I$31,2,FALSE)</f>
        <v>Screw cap</v>
      </c>
    </row>
    <row r="22" spans="1:4" x14ac:dyDescent="0.25">
      <c r="A22" t="s">
        <v>30</v>
      </c>
      <c r="B22" t="s">
        <v>91</v>
      </c>
      <c r="C22" s="12">
        <v>1</v>
      </c>
      <c r="D22" t="str">
        <f>VLOOKUP(B22,'Item Master'!$A$7:$I$31,2,FALSE)</f>
        <v>Carton large</v>
      </c>
    </row>
    <row r="23" spans="1:4" x14ac:dyDescent="0.25">
      <c r="A23" t="s">
        <v>30</v>
      </c>
      <c r="B23" t="s">
        <v>58</v>
      </c>
      <c r="C23" s="12">
        <v>0.12</v>
      </c>
      <c r="D23" t="str">
        <f>VLOOKUP(B23,'Item Master'!$A$7:$I$31,2,FALSE)</f>
        <v>Apple essence</v>
      </c>
    </row>
    <row r="24" spans="1:4" x14ac:dyDescent="0.25">
      <c r="A24" t="s">
        <v>30</v>
      </c>
      <c r="B24" t="s">
        <v>80</v>
      </c>
      <c r="C24" s="12">
        <v>26</v>
      </c>
      <c r="D24" t="str">
        <f>VLOOKUP(B24,'Item Master'!$A$7:$I$31,2,FALSE)</f>
        <v>Label Apple Blossom 500ml</v>
      </c>
    </row>
    <row r="25" spans="1:4" x14ac:dyDescent="0.25">
      <c r="A25" t="s">
        <v>32</v>
      </c>
      <c r="B25" t="s">
        <v>53</v>
      </c>
      <c r="C25" s="12">
        <v>4.8</v>
      </c>
      <c r="D25" t="str">
        <f>VLOOKUP(B25,'Item Master'!$A$7:$I$31,2,FALSE)</f>
        <v>Base Shampoo</v>
      </c>
    </row>
    <row r="26" spans="1:4" x14ac:dyDescent="0.25">
      <c r="A26" t="s">
        <v>32</v>
      </c>
      <c r="B26" t="s">
        <v>63</v>
      </c>
      <c r="C26" s="12">
        <v>48</v>
      </c>
      <c r="D26" t="str">
        <f>VLOOKUP(B26,'Item Master'!$A$7:$I$31,2,FALSE)</f>
        <v>Bottle 100ml</v>
      </c>
    </row>
    <row r="27" spans="1:4" x14ac:dyDescent="0.25">
      <c r="A27" t="s">
        <v>32</v>
      </c>
      <c r="B27" t="s">
        <v>71</v>
      </c>
      <c r="C27" s="12">
        <v>48</v>
      </c>
      <c r="D27" t="str">
        <f>VLOOKUP(B27,'Item Master'!$A$7:$I$31,2,FALSE)</f>
        <v>Flip cap</v>
      </c>
    </row>
    <row r="28" spans="1:4" x14ac:dyDescent="0.25">
      <c r="A28" t="s">
        <v>32</v>
      </c>
      <c r="B28" t="s">
        <v>88</v>
      </c>
      <c r="C28" s="12">
        <v>1</v>
      </c>
      <c r="D28" t="str">
        <f>VLOOKUP(B28,'Item Master'!$A$7:$I$31,2,FALSE)</f>
        <v>Carton small</v>
      </c>
    </row>
    <row r="29" spans="1:4" x14ac:dyDescent="0.25">
      <c r="A29" t="s">
        <v>32</v>
      </c>
      <c r="B29" t="s">
        <v>61</v>
      </c>
      <c r="C29" s="12">
        <v>4.8000000000000001E-2</v>
      </c>
      <c r="D29" t="str">
        <f>VLOOKUP(B29,'Item Master'!$A$7:$I$31,2,FALSE)</f>
        <v>Lemon essence</v>
      </c>
    </row>
    <row r="30" spans="1:4" x14ac:dyDescent="0.25">
      <c r="A30" t="s">
        <v>32</v>
      </c>
      <c r="B30" t="s">
        <v>82</v>
      </c>
      <c r="C30" s="12">
        <v>50</v>
      </c>
      <c r="D30" t="str">
        <f>VLOOKUP(B30,'Item Master'!$A$7:$I$31,2,FALSE)</f>
        <v>Label Fragrant Lemon 100ml</v>
      </c>
    </row>
    <row r="31" spans="1:4" x14ac:dyDescent="0.25">
      <c r="A31" t="s">
        <v>34</v>
      </c>
      <c r="B31" t="s">
        <v>53</v>
      </c>
      <c r="C31" s="12">
        <v>12</v>
      </c>
      <c r="D31" t="str">
        <f>VLOOKUP(B31,'Item Master'!$A$7:$I$31,2,FALSE)</f>
        <v>Base Shampoo</v>
      </c>
    </row>
    <row r="32" spans="1:4" x14ac:dyDescent="0.25">
      <c r="A32" t="s">
        <v>34</v>
      </c>
      <c r="B32" t="s">
        <v>67</v>
      </c>
      <c r="C32" s="12">
        <v>48</v>
      </c>
      <c r="D32" t="str">
        <f>VLOOKUP(B32,'Item Master'!$A$7:$I$31,2,FALSE)</f>
        <v>Bottle 250ml</v>
      </c>
    </row>
    <row r="33" spans="1:4" x14ac:dyDescent="0.25">
      <c r="A33" t="s">
        <v>34</v>
      </c>
      <c r="B33" t="s">
        <v>71</v>
      </c>
      <c r="C33" s="12">
        <v>48</v>
      </c>
      <c r="D33" t="str">
        <f>VLOOKUP(B33,'Item Master'!$A$7:$I$31,2,FALSE)</f>
        <v>Flip cap</v>
      </c>
    </row>
    <row r="34" spans="1:4" x14ac:dyDescent="0.25">
      <c r="A34" t="s">
        <v>34</v>
      </c>
      <c r="B34" t="s">
        <v>91</v>
      </c>
      <c r="C34" s="12">
        <v>1</v>
      </c>
      <c r="D34" t="str">
        <f>VLOOKUP(B34,'Item Master'!$A$7:$I$31,2,FALSE)</f>
        <v>Carton large</v>
      </c>
    </row>
    <row r="35" spans="1:4" x14ac:dyDescent="0.25">
      <c r="A35" t="s">
        <v>34</v>
      </c>
      <c r="B35" t="s">
        <v>61</v>
      </c>
      <c r="C35" s="12">
        <v>0.12</v>
      </c>
      <c r="D35" t="str">
        <f>VLOOKUP(B35,'Item Master'!$A$7:$I$31,2,FALSE)</f>
        <v>Lemon essence</v>
      </c>
    </row>
    <row r="36" spans="1:4" x14ac:dyDescent="0.25">
      <c r="A36" t="s">
        <v>34</v>
      </c>
      <c r="B36" t="s">
        <v>84</v>
      </c>
      <c r="C36" s="12">
        <v>50</v>
      </c>
      <c r="D36" t="str">
        <f>VLOOKUP(B36,'Item Master'!$A$7:$I$31,2,FALSE)</f>
        <v>Label Fragrant Lemon 250ml</v>
      </c>
    </row>
    <row r="37" spans="1:4" x14ac:dyDescent="0.25">
      <c r="A37" t="s">
        <v>36</v>
      </c>
      <c r="B37" t="s">
        <v>53</v>
      </c>
      <c r="C37" s="12">
        <v>12</v>
      </c>
      <c r="D37" t="str">
        <f>VLOOKUP(B37,'Item Master'!$A$7:$I$31,2,FALSE)</f>
        <v>Base Shampoo</v>
      </c>
    </row>
    <row r="38" spans="1:4" x14ac:dyDescent="0.25">
      <c r="A38" t="s">
        <v>36</v>
      </c>
      <c r="B38" t="s">
        <v>69</v>
      </c>
      <c r="C38" s="12">
        <v>24</v>
      </c>
      <c r="D38" t="str">
        <f>VLOOKUP(B38,'Item Master'!$A$7:$I$31,2,FALSE)</f>
        <v>Bottle 500ml</v>
      </c>
    </row>
    <row r="39" spans="1:4" x14ac:dyDescent="0.25">
      <c r="A39" t="s">
        <v>36</v>
      </c>
      <c r="B39" t="s">
        <v>73</v>
      </c>
      <c r="C39" s="12">
        <v>24</v>
      </c>
      <c r="D39" t="str">
        <f>VLOOKUP(B39,'Item Master'!$A$7:$I$31,2,FALSE)</f>
        <v>Screw cap</v>
      </c>
    </row>
    <row r="40" spans="1:4" x14ac:dyDescent="0.25">
      <c r="A40" t="s">
        <v>36</v>
      </c>
      <c r="B40" t="s">
        <v>91</v>
      </c>
      <c r="C40" s="12">
        <v>1</v>
      </c>
      <c r="D40" t="str">
        <f>VLOOKUP(B40,'Item Master'!$A$7:$I$31,2,FALSE)</f>
        <v>Carton large</v>
      </c>
    </row>
    <row r="41" spans="1:4" x14ac:dyDescent="0.25">
      <c r="A41" t="s">
        <v>36</v>
      </c>
      <c r="B41" t="s">
        <v>61</v>
      </c>
      <c r="C41" s="12">
        <v>0.12</v>
      </c>
      <c r="D41" t="str">
        <f>VLOOKUP(B41,'Item Master'!$A$7:$I$31,2,FALSE)</f>
        <v>Lemon essence</v>
      </c>
    </row>
    <row r="42" spans="1:4" x14ac:dyDescent="0.25">
      <c r="A42" t="s">
        <v>36</v>
      </c>
      <c r="B42" t="s">
        <v>86</v>
      </c>
      <c r="C42" s="12">
        <v>26</v>
      </c>
      <c r="D42" t="str">
        <f>VLOOKUP(B42,'Item Master'!$A$7:$I$31,2,FALSE)</f>
        <v>Label Fragrant Lemon 500ml</v>
      </c>
    </row>
  </sheetData>
  <pageMargins left="0.75" right="0.75" top="1" bottom="1" header="0.5" footer="0.5"/>
  <pageSetup paperSize="9" orientation="portrait" horizontalDpi="300" verticalDpi="300" r:id="rId1"/>
  <headerFooter alignWithMargins="0">
    <oddHeader>&amp;Chttp://www.production-scheduling.com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zoomScale="85" workbookViewId="0">
      <selection activeCell="A2" sqref="A2"/>
    </sheetView>
  </sheetViews>
  <sheetFormatPr defaultRowHeight="13.2" x14ac:dyDescent="0.25"/>
  <cols>
    <col min="2" max="2" width="25.44140625" customWidth="1"/>
    <col min="4" max="4" width="17.44140625" customWidth="1"/>
    <col min="5" max="5" width="9.33203125" customWidth="1"/>
    <col min="6" max="6" width="10.109375" customWidth="1"/>
  </cols>
  <sheetData>
    <row r="1" spans="1:6" x14ac:dyDescent="0.25">
      <c r="A1" s="4" t="s">
        <v>8</v>
      </c>
    </row>
    <row r="3" spans="1:6" x14ac:dyDescent="0.25">
      <c r="A3" t="s">
        <v>325</v>
      </c>
    </row>
    <row r="4" spans="1:6" x14ac:dyDescent="0.25">
      <c r="A4" t="s">
        <v>326</v>
      </c>
    </row>
    <row r="6" spans="1:6" x14ac:dyDescent="0.25">
      <c r="A6" s="8" t="s">
        <v>22</v>
      </c>
      <c r="B6" s="8" t="s">
        <v>23</v>
      </c>
      <c r="C6" s="8" t="s">
        <v>47</v>
      </c>
      <c r="D6" s="8" t="s">
        <v>48</v>
      </c>
      <c r="E6" s="8" t="s">
        <v>100</v>
      </c>
      <c r="F6" s="8" t="s">
        <v>102</v>
      </c>
    </row>
    <row r="7" spans="1:6" x14ac:dyDescent="0.25">
      <c r="A7" t="s">
        <v>53</v>
      </c>
      <c r="B7" t="str">
        <f>VLOOKUP(A7,'Item Master'!$A$6:$H$31,2,FALSE)</f>
        <v>Base Shampoo</v>
      </c>
      <c r="C7" t="s">
        <v>57</v>
      </c>
      <c r="D7" s="9" t="str">
        <f>VLOOKUP(C7,'Supplier Master'!$A$4:$B$10,2,FALSE)</f>
        <v>Ace Chemicals</v>
      </c>
      <c r="E7" s="10">
        <v>100000</v>
      </c>
      <c r="F7" s="13">
        <v>36603</v>
      </c>
    </row>
    <row r="8" spans="1:6" x14ac:dyDescent="0.25">
      <c r="A8" t="s">
        <v>53</v>
      </c>
      <c r="B8" t="str">
        <f>VLOOKUP(A8,'Item Master'!$A$6:$H$31,2,FALSE)</f>
        <v>Base Shampoo</v>
      </c>
      <c r="C8" t="s">
        <v>57</v>
      </c>
      <c r="D8" s="9" t="str">
        <f>VLOOKUP(C8,'Supplier Master'!$A$4:$B$10,2,FALSE)</f>
        <v>Ace Chemicals</v>
      </c>
      <c r="E8" s="10">
        <v>100000</v>
      </c>
      <c r="F8" s="13">
        <v>36615</v>
      </c>
    </row>
    <row r="9" spans="1:6" x14ac:dyDescent="0.25">
      <c r="A9" t="s">
        <v>63</v>
      </c>
      <c r="B9" t="str">
        <f>VLOOKUP(A9,'Item Master'!$A$6:$H$31,2,FALSE)</f>
        <v>Bottle 100ml</v>
      </c>
      <c r="C9" t="s">
        <v>66</v>
      </c>
      <c r="D9" s="9" t="str">
        <f>VLOOKUP(C9,'Supplier Master'!$A$4:$B$10,2,FALSE)</f>
        <v>Best Plastics</v>
      </c>
      <c r="E9" s="10">
        <v>40000</v>
      </c>
      <c r="F9" s="13">
        <v>36630</v>
      </c>
    </row>
    <row r="10" spans="1:6" x14ac:dyDescent="0.25">
      <c r="A10" t="s">
        <v>67</v>
      </c>
      <c r="B10" t="str">
        <f>VLOOKUP(A10,'Item Master'!$A$6:$H$31,2,FALSE)</f>
        <v>Bottle 250ml</v>
      </c>
      <c r="C10" t="s">
        <v>66</v>
      </c>
      <c r="D10" s="9" t="str">
        <f>VLOOKUP(C10,'Supplier Master'!$A$4:$B$10,2,FALSE)</f>
        <v>Best Plastics</v>
      </c>
      <c r="E10" s="10">
        <v>90000</v>
      </c>
      <c r="F10" s="13">
        <v>36603</v>
      </c>
    </row>
    <row r="11" spans="1:6" x14ac:dyDescent="0.25">
      <c r="A11" t="s">
        <v>67</v>
      </c>
      <c r="B11" t="str">
        <f>VLOOKUP(A11,'Item Master'!$A$6:$H$31,2,FALSE)</f>
        <v>Bottle 250ml</v>
      </c>
      <c r="C11" t="s">
        <v>66</v>
      </c>
      <c r="D11" s="9" t="str">
        <f>VLOOKUP(C11,'Supplier Master'!$A$4:$B$10,2,FALSE)</f>
        <v>Best Plastics</v>
      </c>
      <c r="E11" s="10">
        <v>40000</v>
      </c>
      <c r="F11" s="13">
        <v>36617</v>
      </c>
    </row>
    <row r="12" spans="1:6" x14ac:dyDescent="0.25">
      <c r="A12" t="s">
        <v>67</v>
      </c>
      <c r="B12" t="str">
        <f>VLOOKUP(A12,'Item Master'!$A$6:$H$31,2,FALSE)</f>
        <v>Bottle 250ml</v>
      </c>
      <c r="C12" t="s">
        <v>66</v>
      </c>
      <c r="D12" s="9" t="str">
        <f>VLOOKUP(C12,'Supplier Master'!$A$4:$B$10,2,FALSE)</f>
        <v>Best Plastics</v>
      </c>
      <c r="E12" s="10">
        <v>50000</v>
      </c>
      <c r="F12" s="13">
        <v>36638</v>
      </c>
    </row>
    <row r="13" spans="1:6" x14ac:dyDescent="0.25">
      <c r="A13" t="s">
        <v>69</v>
      </c>
      <c r="B13" t="str">
        <f>VLOOKUP(A13,'Item Master'!$A$6:$H$31,2,FALSE)</f>
        <v>Bottle 500ml</v>
      </c>
      <c r="C13" t="s">
        <v>66</v>
      </c>
      <c r="D13" s="9" t="str">
        <f>VLOOKUP(C13,'Supplier Master'!$A$4:$B$10,2,FALSE)</f>
        <v>Best Plastics</v>
      </c>
      <c r="E13" s="10">
        <v>100000</v>
      </c>
      <c r="F13" s="13">
        <v>36601</v>
      </c>
    </row>
    <row r="14" spans="1:6" x14ac:dyDescent="0.25">
      <c r="A14" t="s">
        <v>69</v>
      </c>
      <c r="B14" t="str">
        <f>VLOOKUP(A14,'Item Master'!$A$6:$H$31,2,FALSE)</f>
        <v>Bottle 500ml</v>
      </c>
      <c r="C14" t="s">
        <v>66</v>
      </c>
      <c r="D14" s="9" t="str">
        <f>VLOOKUP(C14,'Supplier Master'!$A$4:$B$10,2,FALSE)</f>
        <v>Best Plastics</v>
      </c>
      <c r="E14" s="10">
        <v>50000</v>
      </c>
      <c r="F14" s="13">
        <v>36617</v>
      </c>
    </row>
    <row r="15" spans="1:6" x14ac:dyDescent="0.25">
      <c r="A15" t="s">
        <v>69</v>
      </c>
      <c r="B15" t="str">
        <f>VLOOKUP(A15,'Item Master'!$A$6:$H$31,2,FALSE)</f>
        <v>Bottle 500ml</v>
      </c>
      <c r="C15" t="s">
        <v>66</v>
      </c>
      <c r="D15" s="9" t="str">
        <f>VLOOKUP(C15,'Supplier Master'!$A$4:$B$10,2,FALSE)</f>
        <v>Best Plastics</v>
      </c>
      <c r="E15" s="10">
        <v>50000</v>
      </c>
      <c r="F15" s="13">
        <v>36631</v>
      </c>
    </row>
    <row r="16" spans="1:6" x14ac:dyDescent="0.25">
      <c r="A16" t="s">
        <v>71</v>
      </c>
      <c r="B16" t="str">
        <f>VLOOKUP(A16,'Item Master'!$A$6:$H$31,2,FALSE)</f>
        <v>Flip cap</v>
      </c>
      <c r="C16" t="s">
        <v>66</v>
      </c>
      <c r="D16" s="9" t="str">
        <f>VLOOKUP(C16,'Supplier Master'!$A$4:$B$10,2,FALSE)</f>
        <v>Best Plastics</v>
      </c>
      <c r="E16" s="10">
        <v>200000</v>
      </c>
      <c r="F16" s="13">
        <v>36601</v>
      </c>
    </row>
    <row r="17" spans="1:6" x14ac:dyDescent="0.25">
      <c r="A17" t="s">
        <v>71</v>
      </c>
      <c r="B17" t="str">
        <f>VLOOKUP(A17,'Item Master'!$A$6:$H$31,2,FALSE)</f>
        <v>Flip cap</v>
      </c>
      <c r="C17" t="s">
        <v>66</v>
      </c>
      <c r="D17" s="9" t="str">
        <f>VLOOKUP(C17,'Supplier Master'!$A$4:$B$10,2,FALSE)</f>
        <v>Best Plastics</v>
      </c>
      <c r="E17" s="10">
        <v>300000</v>
      </c>
      <c r="F17" s="13">
        <v>36623</v>
      </c>
    </row>
    <row r="18" spans="1:6" x14ac:dyDescent="0.25">
      <c r="A18" t="s">
        <v>73</v>
      </c>
      <c r="B18" t="str">
        <f>VLOOKUP(A18,'Item Master'!$A$6:$H$31,2,FALSE)</f>
        <v>Screw cap</v>
      </c>
      <c r="C18" t="s">
        <v>66</v>
      </c>
      <c r="D18" s="9" t="str">
        <f>VLOOKUP(C18,'Supplier Master'!$A$4:$B$10,2,FALSE)</f>
        <v>Best Plastics</v>
      </c>
      <c r="E18" s="10">
        <v>100000</v>
      </c>
      <c r="F18" s="13">
        <v>36602</v>
      </c>
    </row>
    <row r="19" spans="1:6" x14ac:dyDescent="0.25">
      <c r="A19" t="s">
        <v>73</v>
      </c>
      <c r="B19" t="str">
        <f>VLOOKUP(A19,'Item Master'!$A$6:$H$31,2,FALSE)</f>
        <v>Screw cap</v>
      </c>
      <c r="C19" t="s">
        <v>66</v>
      </c>
      <c r="D19" s="9" t="str">
        <f>VLOOKUP(C19,'Supplier Master'!$A$4:$B$10,2,FALSE)</f>
        <v>Best Plastics</v>
      </c>
      <c r="E19" s="10">
        <v>100000</v>
      </c>
      <c r="F19" s="13">
        <v>36618</v>
      </c>
    </row>
    <row r="20" spans="1:6" x14ac:dyDescent="0.25">
      <c r="A20" t="s">
        <v>91</v>
      </c>
      <c r="B20" t="str">
        <f>VLOOKUP(A20,'Item Master'!$A$6:$H$31,2,FALSE)</f>
        <v>Carton large</v>
      </c>
      <c r="C20" t="s">
        <v>90</v>
      </c>
      <c r="D20" s="9" t="str">
        <f>VLOOKUP(C20,'Supplier Master'!$A$4:$B$10,2,FALSE)</f>
        <v>Eduardo Corrugates</v>
      </c>
      <c r="E20" s="10">
        <v>8000</v>
      </c>
      <c r="F20" s="13">
        <v>36599</v>
      </c>
    </row>
    <row r="21" spans="1:6" x14ac:dyDescent="0.25">
      <c r="A21" t="s">
        <v>91</v>
      </c>
      <c r="B21" t="str">
        <f>VLOOKUP(A21,'Item Master'!$A$6:$H$31,2,FALSE)</f>
        <v>Carton large</v>
      </c>
      <c r="C21" t="s">
        <v>90</v>
      </c>
      <c r="D21" s="9" t="str">
        <f>VLOOKUP(C21,'Supplier Master'!$A$4:$B$10,2,FALSE)</f>
        <v>Eduardo Corrugates</v>
      </c>
      <c r="E21" s="10">
        <v>5000</v>
      </c>
      <c r="F21" s="13">
        <v>36620</v>
      </c>
    </row>
    <row r="22" spans="1:6" x14ac:dyDescent="0.25">
      <c r="A22" t="s">
        <v>88</v>
      </c>
      <c r="B22" t="str">
        <f>VLOOKUP(A22,'Item Master'!$A$6:$H$31,2,FALSE)</f>
        <v>Carton small</v>
      </c>
      <c r="C22" t="s">
        <v>90</v>
      </c>
      <c r="D22" s="9" t="str">
        <f>VLOOKUP(C22,'Supplier Master'!$A$4:$B$10,2,FALSE)</f>
        <v>Eduardo Corrugates</v>
      </c>
      <c r="E22" s="10">
        <v>1000</v>
      </c>
      <c r="F22" s="13">
        <v>36603</v>
      </c>
    </row>
    <row r="23" spans="1:6" x14ac:dyDescent="0.25">
      <c r="A23" t="s">
        <v>88</v>
      </c>
      <c r="B23" t="str">
        <f>VLOOKUP(A23,'Item Master'!$A$6:$H$31,2,FALSE)</f>
        <v>Carton small</v>
      </c>
      <c r="C23" t="s">
        <v>90</v>
      </c>
      <c r="D23" s="9" t="str">
        <f>VLOOKUP(C23,'Supplier Master'!$A$4:$B$10,2,FALSE)</f>
        <v>Eduardo Corrugates</v>
      </c>
      <c r="E23" s="10">
        <v>1000</v>
      </c>
      <c r="F23" s="13">
        <v>36642</v>
      </c>
    </row>
    <row r="24" spans="1:6" x14ac:dyDescent="0.25">
      <c r="A24" t="s">
        <v>58</v>
      </c>
      <c r="B24" t="str">
        <f>VLOOKUP(A24,'Item Master'!$A$6:$H$31,2,FALSE)</f>
        <v>Apple essence</v>
      </c>
      <c r="C24" t="s">
        <v>60</v>
      </c>
      <c r="D24" s="9" t="str">
        <f>VLOOKUP(C24,'Supplier Master'!$A$4:$B$10,2,FALSE)</f>
        <v>Chang Essences</v>
      </c>
      <c r="E24" s="10">
        <v>60</v>
      </c>
      <c r="F24" s="13">
        <v>36608</v>
      </c>
    </row>
    <row r="25" spans="1:6" x14ac:dyDescent="0.25">
      <c r="A25" t="s">
        <v>58</v>
      </c>
      <c r="B25" t="str">
        <f>VLOOKUP(A25,'Item Master'!$A$6:$H$31,2,FALSE)</f>
        <v>Apple essence</v>
      </c>
      <c r="C25" t="s">
        <v>60</v>
      </c>
      <c r="D25" s="9" t="str">
        <f>VLOOKUP(C25,'Supplier Master'!$A$4:$B$10,2,FALSE)</f>
        <v>Chang Essences</v>
      </c>
      <c r="E25" s="10">
        <v>100</v>
      </c>
      <c r="F25" s="13">
        <v>36622</v>
      </c>
    </row>
    <row r="26" spans="1:6" x14ac:dyDescent="0.25">
      <c r="A26" t="s">
        <v>61</v>
      </c>
      <c r="B26" t="str">
        <f>VLOOKUP(A26,'Item Master'!$A$6:$H$31,2,FALSE)</f>
        <v>Lemon essence</v>
      </c>
      <c r="C26" t="s">
        <v>60</v>
      </c>
      <c r="D26" s="9" t="str">
        <f>VLOOKUP(C26,'Supplier Master'!$A$4:$B$10,2,FALSE)</f>
        <v>Chang Essences</v>
      </c>
      <c r="E26" s="10">
        <v>350</v>
      </c>
      <c r="F26" s="13">
        <v>36619</v>
      </c>
    </row>
    <row r="27" spans="1:6" x14ac:dyDescent="0.25">
      <c r="A27" t="s">
        <v>75</v>
      </c>
      <c r="B27" t="str">
        <f>VLOOKUP(A27,'Item Master'!$A$6:$H$31,2,FALSE)</f>
        <v>Label Apple Blossom 100ml</v>
      </c>
      <c r="C27" t="s">
        <v>77</v>
      </c>
      <c r="D27" s="9" t="str">
        <f>VLOOKUP(C27,'Supplier Master'!$A$4:$B$10,2,FALSE)</f>
        <v>Dave's Printing</v>
      </c>
      <c r="E27" s="10">
        <v>50000</v>
      </c>
      <c r="F27" s="13">
        <v>36623</v>
      </c>
    </row>
    <row r="28" spans="1:6" x14ac:dyDescent="0.25">
      <c r="A28" t="s">
        <v>78</v>
      </c>
      <c r="B28" t="str">
        <f>VLOOKUP(A28,'Item Master'!$A$6:$H$31,2,FALSE)</f>
        <v>Label Apple Blossom 250ml</v>
      </c>
      <c r="C28" t="s">
        <v>77</v>
      </c>
      <c r="D28" s="9" t="str">
        <f>VLOOKUP(C28,'Supplier Master'!$A$4:$B$10,2,FALSE)</f>
        <v>Dave's Printing</v>
      </c>
      <c r="E28" s="10">
        <v>70000</v>
      </c>
      <c r="F28" s="13">
        <v>36599</v>
      </c>
    </row>
    <row r="29" spans="1:6" x14ac:dyDescent="0.25">
      <c r="A29" t="s">
        <v>78</v>
      </c>
      <c r="B29" t="str">
        <f>VLOOKUP(A29,'Item Master'!$A$6:$H$31,2,FALSE)</f>
        <v>Label Apple Blossom 250ml</v>
      </c>
      <c r="C29" t="s">
        <v>77</v>
      </c>
      <c r="D29" s="9" t="str">
        <f>VLOOKUP(C29,'Supplier Master'!$A$4:$B$10,2,FALSE)</f>
        <v>Dave's Printing</v>
      </c>
      <c r="E29" s="10">
        <v>60000</v>
      </c>
      <c r="F29" s="13">
        <v>36606</v>
      </c>
    </row>
    <row r="30" spans="1:6" x14ac:dyDescent="0.25">
      <c r="A30" t="s">
        <v>80</v>
      </c>
      <c r="B30" t="str">
        <f>VLOOKUP(A30,'Item Master'!$A$6:$H$31,2,FALSE)</f>
        <v>Label Apple Blossom 500ml</v>
      </c>
      <c r="C30" t="s">
        <v>77</v>
      </c>
      <c r="D30" s="9" t="str">
        <f>VLOOKUP(C30,'Supplier Master'!$A$4:$B$10,2,FALSE)</f>
        <v>Dave's Printing</v>
      </c>
      <c r="E30" s="10">
        <v>20000</v>
      </c>
      <c r="F30" s="13">
        <v>36618</v>
      </c>
    </row>
    <row r="31" spans="1:6" x14ac:dyDescent="0.25">
      <c r="A31" t="s">
        <v>80</v>
      </c>
      <c r="B31" t="str">
        <f>VLOOKUP(A31,'Item Master'!$A$6:$H$31,2,FALSE)</f>
        <v>Label Apple Blossom 500ml</v>
      </c>
      <c r="C31" t="s">
        <v>77</v>
      </c>
      <c r="D31" s="9" t="str">
        <f>VLOOKUP(C31,'Supplier Master'!$A$4:$B$10,2,FALSE)</f>
        <v>Dave's Printing</v>
      </c>
      <c r="E31" s="10">
        <v>20000</v>
      </c>
      <c r="F31" s="13">
        <v>36632</v>
      </c>
    </row>
    <row r="32" spans="1:6" x14ac:dyDescent="0.25">
      <c r="A32" t="s">
        <v>80</v>
      </c>
      <c r="B32" t="str">
        <f>VLOOKUP(A32,'Item Master'!$A$6:$H$31,2,FALSE)</f>
        <v>Label Apple Blossom 500ml</v>
      </c>
      <c r="C32" t="s">
        <v>77</v>
      </c>
      <c r="D32" s="9" t="str">
        <f>VLOOKUP(C32,'Supplier Master'!$A$4:$B$10,2,FALSE)</f>
        <v>Dave's Printing</v>
      </c>
      <c r="E32" s="10">
        <v>20000</v>
      </c>
      <c r="F32" s="13">
        <v>36646</v>
      </c>
    </row>
    <row r="33" spans="1:6" x14ac:dyDescent="0.25">
      <c r="A33" t="s">
        <v>82</v>
      </c>
      <c r="B33" t="str">
        <f>VLOOKUP(A33,'Item Master'!$A$6:$H$31,2,FALSE)</f>
        <v>Label Fragrant Lemon 100ml</v>
      </c>
      <c r="C33" t="s">
        <v>77</v>
      </c>
      <c r="D33" s="9" t="str">
        <f>VLOOKUP(C33,'Supplier Master'!$A$4:$B$10,2,FALSE)</f>
        <v>Dave's Printing</v>
      </c>
      <c r="E33" s="10">
        <v>10000</v>
      </c>
      <c r="F33" s="13">
        <v>36630</v>
      </c>
    </row>
    <row r="34" spans="1:6" x14ac:dyDescent="0.25">
      <c r="A34" t="s">
        <v>82</v>
      </c>
      <c r="B34" t="str">
        <f>VLOOKUP(A34,'Item Master'!$A$6:$H$31,2,FALSE)</f>
        <v>Label Fragrant Lemon 100ml</v>
      </c>
      <c r="C34" t="s">
        <v>77</v>
      </c>
      <c r="D34" s="9" t="str">
        <f>VLOOKUP(C34,'Supplier Master'!$A$4:$B$10,2,FALSE)</f>
        <v>Dave's Printing</v>
      </c>
      <c r="E34" s="10">
        <v>10000</v>
      </c>
      <c r="F34" s="13">
        <v>36644</v>
      </c>
    </row>
    <row r="35" spans="1:6" x14ac:dyDescent="0.25">
      <c r="A35" t="s">
        <v>84</v>
      </c>
      <c r="B35" t="str">
        <f>VLOOKUP(A35,'Item Master'!$A$6:$H$31,2,FALSE)</f>
        <v>Label Fragrant Lemon 250ml</v>
      </c>
      <c r="C35" t="s">
        <v>77</v>
      </c>
      <c r="D35" s="9" t="str">
        <f>VLOOKUP(C35,'Supplier Master'!$A$4:$B$10,2,FALSE)</f>
        <v>Dave's Printing</v>
      </c>
      <c r="E35" s="10">
        <v>60000</v>
      </c>
      <c r="F35" s="13">
        <v>36602</v>
      </c>
    </row>
    <row r="36" spans="1:6" x14ac:dyDescent="0.25">
      <c r="A36" t="s">
        <v>84</v>
      </c>
      <c r="B36" t="str">
        <f>VLOOKUP(A36,'Item Master'!$A$6:$H$31,2,FALSE)</f>
        <v>Label Fragrant Lemon 250ml</v>
      </c>
      <c r="C36" t="s">
        <v>77</v>
      </c>
      <c r="D36" s="9" t="str">
        <f>VLOOKUP(C36,'Supplier Master'!$A$4:$B$10,2,FALSE)</f>
        <v>Dave's Printing</v>
      </c>
      <c r="E36" s="10">
        <v>60000</v>
      </c>
      <c r="F36" s="13">
        <v>36616</v>
      </c>
    </row>
    <row r="37" spans="1:6" x14ac:dyDescent="0.25">
      <c r="A37" t="s">
        <v>86</v>
      </c>
      <c r="B37" t="str">
        <f>VLOOKUP(A37,'Item Master'!$A$6:$H$31,2,FALSE)</f>
        <v>Label Fragrant Lemon 500ml</v>
      </c>
      <c r="C37" t="s">
        <v>77</v>
      </c>
      <c r="D37" s="9" t="str">
        <f>VLOOKUP(C37,'Supplier Master'!$A$4:$B$10,2,FALSE)</f>
        <v>Dave's Printing</v>
      </c>
      <c r="E37" s="10">
        <v>40000</v>
      </c>
      <c r="F37" s="13">
        <v>36615</v>
      </c>
    </row>
    <row r="38" spans="1:6" x14ac:dyDescent="0.25">
      <c r="A38" t="s">
        <v>86</v>
      </c>
      <c r="B38" t="str">
        <f>VLOOKUP(A38,'Item Master'!$A$6:$H$31,2,FALSE)</f>
        <v>Label Fragrant Lemon 500ml</v>
      </c>
      <c r="C38" t="s">
        <v>77</v>
      </c>
      <c r="D38" s="9" t="str">
        <f>VLOOKUP(C38,'Supplier Master'!$A$4:$B$10,2,FALSE)</f>
        <v>Dave's Printing</v>
      </c>
      <c r="E38" s="10">
        <v>40000</v>
      </c>
      <c r="F38" s="13">
        <v>36629</v>
      </c>
    </row>
  </sheetData>
  <pageMargins left="0.75" right="0.75" top="1" bottom="1" header="0.5" footer="0.5"/>
  <pageSetup paperSize="9" orientation="portrait" horizontalDpi="300" verticalDpi="300" r:id="rId1"/>
  <headerFooter alignWithMargins="0">
    <oddHeader>&amp;Chttp://www.production-scheduling.com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40"/>
  <sheetViews>
    <sheetView zoomScale="70" workbookViewId="0">
      <selection activeCell="A5" sqref="A5"/>
    </sheetView>
  </sheetViews>
  <sheetFormatPr defaultRowHeight="13.2" x14ac:dyDescent="0.25"/>
  <cols>
    <col min="1" max="1" width="7.44140625" customWidth="1"/>
    <col min="2" max="2" width="5.88671875" customWidth="1"/>
    <col min="3" max="3" width="7.88671875" customWidth="1"/>
    <col min="4" max="5" width="6.6640625" customWidth="1"/>
    <col min="6" max="6" width="6.33203125" customWidth="1"/>
    <col min="7" max="7" width="7.5546875" customWidth="1"/>
    <col min="8" max="9" width="9.88671875" customWidth="1"/>
    <col min="10" max="11" width="7.88671875" customWidth="1"/>
    <col min="12" max="13" width="7.33203125" customWidth="1"/>
    <col min="14" max="15" width="7.88671875" customWidth="1"/>
    <col min="16" max="18" width="6.88671875" customWidth="1"/>
    <col min="19" max="21" width="6.33203125" customWidth="1"/>
    <col min="22" max="22" width="8.5546875" customWidth="1"/>
    <col min="23" max="23" width="4.88671875" customWidth="1"/>
    <col min="24" max="24" width="6.6640625" customWidth="1"/>
    <col min="25" max="25" width="7.44140625" customWidth="1"/>
    <col min="26" max="26" width="7.88671875" customWidth="1"/>
    <col min="27" max="27" width="7.44140625" customWidth="1"/>
    <col min="28" max="28" width="7.88671875" customWidth="1"/>
    <col min="29" max="30" width="9.44140625" customWidth="1"/>
    <col min="31" max="31" width="7.44140625" customWidth="1"/>
    <col min="32" max="32" width="7.88671875" customWidth="1"/>
    <col min="33" max="33" width="8" customWidth="1"/>
    <col min="34" max="34" width="6.33203125" customWidth="1"/>
  </cols>
  <sheetData>
    <row r="1" spans="1:31" x14ac:dyDescent="0.25">
      <c r="A1" s="4" t="s">
        <v>115</v>
      </c>
    </row>
    <row r="3" spans="1:31" x14ac:dyDescent="0.25">
      <c r="A3" t="s">
        <v>232</v>
      </c>
    </row>
    <row r="4" spans="1:31" x14ac:dyDescent="0.25">
      <c r="A4" t="s">
        <v>305</v>
      </c>
    </row>
    <row r="5" spans="1:31" x14ac:dyDescent="0.25">
      <c r="B5" s="112" t="s">
        <v>233</v>
      </c>
      <c r="Q5" s="112"/>
    </row>
    <row r="7" spans="1:31" x14ac:dyDescent="0.25">
      <c r="A7" t="s">
        <v>116</v>
      </c>
      <c r="D7" s="126">
        <v>36599.333333333336</v>
      </c>
      <c r="E7" s="127"/>
      <c r="J7" s="14" t="s">
        <v>26</v>
      </c>
      <c r="K7" s="15" t="s">
        <v>28</v>
      </c>
      <c r="L7" s="16" t="s">
        <v>30</v>
      </c>
      <c r="M7" s="17" t="s">
        <v>32</v>
      </c>
      <c r="N7" s="18" t="s">
        <v>34</v>
      </c>
      <c r="O7" s="19" t="s">
        <v>36</v>
      </c>
      <c r="P7" s="14" t="s">
        <v>26</v>
      </c>
      <c r="Q7" s="15" t="s">
        <v>28</v>
      </c>
      <c r="R7" s="16" t="s">
        <v>30</v>
      </c>
      <c r="S7" s="17" t="s">
        <v>32</v>
      </c>
      <c r="T7" s="18" t="s">
        <v>34</v>
      </c>
      <c r="U7" s="19" t="s">
        <v>36</v>
      </c>
    </row>
    <row r="8" spans="1:31" x14ac:dyDescent="0.25">
      <c r="A8" t="s">
        <v>117</v>
      </c>
      <c r="D8" s="20" t="s">
        <v>30</v>
      </c>
      <c r="F8" t="s">
        <v>174</v>
      </c>
      <c r="J8" s="21">
        <f>70*60/VLOOKUP(J7,'The Business'!$A$8:$D$15,3,FALSE)</f>
        <v>87.5</v>
      </c>
      <c r="K8" s="22">
        <f>70*60/VLOOKUP(K7,'The Business'!$A$8:$D$15,3,FALSE)</f>
        <v>87.5</v>
      </c>
      <c r="L8" s="23">
        <f>70*60/VLOOKUP(L7,'The Business'!$A$8:$D$15,3,FALSE)</f>
        <v>175</v>
      </c>
      <c r="M8" s="24">
        <f>70*60/VLOOKUP(M7,'The Business'!$A$8:$D$15,3,FALSE)</f>
        <v>87.5</v>
      </c>
      <c r="N8" s="25">
        <f>70*60/VLOOKUP(N7,'The Business'!$A$8:$D$15,3,FALSE)</f>
        <v>87.5</v>
      </c>
      <c r="O8" s="26">
        <f>70*60/VLOOKUP(O7,'The Business'!$A$8:$D$15,3,FALSE)</f>
        <v>175</v>
      </c>
      <c r="R8" s="27"/>
    </row>
    <row r="9" spans="1:31" x14ac:dyDescent="0.25">
      <c r="A9" t="s">
        <v>118</v>
      </c>
      <c r="D9" s="28">
        <v>110</v>
      </c>
      <c r="F9" t="s">
        <v>175</v>
      </c>
      <c r="J9" s="21">
        <f>VLOOKUP(J7,'The Business'!$A$8:$D$15,4,FALSE)</f>
        <v>1000</v>
      </c>
      <c r="K9" s="22">
        <f>VLOOKUP(K7,'The Business'!$A$8:$D$15,4,FALSE)</f>
        <v>1400</v>
      </c>
      <c r="L9" s="23">
        <f>VLOOKUP(L7,'The Business'!$A$8:$D$15,4,FALSE)</f>
        <v>800</v>
      </c>
      <c r="M9" s="24">
        <f>VLOOKUP(M7,'The Business'!$A$8:$D$15,4,FALSE)</f>
        <v>200</v>
      </c>
      <c r="N9" s="25">
        <f>VLOOKUP(N7,'The Business'!$A$8:$D$15,4,FALSE)</f>
        <v>1200</v>
      </c>
      <c r="O9" s="26">
        <f>VLOOKUP(O7,'The Business'!$A$8:$D$15,4,FALSE)</f>
        <v>1600</v>
      </c>
      <c r="R9" s="27"/>
    </row>
    <row r="10" spans="1:31" x14ac:dyDescent="0.25">
      <c r="C10" s="29"/>
      <c r="F10" t="s">
        <v>178</v>
      </c>
      <c r="J10" s="30">
        <v>0.5</v>
      </c>
      <c r="K10" s="31">
        <v>0.5</v>
      </c>
      <c r="L10" s="32">
        <v>0.5</v>
      </c>
      <c r="M10" s="33">
        <v>0.5</v>
      </c>
      <c r="N10" s="34">
        <v>0.5</v>
      </c>
      <c r="O10" s="35">
        <v>0.5</v>
      </c>
      <c r="R10" s="27"/>
    </row>
    <row r="11" spans="1:31" x14ac:dyDescent="0.25">
      <c r="A11" t="s">
        <v>113</v>
      </c>
      <c r="C11" s="36">
        <f>SUM(G17:G40)/SUM(G17:G40,E17:E40)</f>
        <v>0.35478964555106796</v>
      </c>
      <c r="F11" t="s">
        <v>179</v>
      </c>
      <c r="J11" s="30">
        <v>2</v>
      </c>
      <c r="K11" s="31">
        <v>2</v>
      </c>
      <c r="L11" s="32">
        <v>2</v>
      </c>
      <c r="M11" s="33">
        <v>2</v>
      </c>
      <c r="N11" s="34">
        <v>2</v>
      </c>
      <c r="O11" s="35">
        <v>2</v>
      </c>
      <c r="R11" s="27"/>
    </row>
    <row r="12" spans="1:31" x14ac:dyDescent="0.25">
      <c r="C12" s="29"/>
      <c r="F12" t="s">
        <v>176</v>
      </c>
      <c r="J12" s="21">
        <f t="shared" ref="J12:O12" si="0">J9*J10</f>
        <v>500</v>
      </c>
      <c r="K12" s="22">
        <f t="shared" si="0"/>
        <v>700</v>
      </c>
      <c r="L12" s="23">
        <f t="shared" si="0"/>
        <v>400</v>
      </c>
      <c r="M12" s="24">
        <f t="shared" si="0"/>
        <v>100</v>
      </c>
      <c r="N12" s="25">
        <f t="shared" si="0"/>
        <v>600</v>
      </c>
      <c r="O12" s="26">
        <f t="shared" si="0"/>
        <v>800</v>
      </c>
      <c r="R12" s="27"/>
    </row>
    <row r="13" spans="1:31" x14ac:dyDescent="0.25">
      <c r="C13" s="29"/>
      <c r="F13" t="s">
        <v>177</v>
      </c>
      <c r="J13" s="21">
        <f t="shared" ref="J13:O13" si="1">J9*J11</f>
        <v>2000</v>
      </c>
      <c r="K13" s="22">
        <f t="shared" si="1"/>
        <v>2800</v>
      </c>
      <c r="L13" s="23">
        <f t="shared" si="1"/>
        <v>1600</v>
      </c>
      <c r="M13" s="24">
        <f t="shared" si="1"/>
        <v>400</v>
      </c>
      <c r="N13" s="25">
        <f t="shared" si="1"/>
        <v>2400</v>
      </c>
      <c r="O13" s="26">
        <f t="shared" si="1"/>
        <v>3200</v>
      </c>
      <c r="R13" s="27"/>
    </row>
    <row r="14" spans="1:31" x14ac:dyDescent="0.25">
      <c r="C14" s="29"/>
      <c r="L14" s="27"/>
      <c r="R14" s="27"/>
    </row>
    <row r="15" spans="1:31" ht="26.4" x14ac:dyDescent="0.25">
      <c r="A15" s="37" t="s">
        <v>98</v>
      </c>
      <c r="B15" s="38" t="s">
        <v>119</v>
      </c>
      <c r="C15" s="38" t="s">
        <v>100</v>
      </c>
      <c r="D15" s="38" t="s">
        <v>119</v>
      </c>
      <c r="E15" s="37" t="s">
        <v>120</v>
      </c>
      <c r="F15" s="38" t="s">
        <v>119</v>
      </c>
      <c r="G15" s="37" t="s">
        <v>121</v>
      </c>
      <c r="H15" s="38" t="s">
        <v>122</v>
      </c>
      <c r="I15" s="38" t="s">
        <v>123</v>
      </c>
      <c r="J15" s="39" t="s">
        <v>124</v>
      </c>
      <c r="K15" s="40"/>
      <c r="L15" s="41"/>
      <c r="M15" s="40"/>
      <c r="N15" s="40"/>
      <c r="O15" s="42"/>
      <c r="P15" s="39" t="s">
        <v>180</v>
      </c>
      <c r="Q15" s="40"/>
      <c r="R15" s="41"/>
      <c r="S15" s="40"/>
      <c r="T15" s="40"/>
      <c r="U15" s="42"/>
      <c r="V15" s="37" t="s">
        <v>125</v>
      </c>
      <c r="W15" s="37" t="s">
        <v>126</v>
      </c>
      <c r="X15" s="37" t="s">
        <v>127</v>
      </c>
      <c r="Y15" s="37" t="s">
        <v>50</v>
      </c>
      <c r="Z15" s="37" t="s">
        <v>128</v>
      </c>
      <c r="AA15" s="37" t="s">
        <v>129</v>
      </c>
      <c r="AB15" s="37" t="s">
        <v>130</v>
      </c>
      <c r="AC15" s="37" t="s">
        <v>181</v>
      </c>
      <c r="AD15" s="37" t="s">
        <v>182</v>
      </c>
      <c r="AE15" s="37" t="s">
        <v>131</v>
      </c>
    </row>
    <row r="16" spans="1:31" x14ac:dyDescent="0.25">
      <c r="A16" s="43"/>
      <c r="F16" t="s">
        <v>132</v>
      </c>
      <c r="G16" s="43"/>
      <c r="I16" s="44">
        <f>D7</f>
        <v>36599.333333333336</v>
      </c>
      <c r="J16" s="21">
        <f>VLOOKUP(J7,'Item Master'!$A$6:$H$31,8,FALSE)</f>
        <v>1854</v>
      </c>
      <c r="K16" s="22">
        <f>VLOOKUP(K7,'Item Master'!$A$6:$H$31,8,FALSE)</f>
        <v>1470</v>
      </c>
      <c r="L16" s="23">
        <f>VLOOKUP(L7,'Item Master'!$A$6:$H$31,8,FALSE)</f>
        <v>470</v>
      </c>
      <c r="M16" s="24">
        <f>VLOOKUP(M7,'Item Master'!$A$6:$H$31,8,FALSE)</f>
        <v>488</v>
      </c>
      <c r="N16" s="25">
        <f>VLOOKUP(N7,'Item Master'!$A$6:$H$31,8,FALSE)</f>
        <v>1148</v>
      </c>
      <c r="O16" s="26">
        <f>VLOOKUP(O7,'Item Master'!$A$6:$H$31,8,FALSE)</f>
        <v>766</v>
      </c>
      <c r="P16" s="45">
        <f t="shared" ref="P16:U17" si="2">J16/J$9</f>
        <v>1.8540000000000001</v>
      </c>
      <c r="Q16" s="46">
        <f t="shared" si="2"/>
        <v>1.05</v>
      </c>
      <c r="R16" s="47">
        <f t="shared" si="2"/>
        <v>0.58750000000000002</v>
      </c>
      <c r="S16" s="48">
        <f t="shared" si="2"/>
        <v>2.44</v>
      </c>
      <c r="T16" s="49">
        <f t="shared" si="2"/>
        <v>0.95666666666666667</v>
      </c>
      <c r="U16" s="50">
        <f t="shared" si="2"/>
        <v>0.47875000000000001</v>
      </c>
      <c r="V16" s="51"/>
    </row>
    <row r="17" spans="1:36" x14ac:dyDescent="0.25">
      <c r="A17" s="20" t="str">
        <f t="shared" ref="A17:A40" si="3">IF(E17,"Idle",IF(ISBLANK(A16),D$8,IF(ISBLANK(B17),X16,B17)))</f>
        <v>AB500</v>
      </c>
      <c r="B17" s="52"/>
      <c r="C17" s="53">
        <f>IF(A17="Idle",0,IF(ISBLANK(C16),D$9,IF(ISBLANK(D17),ROUND(AE16,0),D17)))</f>
        <v>110</v>
      </c>
      <c r="D17" s="52"/>
      <c r="E17" s="54">
        <f t="shared" ref="E17:E40" si="4">MAX(IF(ISBLANK(F17),IF(AA16,ROUND((Y16-AC16)/AA16,7),0)*168,F17),0)</f>
        <v>0</v>
      </c>
      <c r="F17" s="52"/>
      <c r="G17" s="54">
        <f t="shared" ref="G17:G40" si="5">C17/HLOOKUP(A17,$J$7:$O$11,2)</f>
        <v>0.62857142857142856</v>
      </c>
      <c r="H17" s="55">
        <f>I16</f>
        <v>36599.333333333336</v>
      </c>
      <c r="I17" s="55">
        <f>H17+((G17+E17)/24)</f>
        <v>36599.359523809529</v>
      </c>
      <c r="J17" s="21">
        <f t="shared" ref="J17:O17" si="6">J16-(J$9*($G17+$E17)/168)+(($A17=J$7)*$C17)</f>
        <v>1850.2585034013605</v>
      </c>
      <c r="K17" s="22">
        <f t="shared" si="6"/>
        <v>1464.7619047619048</v>
      </c>
      <c r="L17" s="23">
        <f t="shared" si="6"/>
        <v>577.00680272108843</v>
      </c>
      <c r="M17" s="24">
        <f t="shared" si="6"/>
        <v>487.25170068027211</v>
      </c>
      <c r="N17" s="25">
        <f t="shared" si="6"/>
        <v>1143.5102040816328</v>
      </c>
      <c r="O17" s="26">
        <f t="shared" si="6"/>
        <v>760.01360544217687</v>
      </c>
      <c r="P17" s="45">
        <f t="shared" si="2"/>
        <v>1.8502585034013606</v>
      </c>
      <c r="Q17" s="46">
        <f t="shared" si="2"/>
        <v>1.0462585034013605</v>
      </c>
      <c r="R17" s="47">
        <f t="shared" si="2"/>
        <v>0.72125850340136055</v>
      </c>
      <c r="S17" s="48">
        <f t="shared" si="2"/>
        <v>2.4362585034013606</v>
      </c>
      <c r="T17" s="49">
        <f t="shared" si="2"/>
        <v>0.95292517006802735</v>
      </c>
      <c r="U17" s="50">
        <f t="shared" si="2"/>
        <v>0.47500850340136053</v>
      </c>
      <c r="V17" s="56">
        <f>MIN(P17:U17)</f>
        <v>0.47500850340136053</v>
      </c>
      <c r="W17" s="52">
        <f>MATCH(V17,P17:U17,0)</f>
        <v>6</v>
      </c>
      <c r="X17" s="52" t="str">
        <f>INDEX(P$7:U$7,1,W17)</f>
        <v>FL500</v>
      </c>
      <c r="Y17" s="57">
        <f>INDEX(J17:O17,1,W17)</f>
        <v>760.01360544217687</v>
      </c>
      <c r="Z17" s="52">
        <f>INDEX(J$8:O$8,1,W17)</f>
        <v>175</v>
      </c>
      <c r="AA17" s="52">
        <f>INDEX(J$9:O$9,1,W17)</f>
        <v>1600</v>
      </c>
      <c r="AB17" s="52">
        <f>INDEX(J$10:O$10,1,W17)</f>
        <v>0.5</v>
      </c>
      <c r="AC17" s="57">
        <f>INDEX(J$12:O$12,1,W17)</f>
        <v>800</v>
      </c>
      <c r="AD17" s="52">
        <f>INDEX(J$13:O$13,1,W17)</f>
        <v>3200</v>
      </c>
      <c r="AE17" s="57">
        <f>AD17-Y17+AA17*(AD17-Y17)/(Z17-AA17/168)/168</f>
        <v>2580.4172661870502</v>
      </c>
      <c r="AF17" s="58"/>
    </row>
    <row r="18" spans="1:36" x14ac:dyDescent="0.25">
      <c r="A18" s="20" t="str">
        <f t="shared" si="3"/>
        <v>FL500</v>
      </c>
      <c r="B18" s="52"/>
      <c r="C18" s="53">
        <f t="shared" ref="C18:C40" si="7">IF(A18="Idle",0,IF(ISBLANK(C17),D$9,IF(ISBLANK(D18),ROUND(AE17,0),D18)))</f>
        <v>2580</v>
      </c>
      <c r="D18" s="52"/>
      <c r="E18" s="54">
        <f t="shared" si="4"/>
        <v>0</v>
      </c>
      <c r="F18" s="52"/>
      <c r="G18" s="54">
        <f t="shared" si="5"/>
        <v>14.742857142857142</v>
      </c>
      <c r="H18" s="55">
        <f t="shared" ref="H18:H40" si="8">I17</f>
        <v>36599.359523809529</v>
      </c>
      <c r="I18" s="55">
        <f t="shared" ref="I18:I40" si="9">H18+((G18+E18)/24)</f>
        <v>36599.973809523814</v>
      </c>
      <c r="J18" s="21">
        <f t="shared" ref="J18:J40" si="10">J17-(J$9*($G18+$E18)/168)+(($A18=J$7)*$C18)</f>
        <v>1762.5034013605441</v>
      </c>
      <c r="K18" s="22">
        <f t="shared" ref="K18:K40" si="11">K17-(K$9*($G18+$E18)/168)+(($A18=K$7)*$C18)</f>
        <v>1341.9047619047619</v>
      </c>
      <c r="L18" s="23">
        <f t="shared" ref="L18:L40" si="12">L17-(L$9*($G18+$E18)/168)+(($A18=L$7)*$C18)</f>
        <v>506.80272108843536</v>
      </c>
      <c r="M18" s="24">
        <f t="shared" ref="M18:M40" si="13">M17-(M$9*($G18+$E18)/168)+(($A18=M$7)*$C18)</f>
        <v>469.70068027210885</v>
      </c>
      <c r="N18" s="25">
        <f t="shared" ref="N18:N40" si="14">N17-(N$9*($G18+$E18)/168)+(($A18=N$7)*$C18)</f>
        <v>1038.2040816326532</v>
      </c>
      <c r="O18" s="26">
        <f t="shared" ref="O18:O40" si="15">O17-(O$9*($G18+$E18)/168)+(($A18=O$7)*$C18)</f>
        <v>3199.6054421768708</v>
      </c>
      <c r="P18" s="45">
        <f t="shared" ref="P18:P40" si="16">J18/J$9</f>
        <v>1.7625034013605441</v>
      </c>
      <c r="Q18" s="46">
        <f t="shared" ref="Q18:Q40" si="17">K18/K$9</f>
        <v>0.95850340136054424</v>
      </c>
      <c r="R18" s="47">
        <f t="shared" ref="R18:R40" si="18">L18/L$9</f>
        <v>0.63350340136054417</v>
      </c>
      <c r="S18" s="48">
        <f t="shared" ref="S18:S40" si="19">M18/M$9</f>
        <v>2.3485034013605444</v>
      </c>
      <c r="T18" s="49">
        <f t="shared" ref="T18:T40" si="20">N18/N$9</f>
        <v>0.86517006802721108</v>
      </c>
      <c r="U18" s="50">
        <f t="shared" ref="U18:U40" si="21">O18/O$9</f>
        <v>1.9997534013605442</v>
      </c>
      <c r="V18" s="56">
        <f t="shared" ref="V18:V40" si="22">MIN(P18:U18)</f>
        <v>0.63350340136054417</v>
      </c>
      <c r="W18" s="52">
        <f t="shared" ref="W18:W40" si="23">MATCH(V18,P18:U18,0)</f>
        <v>3</v>
      </c>
      <c r="X18" s="52" t="str">
        <f t="shared" ref="X18:X40" si="24">INDEX(P$7:U$7,1,W18)</f>
        <v>AB500</v>
      </c>
      <c r="Y18" s="57">
        <f t="shared" ref="Y18:Y40" si="25">INDEX(J18:O18,1,W18)</f>
        <v>506.80272108843536</v>
      </c>
      <c r="Z18" s="52">
        <f t="shared" ref="Z18:Z40" si="26">INDEX(J$8:O$8,1,W18)</f>
        <v>175</v>
      </c>
      <c r="AA18" s="52">
        <f t="shared" ref="AA18:AA40" si="27">INDEX(J$9:O$9,1,W18)</f>
        <v>800</v>
      </c>
      <c r="AB18" s="52">
        <f t="shared" ref="AB18:AB40" si="28">INDEX(J$10:O$10,1,W18)</f>
        <v>0.5</v>
      </c>
      <c r="AC18" s="57">
        <f t="shared" ref="AC18:AC40" si="29">INDEX(J$12:O$12,1,W18)</f>
        <v>400</v>
      </c>
      <c r="AD18" s="52">
        <f t="shared" ref="AD18:AD40" si="30">INDEX(J$13:O$13,1,W18)</f>
        <v>1600</v>
      </c>
      <c r="AE18" s="57">
        <f t="shared" ref="AE18:AE40" si="31">AD18-Y18+AA18*(AD18-Y18)/(Z18-AA18/168)/168</f>
        <v>1123.7762237762238</v>
      </c>
      <c r="AF18" s="58"/>
    </row>
    <row r="19" spans="1:36" x14ac:dyDescent="0.25">
      <c r="A19" s="20" t="str">
        <f t="shared" si="3"/>
        <v>Idle</v>
      </c>
      <c r="B19" s="52"/>
      <c r="C19" s="53">
        <f t="shared" si="7"/>
        <v>0</v>
      </c>
      <c r="D19" s="52"/>
      <c r="E19" s="54">
        <f t="shared" si="4"/>
        <v>22.4285712</v>
      </c>
      <c r="F19" s="52"/>
      <c r="G19" s="54">
        <f t="shared" si="5"/>
        <v>0</v>
      </c>
      <c r="H19" s="55">
        <f t="shared" si="8"/>
        <v>36599.973809523814</v>
      </c>
      <c r="I19" s="55">
        <f t="shared" si="9"/>
        <v>36600.908333323816</v>
      </c>
      <c r="J19" s="21">
        <f t="shared" si="10"/>
        <v>1629.000001360544</v>
      </c>
      <c r="K19" s="22">
        <f t="shared" si="11"/>
        <v>1155.000001904762</v>
      </c>
      <c r="L19" s="23">
        <f t="shared" si="12"/>
        <v>400.00000108843534</v>
      </c>
      <c r="M19" s="24">
        <f t="shared" si="13"/>
        <v>443.00000027210888</v>
      </c>
      <c r="N19" s="25">
        <f t="shared" si="14"/>
        <v>878.00000163265327</v>
      </c>
      <c r="O19" s="26">
        <f t="shared" si="15"/>
        <v>2986.000002176871</v>
      </c>
      <c r="P19" s="45">
        <f t="shared" si="16"/>
        <v>1.6290000013605441</v>
      </c>
      <c r="Q19" s="46">
        <f t="shared" si="17"/>
        <v>0.8250000013605443</v>
      </c>
      <c r="R19" s="47">
        <f t="shared" si="18"/>
        <v>0.50000000136054412</v>
      </c>
      <c r="S19" s="48">
        <f t="shared" si="19"/>
        <v>2.2150000013605444</v>
      </c>
      <c r="T19" s="49">
        <f t="shared" si="20"/>
        <v>0.73166666802721103</v>
      </c>
      <c r="U19" s="50">
        <f t="shared" si="21"/>
        <v>1.8662500013605443</v>
      </c>
      <c r="V19" s="56">
        <f t="shared" si="22"/>
        <v>0.50000000136054412</v>
      </c>
      <c r="W19" s="52">
        <f t="shared" si="23"/>
        <v>3</v>
      </c>
      <c r="X19" s="52" t="str">
        <f t="shared" si="24"/>
        <v>AB500</v>
      </c>
      <c r="Y19" s="57">
        <f t="shared" si="25"/>
        <v>400.00000108843534</v>
      </c>
      <c r="Z19" s="52">
        <f t="shared" si="26"/>
        <v>175</v>
      </c>
      <c r="AA19" s="52">
        <f t="shared" si="27"/>
        <v>800</v>
      </c>
      <c r="AB19" s="52">
        <f t="shared" si="28"/>
        <v>0.5</v>
      </c>
      <c r="AC19" s="57">
        <f t="shared" si="29"/>
        <v>400</v>
      </c>
      <c r="AD19" s="52">
        <f t="shared" si="30"/>
        <v>1600</v>
      </c>
      <c r="AE19" s="57">
        <f t="shared" si="31"/>
        <v>1233.5664324475526</v>
      </c>
      <c r="AI19" s="9"/>
      <c r="AJ19" s="59"/>
    </row>
    <row r="20" spans="1:36" x14ac:dyDescent="0.25">
      <c r="A20" s="20" t="str">
        <f t="shared" si="3"/>
        <v>AB500</v>
      </c>
      <c r="B20" s="52"/>
      <c r="C20" s="53">
        <f t="shared" si="7"/>
        <v>1234</v>
      </c>
      <c r="D20" s="52"/>
      <c r="E20" s="54">
        <f t="shared" si="4"/>
        <v>0</v>
      </c>
      <c r="F20" s="52"/>
      <c r="G20" s="54">
        <f t="shared" si="5"/>
        <v>7.0514285714285716</v>
      </c>
      <c r="H20" s="55">
        <f t="shared" si="8"/>
        <v>36600.908333323816</v>
      </c>
      <c r="I20" s="55">
        <f t="shared" si="9"/>
        <v>36601.202142847622</v>
      </c>
      <c r="J20" s="21">
        <f t="shared" si="10"/>
        <v>1587.0272122448978</v>
      </c>
      <c r="K20" s="22">
        <f t="shared" si="11"/>
        <v>1096.2380971428572</v>
      </c>
      <c r="L20" s="23">
        <f t="shared" si="12"/>
        <v>1600.4217697959184</v>
      </c>
      <c r="M20" s="24">
        <f t="shared" si="13"/>
        <v>434.6054424489796</v>
      </c>
      <c r="N20" s="25">
        <f t="shared" si="14"/>
        <v>827.63265469387773</v>
      </c>
      <c r="O20" s="26">
        <f t="shared" si="15"/>
        <v>2918.8435395918368</v>
      </c>
      <c r="P20" s="45">
        <f t="shared" si="16"/>
        <v>1.5870272122448978</v>
      </c>
      <c r="Q20" s="46">
        <f t="shared" si="17"/>
        <v>0.78302721224489802</v>
      </c>
      <c r="R20" s="47">
        <f t="shared" si="18"/>
        <v>2.000527212244898</v>
      </c>
      <c r="S20" s="48">
        <f t="shared" si="19"/>
        <v>2.1730272122448979</v>
      </c>
      <c r="T20" s="49">
        <f t="shared" si="20"/>
        <v>0.68969387891156475</v>
      </c>
      <c r="U20" s="50">
        <f t="shared" si="21"/>
        <v>1.824277212244898</v>
      </c>
      <c r="V20" s="56">
        <f t="shared" si="22"/>
        <v>0.68969387891156475</v>
      </c>
      <c r="W20" s="52">
        <f t="shared" si="23"/>
        <v>5</v>
      </c>
      <c r="X20" s="52" t="str">
        <f t="shared" si="24"/>
        <v>FL250</v>
      </c>
      <c r="Y20" s="57">
        <f t="shared" si="25"/>
        <v>827.63265469387773</v>
      </c>
      <c r="Z20" s="52">
        <f t="shared" si="26"/>
        <v>87.5</v>
      </c>
      <c r="AA20" s="52">
        <f t="shared" si="27"/>
        <v>1200</v>
      </c>
      <c r="AB20" s="52">
        <f t="shared" si="28"/>
        <v>0.5</v>
      </c>
      <c r="AC20" s="57">
        <f t="shared" si="29"/>
        <v>600</v>
      </c>
      <c r="AD20" s="52">
        <f t="shared" si="30"/>
        <v>2400</v>
      </c>
      <c r="AE20" s="57">
        <f t="shared" si="31"/>
        <v>1712.1333315555555</v>
      </c>
      <c r="AF20" s="58"/>
    </row>
    <row r="21" spans="1:36" x14ac:dyDescent="0.25">
      <c r="A21" s="20" t="str">
        <f t="shared" si="3"/>
        <v>Idle</v>
      </c>
      <c r="B21" s="52"/>
      <c r="C21" s="53">
        <f t="shared" si="7"/>
        <v>0</v>
      </c>
      <c r="D21" s="52"/>
      <c r="E21" s="54">
        <f t="shared" si="4"/>
        <v>31.868575199999999</v>
      </c>
      <c r="F21" s="52"/>
      <c r="G21" s="54">
        <f t="shared" si="5"/>
        <v>0</v>
      </c>
      <c r="H21" s="55">
        <f t="shared" si="8"/>
        <v>36601.202142847622</v>
      </c>
      <c r="I21" s="55">
        <f t="shared" si="9"/>
        <v>36602.530000147621</v>
      </c>
      <c r="J21" s="21">
        <f t="shared" si="10"/>
        <v>1397.3333122448978</v>
      </c>
      <c r="K21" s="22">
        <f t="shared" si="11"/>
        <v>830.66663714285721</v>
      </c>
      <c r="L21" s="23">
        <f t="shared" si="12"/>
        <v>1448.6666497959184</v>
      </c>
      <c r="M21" s="24">
        <f t="shared" si="13"/>
        <v>396.66666244897959</v>
      </c>
      <c r="N21" s="25">
        <f t="shared" si="14"/>
        <v>599.99997469387779</v>
      </c>
      <c r="O21" s="26">
        <f t="shared" si="15"/>
        <v>2615.3332995918367</v>
      </c>
      <c r="P21" s="45">
        <f t="shared" si="16"/>
        <v>1.3973333122448979</v>
      </c>
      <c r="Q21" s="46">
        <f t="shared" si="17"/>
        <v>0.59333331224489805</v>
      </c>
      <c r="R21" s="47">
        <f t="shared" si="18"/>
        <v>1.8108333122448981</v>
      </c>
      <c r="S21" s="48">
        <f t="shared" si="19"/>
        <v>1.983333312244898</v>
      </c>
      <c r="T21" s="49">
        <f t="shared" si="20"/>
        <v>0.49999997891156484</v>
      </c>
      <c r="U21" s="50">
        <f t="shared" si="21"/>
        <v>1.6345833122448981</v>
      </c>
      <c r="V21" s="56">
        <f t="shared" si="22"/>
        <v>0.49999997891156484</v>
      </c>
      <c r="W21" s="52">
        <f t="shared" si="23"/>
        <v>5</v>
      </c>
      <c r="X21" s="52" t="str">
        <f t="shared" si="24"/>
        <v>FL250</v>
      </c>
      <c r="Y21" s="57">
        <f t="shared" si="25"/>
        <v>599.99997469387779</v>
      </c>
      <c r="Z21" s="52">
        <f t="shared" si="26"/>
        <v>87.5</v>
      </c>
      <c r="AA21" s="52">
        <f t="shared" si="27"/>
        <v>1200</v>
      </c>
      <c r="AB21" s="52">
        <f t="shared" si="28"/>
        <v>0.5</v>
      </c>
      <c r="AC21" s="57">
        <f t="shared" si="29"/>
        <v>600</v>
      </c>
      <c r="AD21" s="52">
        <f t="shared" si="30"/>
        <v>2400</v>
      </c>
      <c r="AE21" s="57">
        <f t="shared" si="31"/>
        <v>1960.0000275555551</v>
      </c>
      <c r="AF21" s="58"/>
    </row>
    <row r="22" spans="1:36" x14ac:dyDescent="0.25">
      <c r="A22" s="20" t="str">
        <f t="shared" si="3"/>
        <v>FL250</v>
      </c>
      <c r="B22" s="52"/>
      <c r="C22" s="53">
        <f t="shared" si="7"/>
        <v>1960</v>
      </c>
      <c r="D22" s="52"/>
      <c r="E22" s="54">
        <f t="shared" si="4"/>
        <v>0</v>
      </c>
      <c r="F22" s="52"/>
      <c r="G22" s="54">
        <f t="shared" si="5"/>
        <v>22.4</v>
      </c>
      <c r="H22" s="55">
        <f t="shared" si="8"/>
        <v>36602.530000147621</v>
      </c>
      <c r="I22" s="55">
        <f t="shared" si="9"/>
        <v>36603.463333480955</v>
      </c>
      <c r="J22" s="21">
        <f t="shared" si="10"/>
        <v>1263.9999789115645</v>
      </c>
      <c r="K22" s="22">
        <f t="shared" si="11"/>
        <v>643.99997047619058</v>
      </c>
      <c r="L22" s="23">
        <f t="shared" si="12"/>
        <v>1341.9999831292516</v>
      </c>
      <c r="M22" s="24">
        <f t="shared" si="13"/>
        <v>369.99999578231291</v>
      </c>
      <c r="N22" s="25">
        <f t="shared" si="14"/>
        <v>2399.9999746938779</v>
      </c>
      <c r="O22" s="26">
        <f t="shared" si="15"/>
        <v>2401.9999662585033</v>
      </c>
      <c r="P22" s="45">
        <f t="shared" si="16"/>
        <v>1.2639999789115646</v>
      </c>
      <c r="Q22" s="46">
        <f t="shared" si="17"/>
        <v>0.45999997891156469</v>
      </c>
      <c r="R22" s="47">
        <f t="shared" si="18"/>
        <v>1.6774999789115645</v>
      </c>
      <c r="S22" s="48">
        <f t="shared" si="19"/>
        <v>1.8499999789115646</v>
      </c>
      <c r="T22" s="49">
        <f t="shared" si="20"/>
        <v>1.999999978911565</v>
      </c>
      <c r="U22" s="50">
        <f t="shared" si="21"/>
        <v>1.5012499789115645</v>
      </c>
      <c r="V22" s="56">
        <f t="shared" si="22"/>
        <v>0.45999997891156469</v>
      </c>
      <c r="W22" s="52">
        <f t="shared" si="23"/>
        <v>2</v>
      </c>
      <c r="X22" s="52" t="str">
        <f t="shared" si="24"/>
        <v>AB250</v>
      </c>
      <c r="Y22" s="57">
        <f t="shared" si="25"/>
        <v>643.99997047619058</v>
      </c>
      <c r="Z22" s="52">
        <f t="shared" si="26"/>
        <v>87.5</v>
      </c>
      <c r="AA22" s="52">
        <f t="shared" si="27"/>
        <v>1400</v>
      </c>
      <c r="AB22" s="52">
        <f t="shared" si="28"/>
        <v>0.5</v>
      </c>
      <c r="AC22" s="57">
        <f t="shared" si="29"/>
        <v>700</v>
      </c>
      <c r="AD22" s="52">
        <f t="shared" si="30"/>
        <v>2800</v>
      </c>
      <c r="AE22" s="57">
        <f t="shared" si="31"/>
        <v>2382.9474010526319</v>
      </c>
      <c r="AF22" s="58"/>
    </row>
    <row r="23" spans="1:36" x14ac:dyDescent="0.25">
      <c r="A23" s="20" t="str">
        <f t="shared" si="3"/>
        <v>AB250</v>
      </c>
      <c r="B23" s="52"/>
      <c r="C23" s="53">
        <f t="shared" si="7"/>
        <v>2383</v>
      </c>
      <c r="D23" s="52"/>
      <c r="E23" s="54">
        <f t="shared" si="4"/>
        <v>0</v>
      </c>
      <c r="F23" s="52"/>
      <c r="G23" s="54">
        <f t="shared" si="5"/>
        <v>27.234285714285715</v>
      </c>
      <c r="H23" s="55">
        <f t="shared" si="8"/>
        <v>36603.463333480955</v>
      </c>
      <c r="I23" s="55">
        <f t="shared" si="9"/>
        <v>36604.598095385714</v>
      </c>
      <c r="J23" s="21">
        <f t="shared" si="10"/>
        <v>1101.8911353741496</v>
      </c>
      <c r="K23" s="22">
        <f t="shared" si="11"/>
        <v>2800.0475895238096</v>
      </c>
      <c r="L23" s="23">
        <f t="shared" si="12"/>
        <v>1212.3129082993196</v>
      </c>
      <c r="M23" s="24">
        <f t="shared" si="13"/>
        <v>337.5782270748299</v>
      </c>
      <c r="N23" s="25">
        <f t="shared" si="14"/>
        <v>2205.4693624489801</v>
      </c>
      <c r="O23" s="26">
        <f t="shared" si="15"/>
        <v>2142.6258165986392</v>
      </c>
      <c r="P23" s="45">
        <f t="shared" si="16"/>
        <v>1.1018911353741496</v>
      </c>
      <c r="Q23" s="46">
        <f t="shared" si="17"/>
        <v>2.000033992517007</v>
      </c>
      <c r="R23" s="47">
        <f t="shared" si="18"/>
        <v>1.5153911353741494</v>
      </c>
      <c r="S23" s="48">
        <f t="shared" si="19"/>
        <v>1.6878911353741495</v>
      </c>
      <c r="T23" s="49">
        <f t="shared" si="20"/>
        <v>1.8378911353741501</v>
      </c>
      <c r="U23" s="50">
        <f t="shared" si="21"/>
        <v>1.3391411353741496</v>
      </c>
      <c r="V23" s="56">
        <f t="shared" si="22"/>
        <v>1.1018911353741496</v>
      </c>
      <c r="W23" s="52">
        <f t="shared" si="23"/>
        <v>1</v>
      </c>
      <c r="X23" s="52" t="str">
        <f t="shared" si="24"/>
        <v>AB100</v>
      </c>
      <c r="Y23" s="57">
        <f t="shared" si="25"/>
        <v>1101.8911353741496</v>
      </c>
      <c r="Z23" s="52">
        <f t="shared" si="26"/>
        <v>87.5</v>
      </c>
      <c r="AA23" s="52">
        <f t="shared" si="27"/>
        <v>1000</v>
      </c>
      <c r="AB23" s="52">
        <f t="shared" si="28"/>
        <v>0.5</v>
      </c>
      <c r="AC23" s="57">
        <f t="shared" si="29"/>
        <v>500</v>
      </c>
      <c r="AD23" s="52">
        <f t="shared" si="30"/>
        <v>2000</v>
      </c>
      <c r="AE23" s="57">
        <f t="shared" si="31"/>
        <v>963.66425620437963</v>
      </c>
      <c r="AF23" s="58"/>
    </row>
    <row r="24" spans="1:36" x14ac:dyDescent="0.25">
      <c r="A24" s="20" t="str">
        <f t="shared" si="3"/>
        <v>Idle</v>
      </c>
      <c r="B24" s="52"/>
      <c r="C24" s="53">
        <f t="shared" si="7"/>
        <v>0</v>
      </c>
      <c r="D24" s="52"/>
      <c r="E24" s="54">
        <f t="shared" si="4"/>
        <v>101.1177048</v>
      </c>
      <c r="F24" s="52"/>
      <c r="G24" s="54">
        <f t="shared" si="5"/>
        <v>0</v>
      </c>
      <c r="H24" s="55">
        <f t="shared" si="8"/>
        <v>36604.598095385714</v>
      </c>
      <c r="I24" s="55">
        <f t="shared" si="9"/>
        <v>36608.811333085716</v>
      </c>
      <c r="J24" s="21">
        <f t="shared" si="10"/>
        <v>500.00003537414966</v>
      </c>
      <c r="K24" s="22">
        <f t="shared" si="11"/>
        <v>1957.4000495238097</v>
      </c>
      <c r="L24" s="23">
        <f t="shared" si="12"/>
        <v>730.80002829931959</v>
      </c>
      <c r="M24" s="24">
        <f t="shared" si="13"/>
        <v>217.2000070748299</v>
      </c>
      <c r="N24" s="25">
        <f t="shared" si="14"/>
        <v>1483.2000424489802</v>
      </c>
      <c r="O24" s="26">
        <f t="shared" si="15"/>
        <v>1179.6000565986392</v>
      </c>
      <c r="P24" s="45">
        <f t="shared" si="16"/>
        <v>0.50000003537414961</v>
      </c>
      <c r="Q24" s="46">
        <f t="shared" si="17"/>
        <v>1.398142892517007</v>
      </c>
      <c r="R24" s="47">
        <f t="shared" si="18"/>
        <v>0.91350003537414948</v>
      </c>
      <c r="S24" s="48">
        <f t="shared" si="19"/>
        <v>1.0860000353741495</v>
      </c>
      <c r="T24" s="49">
        <f t="shared" si="20"/>
        <v>1.2360000353741503</v>
      </c>
      <c r="U24" s="50">
        <f t="shared" si="21"/>
        <v>0.73725003537414946</v>
      </c>
      <c r="V24" s="56">
        <f t="shared" si="22"/>
        <v>0.50000003537414961</v>
      </c>
      <c r="W24" s="52">
        <f t="shared" si="23"/>
        <v>1</v>
      </c>
      <c r="X24" s="52" t="str">
        <f t="shared" si="24"/>
        <v>AB100</v>
      </c>
      <c r="Y24" s="57">
        <f t="shared" si="25"/>
        <v>500.00003537414966</v>
      </c>
      <c r="Z24" s="52">
        <f t="shared" si="26"/>
        <v>87.5</v>
      </c>
      <c r="AA24" s="52">
        <f t="shared" si="27"/>
        <v>1000</v>
      </c>
      <c r="AB24" s="52">
        <f t="shared" si="28"/>
        <v>0.5</v>
      </c>
      <c r="AC24" s="57">
        <f t="shared" si="29"/>
        <v>500</v>
      </c>
      <c r="AD24" s="52">
        <f t="shared" si="30"/>
        <v>2000</v>
      </c>
      <c r="AE24" s="57">
        <f t="shared" si="31"/>
        <v>1609.489013138686</v>
      </c>
      <c r="AF24" s="58"/>
    </row>
    <row r="25" spans="1:36" x14ac:dyDescent="0.25">
      <c r="A25" s="20" t="str">
        <f t="shared" si="3"/>
        <v>AB100</v>
      </c>
      <c r="B25" s="52"/>
      <c r="C25" s="53">
        <f t="shared" si="7"/>
        <v>1609</v>
      </c>
      <c r="D25" s="52"/>
      <c r="E25" s="54">
        <f t="shared" si="4"/>
        <v>0</v>
      </c>
      <c r="F25" s="52"/>
      <c r="G25" s="54">
        <f t="shared" si="5"/>
        <v>18.388571428571428</v>
      </c>
      <c r="H25" s="55">
        <f t="shared" si="8"/>
        <v>36608.811333085716</v>
      </c>
      <c r="I25" s="55">
        <f t="shared" si="9"/>
        <v>36609.577523561908</v>
      </c>
      <c r="J25" s="21">
        <f t="shared" si="10"/>
        <v>1999.5442530612245</v>
      </c>
      <c r="K25" s="22">
        <f t="shared" si="11"/>
        <v>1804.1619542857145</v>
      </c>
      <c r="L25" s="23">
        <f t="shared" si="12"/>
        <v>643.23540244897947</v>
      </c>
      <c r="M25" s="24">
        <f t="shared" si="13"/>
        <v>195.30885061224487</v>
      </c>
      <c r="N25" s="25">
        <f t="shared" si="14"/>
        <v>1351.8531036734701</v>
      </c>
      <c r="O25" s="26">
        <f t="shared" si="15"/>
        <v>1004.4708048979589</v>
      </c>
      <c r="P25" s="45">
        <f t="shared" si="16"/>
        <v>1.9995442530612244</v>
      </c>
      <c r="Q25" s="46">
        <f t="shared" si="17"/>
        <v>1.2886871102040818</v>
      </c>
      <c r="R25" s="47">
        <f t="shared" si="18"/>
        <v>0.80404425306122429</v>
      </c>
      <c r="S25" s="48">
        <f t="shared" si="19"/>
        <v>0.97654425306122439</v>
      </c>
      <c r="T25" s="49">
        <f t="shared" si="20"/>
        <v>1.1265442530612251</v>
      </c>
      <c r="U25" s="50">
        <f t="shared" si="21"/>
        <v>0.62779425306122438</v>
      </c>
      <c r="V25" s="56">
        <f t="shared" si="22"/>
        <v>0.62779425306122438</v>
      </c>
      <c r="W25" s="52">
        <f t="shared" si="23"/>
        <v>6</v>
      </c>
      <c r="X25" s="52" t="str">
        <f t="shared" si="24"/>
        <v>FL500</v>
      </c>
      <c r="Y25" s="57">
        <f t="shared" si="25"/>
        <v>1004.4708048979589</v>
      </c>
      <c r="Z25" s="52">
        <f t="shared" si="26"/>
        <v>175</v>
      </c>
      <c r="AA25" s="52">
        <f t="shared" si="27"/>
        <v>1600</v>
      </c>
      <c r="AB25" s="52">
        <f t="shared" si="28"/>
        <v>0.5</v>
      </c>
      <c r="AC25" s="57">
        <f t="shared" si="29"/>
        <v>800</v>
      </c>
      <c r="AD25" s="52">
        <f t="shared" si="30"/>
        <v>3200</v>
      </c>
      <c r="AE25" s="57">
        <f t="shared" si="31"/>
        <v>2321.8905876258991</v>
      </c>
      <c r="AF25" s="58"/>
    </row>
    <row r="26" spans="1:36" x14ac:dyDescent="0.25">
      <c r="A26" s="20" t="str">
        <f t="shared" si="3"/>
        <v>Idle</v>
      </c>
      <c r="B26" s="52"/>
      <c r="C26" s="53">
        <f t="shared" si="7"/>
        <v>0</v>
      </c>
      <c r="D26" s="52"/>
      <c r="E26" s="54">
        <f t="shared" si="4"/>
        <v>21.469442399999998</v>
      </c>
      <c r="F26" s="52"/>
      <c r="G26" s="54">
        <f t="shared" si="5"/>
        <v>0</v>
      </c>
      <c r="H26" s="55">
        <f t="shared" si="8"/>
        <v>36609.577523561908</v>
      </c>
      <c r="I26" s="55">
        <f t="shared" si="9"/>
        <v>36610.472083661909</v>
      </c>
      <c r="J26" s="21">
        <f t="shared" si="10"/>
        <v>1871.7499530612245</v>
      </c>
      <c r="K26" s="22">
        <f t="shared" si="11"/>
        <v>1625.2499342857145</v>
      </c>
      <c r="L26" s="23">
        <f t="shared" si="12"/>
        <v>540.99996244897943</v>
      </c>
      <c r="M26" s="24">
        <f t="shared" si="13"/>
        <v>169.74999061224486</v>
      </c>
      <c r="N26" s="25">
        <f t="shared" si="14"/>
        <v>1198.4999436734702</v>
      </c>
      <c r="O26" s="26">
        <f t="shared" si="15"/>
        <v>799.99992489795898</v>
      </c>
      <c r="P26" s="45">
        <f t="shared" si="16"/>
        <v>1.8717499530612245</v>
      </c>
      <c r="Q26" s="46">
        <f t="shared" si="17"/>
        <v>1.1608928102040819</v>
      </c>
      <c r="R26" s="47">
        <f t="shared" si="18"/>
        <v>0.67624995306122426</v>
      </c>
      <c r="S26" s="48">
        <f t="shared" si="19"/>
        <v>0.84874995306122425</v>
      </c>
      <c r="T26" s="49">
        <f t="shared" si="20"/>
        <v>0.99874995306122516</v>
      </c>
      <c r="U26" s="50">
        <f t="shared" si="21"/>
        <v>0.49999995306122436</v>
      </c>
      <c r="V26" s="56">
        <f t="shared" si="22"/>
        <v>0.49999995306122436</v>
      </c>
      <c r="W26" s="52">
        <f t="shared" si="23"/>
        <v>6</v>
      </c>
      <c r="X26" s="52" t="str">
        <f t="shared" si="24"/>
        <v>FL500</v>
      </c>
      <c r="Y26" s="57">
        <f t="shared" si="25"/>
        <v>799.99992489795898</v>
      </c>
      <c r="Z26" s="52">
        <f t="shared" si="26"/>
        <v>175</v>
      </c>
      <c r="AA26" s="52">
        <f t="shared" si="27"/>
        <v>1600</v>
      </c>
      <c r="AB26" s="52">
        <f t="shared" si="28"/>
        <v>0.5</v>
      </c>
      <c r="AC26" s="57">
        <f t="shared" si="29"/>
        <v>800</v>
      </c>
      <c r="AD26" s="52">
        <f t="shared" si="30"/>
        <v>3200</v>
      </c>
      <c r="AE26" s="57">
        <f t="shared" si="31"/>
        <v>2538.1295758273386</v>
      </c>
      <c r="AF26" s="58"/>
    </row>
    <row r="27" spans="1:36" x14ac:dyDescent="0.25">
      <c r="A27" s="20" t="str">
        <f t="shared" si="3"/>
        <v>FL500</v>
      </c>
      <c r="B27" s="52"/>
      <c r="C27" s="53">
        <f t="shared" si="7"/>
        <v>2538</v>
      </c>
      <c r="D27" s="52"/>
      <c r="E27" s="54">
        <f t="shared" si="4"/>
        <v>0</v>
      </c>
      <c r="F27" s="52"/>
      <c r="G27" s="54">
        <f t="shared" si="5"/>
        <v>14.502857142857144</v>
      </c>
      <c r="H27" s="55">
        <f t="shared" si="8"/>
        <v>36610.472083661909</v>
      </c>
      <c r="I27" s="55">
        <f t="shared" si="9"/>
        <v>36611.076369376198</v>
      </c>
      <c r="J27" s="21">
        <f t="shared" si="10"/>
        <v>1785.4234224489796</v>
      </c>
      <c r="K27" s="22">
        <f t="shared" si="11"/>
        <v>1504.3927914285716</v>
      </c>
      <c r="L27" s="23">
        <f t="shared" si="12"/>
        <v>471.93873795918353</v>
      </c>
      <c r="M27" s="24">
        <f t="shared" si="13"/>
        <v>152.48468448979588</v>
      </c>
      <c r="N27" s="25">
        <f t="shared" si="14"/>
        <v>1094.9081069387762</v>
      </c>
      <c r="O27" s="26">
        <f t="shared" si="15"/>
        <v>3199.8774759183671</v>
      </c>
      <c r="P27" s="45">
        <f t="shared" si="16"/>
        <v>1.7854234224489796</v>
      </c>
      <c r="Q27" s="46">
        <f t="shared" si="17"/>
        <v>1.0745662795918369</v>
      </c>
      <c r="R27" s="47">
        <f t="shared" si="18"/>
        <v>0.58992342244897944</v>
      </c>
      <c r="S27" s="48">
        <f t="shared" si="19"/>
        <v>0.76242342244897943</v>
      </c>
      <c r="T27" s="49">
        <f t="shared" si="20"/>
        <v>0.91242342244898011</v>
      </c>
      <c r="U27" s="50">
        <f t="shared" si="21"/>
        <v>1.9999234224489795</v>
      </c>
      <c r="V27" s="56">
        <f t="shared" si="22"/>
        <v>0.58992342244897944</v>
      </c>
      <c r="W27" s="52">
        <f t="shared" si="23"/>
        <v>3</v>
      </c>
      <c r="X27" s="52" t="str">
        <f t="shared" si="24"/>
        <v>AB500</v>
      </c>
      <c r="Y27" s="57">
        <f t="shared" si="25"/>
        <v>471.93873795918353</v>
      </c>
      <c r="Z27" s="52">
        <f t="shared" si="26"/>
        <v>175</v>
      </c>
      <c r="AA27" s="52">
        <f t="shared" si="27"/>
        <v>800</v>
      </c>
      <c r="AB27" s="52">
        <f t="shared" si="28"/>
        <v>0.5</v>
      </c>
      <c r="AC27" s="57">
        <f t="shared" si="29"/>
        <v>400</v>
      </c>
      <c r="AD27" s="52">
        <f t="shared" si="30"/>
        <v>1600</v>
      </c>
      <c r="AE27" s="57">
        <f t="shared" si="31"/>
        <v>1159.6154232167833</v>
      </c>
      <c r="AF27" s="58"/>
    </row>
    <row r="28" spans="1:36" x14ac:dyDescent="0.25">
      <c r="A28" s="20" t="str">
        <f t="shared" si="3"/>
        <v>Idle</v>
      </c>
      <c r="B28" s="52"/>
      <c r="C28" s="53">
        <f t="shared" si="7"/>
        <v>0</v>
      </c>
      <c r="D28" s="52"/>
      <c r="E28" s="54">
        <f t="shared" si="4"/>
        <v>15.1071312</v>
      </c>
      <c r="F28" s="52"/>
      <c r="G28" s="54">
        <f t="shared" si="5"/>
        <v>0</v>
      </c>
      <c r="H28" s="55">
        <f t="shared" si="8"/>
        <v>36611.076369376198</v>
      </c>
      <c r="I28" s="55">
        <f t="shared" si="9"/>
        <v>36611.705833176202</v>
      </c>
      <c r="J28" s="21">
        <f t="shared" si="10"/>
        <v>1695.5000224489797</v>
      </c>
      <c r="K28" s="22">
        <f t="shared" si="11"/>
        <v>1378.5000314285717</v>
      </c>
      <c r="L28" s="23">
        <f t="shared" si="12"/>
        <v>400.00001795918354</v>
      </c>
      <c r="M28" s="24">
        <f t="shared" si="13"/>
        <v>134.50000448979588</v>
      </c>
      <c r="N28" s="25">
        <f t="shared" si="14"/>
        <v>987.00002693877616</v>
      </c>
      <c r="O28" s="26">
        <f t="shared" si="15"/>
        <v>3056.0000359183668</v>
      </c>
      <c r="P28" s="45">
        <f t="shared" si="16"/>
        <v>1.6955000224489798</v>
      </c>
      <c r="Q28" s="46">
        <f t="shared" si="17"/>
        <v>0.98464287959183694</v>
      </c>
      <c r="R28" s="47">
        <f t="shared" si="18"/>
        <v>0.50000002244897945</v>
      </c>
      <c r="S28" s="48">
        <f t="shared" si="19"/>
        <v>0.67250002244897944</v>
      </c>
      <c r="T28" s="49">
        <f t="shared" si="20"/>
        <v>0.82250002244898013</v>
      </c>
      <c r="U28" s="50">
        <f t="shared" si="21"/>
        <v>1.9100000224489793</v>
      </c>
      <c r="V28" s="56">
        <f t="shared" si="22"/>
        <v>0.50000002244897945</v>
      </c>
      <c r="W28" s="52">
        <f t="shared" si="23"/>
        <v>3</v>
      </c>
      <c r="X28" s="52" t="str">
        <f t="shared" si="24"/>
        <v>AB500</v>
      </c>
      <c r="Y28" s="57">
        <f t="shared" si="25"/>
        <v>400.00001795918354</v>
      </c>
      <c r="Z28" s="52">
        <f t="shared" si="26"/>
        <v>175</v>
      </c>
      <c r="AA28" s="52">
        <f t="shared" si="27"/>
        <v>800</v>
      </c>
      <c r="AB28" s="52">
        <f t="shared" si="28"/>
        <v>0.5</v>
      </c>
      <c r="AC28" s="57">
        <f t="shared" si="29"/>
        <v>400</v>
      </c>
      <c r="AD28" s="52">
        <f t="shared" si="30"/>
        <v>1600</v>
      </c>
      <c r="AE28" s="57">
        <f t="shared" si="31"/>
        <v>1233.5664151048954</v>
      </c>
      <c r="AF28" s="58"/>
    </row>
    <row r="29" spans="1:36" x14ac:dyDescent="0.25">
      <c r="A29" s="20" t="str">
        <f t="shared" si="3"/>
        <v>AB500</v>
      </c>
      <c r="B29" s="52"/>
      <c r="C29" s="53">
        <f t="shared" si="7"/>
        <v>1234</v>
      </c>
      <c r="D29" s="52"/>
      <c r="E29" s="54">
        <f t="shared" si="4"/>
        <v>0</v>
      </c>
      <c r="F29" s="52"/>
      <c r="G29" s="54">
        <f t="shared" si="5"/>
        <v>7.0514285714285716</v>
      </c>
      <c r="H29" s="55">
        <f t="shared" si="8"/>
        <v>36611.705833176202</v>
      </c>
      <c r="I29" s="55">
        <f t="shared" si="9"/>
        <v>36611.999642700008</v>
      </c>
      <c r="J29" s="21">
        <f t="shared" si="10"/>
        <v>1653.5272333333335</v>
      </c>
      <c r="K29" s="22">
        <f t="shared" si="11"/>
        <v>1319.7381266666669</v>
      </c>
      <c r="L29" s="23">
        <f t="shared" si="12"/>
        <v>1600.4217866666665</v>
      </c>
      <c r="M29" s="24">
        <f t="shared" si="13"/>
        <v>126.10544666666664</v>
      </c>
      <c r="N29" s="25">
        <f t="shared" si="14"/>
        <v>936.63268000000062</v>
      </c>
      <c r="O29" s="26">
        <f t="shared" si="15"/>
        <v>2988.8435733333326</v>
      </c>
      <c r="P29" s="45">
        <f t="shared" si="16"/>
        <v>1.6535272333333335</v>
      </c>
      <c r="Q29" s="46">
        <f t="shared" si="17"/>
        <v>0.94267009047619066</v>
      </c>
      <c r="R29" s="47">
        <f t="shared" si="18"/>
        <v>2.000527233333333</v>
      </c>
      <c r="S29" s="48">
        <f t="shared" si="19"/>
        <v>0.63052723333333316</v>
      </c>
      <c r="T29" s="49">
        <f t="shared" si="20"/>
        <v>0.78052723333333385</v>
      </c>
      <c r="U29" s="50">
        <f t="shared" si="21"/>
        <v>1.868027233333333</v>
      </c>
      <c r="V29" s="56">
        <f t="shared" si="22"/>
        <v>0.63052723333333316</v>
      </c>
      <c r="W29" s="52">
        <f t="shared" si="23"/>
        <v>4</v>
      </c>
      <c r="X29" s="52" t="str">
        <f t="shared" si="24"/>
        <v>FL100</v>
      </c>
      <c r="Y29" s="57">
        <f t="shared" si="25"/>
        <v>126.10544666666664</v>
      </c>
      <c r="Z29" s="52">
        <f t="shared" si="26"/>
        <v>87.5</v>
      </c>
      <c r="AA29" s="52">
        <f t="shared" si="27"/>
        <v>200</v>
      </c>
      <c r="AB29" s="52">
        <f t="shared" si="28"/>
        <v>0.5</v>
      </c>
      <c r="AC29" s="57">
        <f t="shared" si="29"/>
        <v>100</v>
      </c>
      <c r="AD29" s="52">
        <f t="shared" si="30"/>
        <v>400</v>
      </c>
      <c r="AE29" s="57">
        <f t="shared" si="31"/>
        <v>277.67240924137934</v>
      </c>
      <c r="AF29" s="58"/>
    </row>
    <row r="30" spans="1:36" x14ac:dyDescent="0.25">
      <c r="A30" s="20" t="str">
        <f t="shared" si="3"/>
        <v>Idle</v>
      </c>
      <c r="B30" s="52"/>
      <c r="C30" s="53">
        <f t="shared" si="7"/>
        <v>0</v>
      </c>
      <c r="D30" s="52"/>
      <c r="E30" s="54">
        <f t="shared" si="4"/>
        <v>21.928569600000003</v>
      </c>
      <c r="F30" s="52"/>
      <c r="G30" s="54">
        <f t="shared" si="5"/>
        <v>0</v>
      </c>
      <c r="H30" s="55">
        <f t="shared" si="8"/>
        <v>36611.999642700008</v>
      </c>
      <c r="I30" s="55">
        <f t="shared" si="9"/>
        <v>36612.913333100005</v>
      </c>
      <c r="J30" s="21">
        <f t="shared" si="10"/>
        <v>1523.0000333333335</v>
      </c>
      <c r="K30" s="22">
        <f t="shared" si="11"/>
        <v>1137.0000466666668</v>
      </c>
      <c r="L30" s="23">
        <f t="shared" si="12"/>
        <v>1496.0000266666666</v>
      </c>
      <c r="M30" s="24">
        <f t="shared" si="13"/>
        <v>100.00000666666664</v>
      </c>
      <c r="N30" s="25">
        <f t="shared" si="14"/>
        <v>780.00004000000058</v>
      </c>
      <c r="O30" s="26">
        <f t="shared" si="15"/>
        <v>2780.0000533333327</v>
      </c>
      <c r="P30" s="45">
        <f t="shared" si="16"/>
        <v>1.5230000333333336</v>
      </c>
      <c r="Q30" s="46">
        <f t="shared" si="17"/>
        <v>0.81214289047619059</v>
      </c>
      <c r="R30" s="47">
        <f t="shared" si="18"/>
        <v>1.8700000333333333</v>
      </c>
      <c r="S30" s="48">
        <f t="shared" si="19"/>
        <v>0.5000000333333332</v>
      </c>
      <c r="T30" s="49">
        <f t="shared" si="20"/>
        <v>0.65000003333333378</v>
      </c>
      <c r="U30" s="50">
        <f t="shared" si="21"/>
        <v>1.737500033333333</v>
      </c>
      <c r="V30" s="56">
        <f t="shared" si="22"/>
        <v>0.5000000333333332</v>
      </c>
      <c r="W30" s="52">
        <f t="shared" si="23"/>
        <v>4</v>
      </c>
      <c r="X30" s="52" t="str">
        <f t="shared" si="24"/>
        <v>FL100</v>
      </c>
      <c r="Y30" s="57">
        <f t="shared" si="25"/>
        <v>100.00000666666664</v>
      </c>
      <c r="Z30" s="52">
        <f t="shared" si="26"/>
        <v>87.5</v>
      </c>
      <c r="AA30" s="52">
        <f t="shared" si="27"/>
        <v>200</v>
      </c>
      <c r="AB30" s="52">
        <f t="shared" si="28"/>
        <v>0.5</v>
      </c>
      <c r="AC30" s="57">
        <f t="shared" si="29"/>
        <v>100</v>
      </c>
      <c r="AD30" s="52">
        <f t="shared" si="30"/>
        <v>400</v>
      </c>
      <c r="AE30" s="57">
        <f t="shared" si="31"/>
        <v>304.13792427586208</v>
      </c>
      <c r="AF30" s="58"/>
    </row>
    <row r="31" spans="1:36" x14ac:dyDescent="0.25">
      <c r="A31" s="20" t="str">
        <f t="shared" si="3"/>
        <v>FL100</v>
      </c>
      <c r="B31" s="52"/>
      <c r="C31" s="53">
        <f t="shared" si="7"/>
        <v>304</v>
      </c>
      <c r="D31" s="52"/>
      <c r="E31" s="54">
        <f t="shared" si="4"/>
        <v>0</v>
      </c>
      <c r="F31" s="52"/>
      <c r="G31" s="54">
        <f t="shared" si="5"/>
        <v>3.4742857142857142</v>
      </c>
      <c r="H31" s="55">
        <f t="shared" si="8"/>
        <v>36612.913333100005</v>
      </c>
      <c r="I31" s="55">
        <f t="shared" si="9"/>
        <v>36613.058095004766</v>
      </c>
      <c r="J31" s="21">
        <f t="shared" si="10"/>
        <v>1502.3197612244899</v>
      </c>
      <c r="K31" s="22">
        <f t="shared" si="11"/>
        <v>1108.0476657142858</v>
      </c>
      <c r="L31" s="23">
        <f t="shared" si="12"/>
        <v>1479.4558089795917</v>
      </c>
      <c r="M31" s="24">
        <f t="shared" si="13"/>
        <v>399.86395224489792</v>
      </c>
      <c r="N31" s="25">
        <f t="shared" si="14"/>
        <v>755.18371346938829</v>
      </c>
      <c r="O31" s="26">
        <f t="shared" si="15"/>
        <v>2746.9116179591829</v>
      </c>
      <c r="P31" s="45">
        <f t="shared" si="16"/>
        <v>1.5023197612244898</v>
      </c>
      <c r="Q31" s="46">
        <f t="shared" si="17"/>
        <v>0.79146261836734699</v>
      </c>
      <c r="R31" s="47">
        <f t="shared" si="18"/>
        <v>1.8493197612244896</v>
      </c>
      <c r="S31" s="48">
        <f t="shared" si="19"/>
        <v>1.9993197612244895</v>
      </c>
      <c r="T31" s="49">
        <f t="shared" si="20"/>
        <v>0.62931976122449029</v>
      </c>
      <c r="U31" s="50">
        <f t="shared" si="21"/>
        <v>1.7168197612244893</v>
      </c>
      <c r="V31" s="56">
        <f t="shared" si="22"/>
        <v>0.62931976122449029</v>
      </c>
      <c r="W31" s="52">
        <f t="shared" si="23"/>
        <v>5</v>
      </c>
      <c r="X31" s="52" t="str">
        <f t="shared" si="24"/>
        <v>FL250</v>
      </c>
      <c r="Y31" s="57">
        <f t="shared" si="25"/>
        <v>755.18371346938829</v>
      </c>
      <c r="Z31" s="52">
        <f t="shared" si="26"/>
        <v>87.5</v>
      </c>
      <c r="AA31" s="52">
        <f t="shared" si="27"/>
        <v>1200</v>
      </c>
      <c r="AB31" s="52">
        <f t="shared" si="28"/>
        <v>0.5</v>
      </c>
      <c r="AC31" s="57">
        <f t="shared" si="29"/>
        <v>600</v>
      </c>
      <c r="AD31" s="52">
        <f t="shared" si="30"/>
        <v>2400</v>
      </c>
      <c r="AE31" s="57">
        <f t="shared" si="31"/>
        <v>1791.0221786666662</v>
      </c>
      <c r="AF31" s="58"/>
    </row>
    <row r="32" spans="1:36" x14ac:dyDescent="0.25">
      <c r="A32" s="20" t="str">
        <f t="shared" si="3"/>
        <v>Idle</v>
      </c>
      <c r="B32" s="52"/>
      <c r="C32" s="53">
        <f t="shared" si="7"/>
        <v>0</v>
      </c>
      <c r="D32" s="52"/>
      <c r="E32" s="54">
        <f t="shared" si="4"/>
        <v>21.725726400000003</v>
      </c>
      <c r="F32" s="52"/>
      <c r="G32" s="54">
        <f t="shared" si="5"/>
        <v>0</v>
      </c>
      <c r="H32" s="55">
        <f t="shared" si="8"/>
        <v>36613.058095004766</v>
      </c>
      <c r="I32" s="55">
        <f t="shared" si="9"/>
        <v>36613.963333604763</v>
      </c>
      <c r="J32" s="21">
        <f t="shared" si="10"/>
        <v>1372.9999612244899</v>
      </c>
      <c r="K32" s="22">
        <f t="shared" si="11"/>
        <v>926.99994571428579</v>
      </c>
      <c r="L32" s="23">
        <f t="shared" si="12"/>
        <v>1375.9999689795916</v>
      </c>
      <c r="M32" s="24">
        <f t="shared" si="13"/>
        <v>373.9999922448979</v>
      </c>
      <c r="N32" s="25">
        <f t="shared" si="14"/>
        <v>599.99995346938829</v>
      </c>
      <c r="O32" s="26">
        <f t="shared" si="15"/>
        <v>2539.9999379591827</v>
      </c>
      <c r="P32" s="45">
        <f t="shared" si="16"/>
        <v>1.3729999612244899</v>
      </c>
      <c r="Q32" s="46">
        <f t="shared" si="17"/>
        <v>0.66214281836734701</v>
      </c>
      <c r="R32" s="47">
        <f t="shared" si="18"/>
        <v>1.7199999612244894</v>
      </c>
      <c r="S32" s="48">
        <f t="shared" si="19"/>
        <v>1.8699999612244895</v>
      </c>
      <c r="T32" s="49">
        <f t="shared" si="20"/>
        <v>0.49999996122449025</v>
      </c>
      <c r="U32" s="50">
        <f t="shared" si="21"/>
        <v>1.5874999612244891</v>
      </c>
      <c r="V32" s="56">
        <f t="shared" si="22"/>
        <v>0.49999996122449025</v>
      </c>
      <c r="W32" s="52">
        <f t="shared" si="23"/>
        <v>5</v>
      </c>
      <c r="X32" s="52" t="str">
        <f t="shared" si="24"/>
        <v>FL250</v>
      </c>
      <c r="Y32" s="57">
        <f t="shared" si="25"/>
        <v>599.99995346938829</v>
      </c>
      <c r="Z32" s="52">
        <f t="shared" si="26"/>
        <v>87.5</v>
      </c>
      <c r="AA32" s="52">
        <f t="shared" si="27"/>
        <v>1200</v>
      </c>
      <c r="AB32" s="52">
        <f t="shared" si="28"/>
        <v>0.5</v>
      </c>
      <c r="AC32" s="57">
        <f t="shared" si="29"/>
        <v>600</v>
      </c>
      <c r="AD32" s="52">
        <f t="shared" si="30"/>
        <v>2400</v>
      </c>
      <c r="AE32" s="57">
        <f t="shared" si="31"/>
        <v>1960.0000506666659</v>
      </c>
      <c r="AF32" s="58"/>
    </row>
    <row r="33" spans="1:31" x14ac:dyDescent="0.25">
      <c r="A33" s="20" t="str">
        <f t="shared" si="3"/>
        <v>FL250</v>
      </c>
      <c r="B33" s="52"/>
      <c r="C33" s="53">
        <f t="shared" si="7"/>
        <v>1960</v>
      </c>
      <c r="D33" s="52"/>
      <c r="E33" s="54">
        <f t="shared" si="4"/>
        <v>0</v>
      </c>
      <c r="F33" s="52"/>
      <c r="G33" s="54">
        <f t="shared" si="5"/>
        <v>22.4</v>
      </c>
      <c r="H33" s="55">
        <f t="shared" si="8"/>
        <v>36613.963333604763</v>
      </c>
      <c r="I33" s="55">
        <f t="shared" si="9"/>
        <v>36614.896666938097</v>
      </c>
      <c r="J33" s="21">
        <f t="shared" si="10"/>
        <v>1239.6666278911566</v>
      </c>
      <c r="K33" s="22">
        <f t="shared" si="11"/>
        <v>740.33327904761916</v>
      </c>
      <c r="L33" s="23">
        <f t="shared" si="12"/>
        <v>1269.3333023129248</v>
      </c>
      <c r="M33" s="24">
        <f t="shared" si="13"/>
        <v>347.33332557823121</v>
      </c>
      <c r="N33" s="25">
        <f t="shared" si="14"/>
        <v>2399.9999534693884</v>
      </c>
      <c r="O33" s="26">
        <f t="shared" si="15"/>
        <v>2326.6666046258492</v>
      </c>
      <c r="P33" s="45">
        <f t="shared" si="16"/>
        <v>1.2396666278911566</v>
      </c>
      <c r="Q33" s="46">
        <f t="shared" si="17"/>
        <v>0.5288094850340137</v>
      </c>
      <c r="R33" s="47">
        <f t="shared" si="18"/>
        <v>1.5866666278911561</v>
      </c>
      <c r="S33" s="48">
        <f t="shared" si="19"/>
        <v>1.736666627891156</v>
      </c>
      <c r="T33" s="49">
        <f t="shared" si="20"/>
        <v>1.9999999612244903</v>
      </c>
      <c r="U33" s="50">
        <f t="shared" si="21"/>
        <v>1.4541666278911558</v>
      </c>
      <c r="V33" s="56">
        <f t="shared" si="22"/>
        <v>0.5288094850340137</v>
      </c>
      <c r="W33" s="52">
        <f t="shared" si="23"/>
        <v>2</v>
      </c>
      <c r="X33" s="52" t="str">
        <f t="shared" si="24"/>
        <v>AB250</v>
      </c>
      <c r="Y33" s="57">
        <f t="shared" si="25"/>
        <v>740.33327904761916</v>
      </c>
      <c r="Z33" s="52">
        <f t="shared" si="26"/>
        <v>87.5</v>
      </c>
      <c r="AA33" s="52">
        <f t="shared" si="27"/>
        <v>1400</v>
      </c>
      <c r="AB33" s="52">
        <f t="shared" si="28"/>
        <v>0.5</v>
      </c>
      <c r="AC33" s="57">
        <f t="shared" si="29"/>
        <v>700</v>
      </c>
      <c r="AD33" s="52">
        <f t="shared" si="30"/>
        <v>2800</v>
      </c>
      <c r="AE33" s="57">
        <f t="shared" si="31"/>
        <v>2276.4737442105261</v>
      </c>
    </row>
    <row r="34" spans="1:31" x14ac:dyDescent="0.25">
      <c r="A34" s="20" t="str">
        <f t="shared" si="3"/>
        <v>Idle</v>
      </c>
      <c r="B34" s="52"/>
      <c r="C34" s="53">
        <f t="shared" si="7"/>
        <v>0</v>
      </c>
      <c r="D34" s="52"/>
      <c r="E34" s="54">
        <f t="shared" si="4"/>
        <v>4.8399959999999993</v>
      </c>
      <c r="F34" s="52"/>
      <c r="G34" s="54">
        <f t="shared" si="5"/>
        <v>0</v>
      </c>
      <c r="H34" s="55">
        <f t="shared" si="8"/>
        <v>36614.896666938097</v>
      </c>
      <c r="I34" s="55">
        <f t="shared" si="9"/>
        <v>36615.098333438094</v>
      </c>
      <c r="J34" s="21">
        <f t="shared" si="10"/>
        <v>1210.8571278911566</v>
      </c>
      <c r="K34" s="22">
        <f t="shared" si="11"/>
        <v>699.99997904761915</v>
      </c>
      <c r="L34" s="23">
        <f t="shared" si="12"/>
        <v>1246.2857023129247</v>
      </c>
      <c r="M34" s="24">
        <f t="shared" si="13"/>
        <v>341.57142557823119</v>
      </c>
      <c r="N34" s="25">
        <f t="shared" si="14"/>
        <v>2365.4285534693886</v>
      </c>
      <c r="O34" s="26">
        <f t="shared" si="15"/>
        <v>2280.571404625849</v>
      </c>
      <c r="P34" s="45">
        <f t="shared" si="16"/>
        <v>1.2108571278911566</v>
      </c>
      <c r="Q34" s="46">
        <f t="shared" si="17"/>
        <v>0.49999998503401366</v>
      </c>
      <c r="R34" s="47">
        <f t="shared" si="18"/>
        <v>1.5578571278911559</v>
      </c>
      <c r="S34" s="48">
        <f t="shared" si="19"/>
        <v>1.7078571278911558</v>
      </c>
      <c r="T34" s="49">
        <f t="shared" si="20"/>
        <v>1.9711904612244906</v>
      </c>
      <c r="U34" s="50">
        <f t="shared" si="21"/>
        <v>1.4253571278911557</v>
      </c>
      <c r="V34" s="56">
        <f t="shared" si="22"/>
        <v>0.49999998503401366</v>
      </c>
      <c r="W34" s="52">
        <f t="shared" si="23"/>
        <v>2</v>
      </c>
      <c r="X34" s="52" t="str">
        <f t="shared" si="24"/>
        <v>AB250</v>
      </c>
      <c r="Y34" s="57">
        <f t="shared" si="25"/>
        <v>699.99997904761915</v>
      </c>
      <c r="Z34" s="52">
        <f t="shared" si="26"/>
        <v>87.5</v>
      </c>
      <c r="AA34" s="52">
        <f t="shared" si="27"/>
        <v>1400</v>
      </c>
      <c r="AB34" s="52">
        <f t="shared" si="28"/>
        <v>0.5</v>
      </c>
      <c r="AC34" s="57">
        <f t="shared" si="29"/>
        <v>700</v>
      </c>
      <c r="AD34" s="52">
        <f t="shared" si="30"/>
        <v>2800</v>
      </c>
      <c r="AE34" s="57">
        <f t="shared" si="31"/>
        <v>2321.0526547368422</v>
      </c>
    </row>
    <row r="35" spans="1:31" x14ac:dyDescent="0.25">
      <c r="A35" s="20" t="str">
        <f t="shared" si="3"/>
        <v>AB250</v>
      </c>
      <c r="B35" s="52"/>
      <c r="C35" s="53">
        <f t="shared" si="7"/>
        <v>2321</v>
      </c>
      <c r="D35" s="52"/>
      <c r="E35" s="54">
        <f t="shared" si="4"/>
        <v>0</v>
      </c>
      <c r="F35" s="52"/>
      <c r="G35" s="54">
        <f t="shared" si="5"/>
        <v>26.525714285714287</v>
      </c>
      <c r="H35" s="55">
        <f t="shared" si="8"/>
        <v>36615.098333438094</v>
      </c>
      <c r="I35" s="55">
        <f t="shared" si="9"/>
        <v>36616.203571533333</v>
      </c>
      <c r="J35" s="21">
        <f t="shared" si="10"/>
        <v>1052.9659714285715</v>
      </c>
      <c r="K35" s="22">
        <f t="shared" si="11"/>
        <v>2799.9523600000002</v>
      </c>
      <c r="L35" s="23">
        <f t="shared" si="12"/>
        <v>1119.9727771428568</v>
      </c>
      <c r="M35" s="24">
        <f t="shared" si="13"/>
        <v>309.9931942857142</v>
      </c>
      <c r="N35" s="25">
        <f t="shared" si="14"/>
        <v>2175.9591657142864</v>
      </c>
      <c r="O35" s="26">
        <f t="shared" si="15"/>
        <v>2027.9455542857129</v>
      </c>
      <c r="P35" s="45">
        <f t="shared" si="16"/>
        <v>1.0529659714285715</v>
      </c>
      <c r="Q35" s="46">
        <f t="shared" si="17"/>
        <v>1.9999659714285716</v>
      </c>
      <c r="R35" s="47">
        <f t="shared" si="18"/>
        <v>1.399965971428571</v>
      </c>
      <c r="S35" s="48">
        <f t="shared" si="19"/>
        <v>1.549965971428571</v>
      </c>
      <c r="T35" s="49">
        <f t="shared" si="20"/>
        <v>1.8132993047619053</v>
      </c>
      <c r="U35" s="50">
        <f t="shared" si="21"/>
        <v>1.2674659714285705</v>
      </c>
      <c r="V35" s="56">
        <f t="shared" si="22"/>
        <v>1.0529659714285715</v>
      </c>
      <c r="W35" s="52">
        <f t="shared" si="23"/>
        <v>1</v>
      </c>
      <c r="X35" s="52" t="str">
        <f t="shared" si="24"/>
        <v>AB100</v>
      </c>
      <c r="Y35" s="57">
        <f t="shared" si="25"/>
        <v>1052.9659714285715</v>
      </c>
      <c r="Z35" s="52">
        <f t="shared" si="26"/>
        <v>87.5</v>
      </c>
      <c r="AA35" s="52">
        <f t="shared" si="27"/>
        <v>1000</v>
      </c>
      <c r="AB35" s="52">
        <f t="shared" si="28"/>
        <v>0.5</v>
      </c>
      <c r="AC35" s="57">
        <f t="shared" si="29"/>
        <v>500</v>
      </c>
      <c r="AD35" s="52">
        <f t="shared" si="30"/>
        <v>2000</v>
      </c>
      <c r="AE35" s="57">
        <f t="shared" si="31"/>
        <v>1016.1605999999999</v>
      </c>
    </row>
    <row r="36" spans="1:31" x14ac:dyDescent="0.25">
      <c r="A36" s="20" t="str">
        <f t="shared" si="3"/>
        <v>Idle</v>
      </c>
      <c r="B36" s="52"/>
      <c r="C36" s="53">
        <f t="shared" si="7"/>
        <v>0</v>
      </c>
      <c r="D36" s="52"/>
      <c r="E36" s="54">
        <f t="shared" si="4"/>
        <v>92.898287999999994</v>
      </c>
      <c r="F36" s="52"/>
      <c r="G36" s="54">
        <f t="shared" si="5"/>
        <v>0</v>
      </c>
      <c r="H36" s="55">
        <f t="shared" si="8"/>
        <v>36616.203571533333</v>
      </c>
      <c r="I36" s="55">
        <f t="shared" si="9"/>
        <v>36620.074333533332</v>
      </c>
      <c r="J36" s="21">
        <f t="shared" si="10"/>
        <v>499.99997142857148</v>
      </c>
      <c r="K36" s="22">
        <f t="shared" si="11"/>
        <v>2025.7999600000003</v>
      </c>
      <c r="L36" s="23">
        <f t="shared" si="12"/>
        <v>677.5999771428568</v>
      </c>
      <c r="M36" s="24">
        <f t="shared" si="13"/>
        <v>199.3999942857142</v>
      </c>
      <c r="N36" s="25">
        <f t="shared" si="14"/>
        <v>1512.3999657142865</v>
      </c>
      <c r="O36" s="26">
        <f t="shared" si="15"/>
        <v>1143.1999542857129</v>
      </c>
      <c r="P36" s="45">
        <f t="shared" si="16"/>
        <v>0.4999999714285715</v>
      </c>
      <c r="Q36" s="46">
        <f t="shared" si="17"/>
        <v>1.4469999714285717</v>
      </c>
      <c r="R36" s="47">
        <f t="shared" si="18"/>
        <v>0.84699997142857097</v>
      </c>
      <c r="S36" s="48">
        <f t="shared" si="19"/>
        <v>0.996999971428571</v>
      </c>
      <c r="T36" s="49">
        <f t="shared" si="20"/>
        <v>1.2603333047619054</v>
      </c>
      <c r="U36" s="50">
        <f t="shared" si="21"/>
        <v>0.71449997142857058</v>
      </c>
      <c r="V36" s="56">
        <f t="shared" si="22"/>
        <v>0.4999999714285715</v>
      </c>
      <c r="W36" s="52">
        <f t="shared" si="23"/>
        <v>1</v>
      </c>
      <c r="X36" s="52" t="str">
        <f t="shared" si="24"/>
        <v>AB100</v>
      </c>
      <c r="Y36" s="57">
        <f t="shared" si="25"/>
        <v>499.99997142857148</v>
      </c>
      <c r="Z36" s="52">
        <f t="shared" si="26"/>
        <v>87.5</v>
      </c>
      <c r="AA36" s="52">
        <f t="shared" si="27"/>
        <v>1000</v>
      </c>
      <c r="AB36" s="52">
        <f t="shared" si="28"/>
        <v>0.5</v>
      </c>
      <c r="AC36" s="57">
        <f t="shared" si="29"/>
        <v>500</v>
      </c>
      <c r="AD36" s="52">
        <f t="shared" si="30"/>
        <v>2000</v>
      </c>
      <c r="AE36" s="57">
        <f t="shared" si="31"/>
        <v>1609.4890817518249</v>
      </c>
    </row>
    <row r="37" spans="1:31" x14ac:dyDescent="0.25">
      <c r="A37" s="20" t="str">
        <f t="shared" si="3"/>
        <v>AB100</v>
      </c>
      <c r="B37" s="52"/>
      <c r="C37" s="53">
        <f t="shared" si="7"/>
        <v>1609</v>
      </c>
      <c r="D37" s="52"/>
      <c r="E37" s="54">
        <f t="shared" si="4"/>
        <v>0</v>
      </c>
      <c r="F37" s="52"/>
      <c r="G37" s="54">
        <f t="shared" si="5"/>
        <v>18.388571428571428</v>
      </c>
      <c r="H37" s="55">
        <f t="shared" si="8"/>
        <v>36620.074333533332</v>
      </c>
      <c r="I37" s="55">
        <f t="shared" si="9"/>
        <v>36620.840524009524</v>
      </c>
      <c r="J37" s="21">
        <f t="shared" si="10"/>
        <v>1999.5441891156463</v>
      </c>
      <c r="K37" s="22">
        <f t="shared" si="11"/>
        <v>1872.5618647619051</v>
      </c>
      <c r="L37" s="23">
        <f t="shared" si="12"/>
        <v>590.03535129251668</v>
      </c>
      <c r="M37" s="24">
        <f t="shared" si="13"/>
        <v>177.50883782312917</v>
      </c>
      <c r="N37" s="25">
        <f t="shared" si="14"/>
        <v>1381.0530269387764</v>
      </c>
      <c r="O37" s="26">
        <f t="shared" si="15"/>
        <v>968.07070258503268</v>
      </c>
      <c r="P37" s="45">
        <f t="shared" si="16"/>
        <v>1.9995441891156462</v>
      </c>
      <c r="Q37" s="46">
        <f t="shared" si="17"/>
        <v>1.3375441891156465</v>
      </c>
      <c r="R37" s="47">
        <f t="shared" si="18"/>
        <v>0.7375441891156459</v>
      </c>
      <c r="S37" s="48">
        <f t="shared" si="19"/>
        <v>0.88754418911564581</v>
      </c>
      <c r="T37" s="49">
        <f t="shared" si="20"/>
        <v>1.1508775224489802</v>
      </c>
      <c r="U37" s="50">
        <f t="shared" si="21"/>
        <v>0.60504418911564539</v>
      </c>
      <c r="V37" s="56">
        <f t="shared" si="22"/>
        <v>0.60504418911564539</v>
      </c>
      <c r="W37" s="52">
        <f t="shared" si="23"/>
        <v>6</v>
      </c>
      <c r="X37" s="52" t="str">
        <f t="shared" si="24"/>
        <v>FL500</v>
      </c>
      <c r="Y37" s="57">
        <f t="shared" si="25"/>
        <v>968.07070258503268</v>
      </c>
      <c r="Z37" s="52">
        <f t="shared" si="26"/>
        <v>175</v>
      </c>
      <c r="AA37" s="52">
        <f t="shared" si="27"/>
        <v>1600</v>
      </c>
      <c r="AB37" s="52">
        <f t="shared" si="28"/>
        <v>0.5</v>
      </c>
      <c r="AC37" s="57">
        <f t="shared" si="29"/>
        <v>800</v>
      </c>
      <c r="AD37" s="52">
        <f t="shared" si="30"/>
        <v>3200</v>
      </c>
      <c r="AE37" s="57">
        <f t="shared" si="31"/>
        <v>2360.3856598561169</v>
      </c>
    </row>
    <row r="38" spans="1:31" x14ac:dyDescent="0.25">
      <c r="A38" s="20" t="str">
        <f t="shared" si="3"/>
        <v>Idle</v>
      </c>
      <c r="B38" s="52"/>
      <c r="C38" s="53">
        <f t="shared" si="7"/>
        <v>0</v>
      </c>
      <c r="D38" s="52"/>
      <c r="E38" s="54">
        <f t="shared" si="4"/>
        <v>17.647425600000002</v>
      </c>
      <c r="F38" s="52"/>
      <c r="G38" s="54">
        <f t="shared" si="5"/>
        <v>0</v>
      </c>
      <c r="H38" s="55">
        <f t="shared" si="8"/>
        <v>36620.840524009524</v>
      </c>
      <c r="I38" s="55">
        <f t="shared" si="9"/>
        <v>36621.575833409523</v>
      </c>
      <c r="J38" s="21">
        <f t="shared" si="10"/>
        <v>1894.4999891156463</v>
      </c>
      <c r="K38" s="22">
        <f t="shared" si="11"/>
        <v>1725.4999847619051</v>
      </c>
      <c r="L38" s="23">
        <f t="shared" si="12"/>
        <v>505.99999129251665</v>
      </c>
      <c r="M38" s="24">
        <f t="shared" si="13"/>
        <v>156.49999782312918</v>
      </c>
      <c r="N38" s="25">
        <f t="shared" si="14"/>
        <v>1254.9999869387764</v>
      </c>
      <c r="O38" s="26">
        <f t="shared" si="15"/>
        <v>799.99998258503263</v>
      </c>
      <c r="P38" s="45">
        <f t="shared" si="16"/>
        <v>1.8944999891156462</v>
      </c>
      <c r="Q38" s="46">
        <f t="shared" si="17"/>
        <v>1.2324999891156465</v>
      </c>
      <c r="R38" s="47">
        <f t="shared" si="18"/>
        <v>0.63249998911564587</v>
      </c>
      <c r="S38" s="48">
        <f t="shared" si="19"/>
        <v>0.78249998911564589</v>
      </c>
      <c r="T38" s="49">
        <f t="shared" si="20"/>
        <v>1.0458333224489804</v>
      </c>
      <c r="U38" s="50">
        <f t="shared" si="21"/>
        <v>0.49999998911564542</v>
      </c>
      <c r="V38" s="56">
        <f t="shared" si="22"/>
        <v>0.49999998911564542</v>
      </c>
      <c r="W38" s="52">
        <f t="shared" si="23"/>
        <v>6</v>
      </c>
      <c r="X38" s="52" t="str">
        <f t="shared" si="24"/>
        <v>FL500</v>
      </c>
      <c r="Y38" s="57">
        <f t="shared" si="25"/>
        <v>799.99998258503263</v>
      </c>
      <c r="Z38" s="52">
        <f t="shared" si="26"/>
        <v>175</v>
      </c>
      <c r="AA38" s="52">
        <f t="shared" si="27"/>
        <v>1600</v>
      </c>
      <c r="AB38" s="52">
        <f t="shared" si="28"/>
        <v>0.5</v>
      </c>
      <c r="AC38" s="57">
        <f t="shared" si="29"/>
        <v>800</v>
      </c>
      <c r="AD38" s="52">
        <f t="shared" si="30"/>
        <v>3200</v>
      </c>
      <c r="AE38" s="57">
        <f t="shared" si="31"/>
        <v>2538.1295148201452</v>
      </c>
    </row>
    <row r="39" spans="1:31" x14ac:dyDescent="0.25">
      <c r="A39" s="20" t="str">
        <f t="shared" si="3"/>
        <v>FL500</v>
      </c>
      <c r="B39" s="52"/>
      <c r="C39" s="53">
        <f t="shared" si="7"/>
        <v>2538</v>
      </c>
      <c r="D39" s="52"/>
      <c r="E39" s="54">
        <f t="shared" si="4"/>
        <v>0</v>
      </c>
      <c r="F39" s="52"/>
      <c r="G39" s="54">
        <f t="shared" si="5"/>
        <v>14.502857142857144</v>
      </c>
      <c r="H39" s="55">
        <f t="shared" si="8"/>
        <v>36621.575833409523</v>
      </c>
      <c r="I39" s="55">
        <f t="shared" si="9"/>
        <v>36622.180119123812</v>
      </c>
      <c r="J39" s="21">
        <f t="shared" si="10"/>
        <v>1808.1734585034014</v>
      </c>
      <c r="K39" s="22">
        <f t="shared" si="11"/>
        <v>1604.6428419047622</v>
      </c>
      <c r="L39" s="23">
        <f t="shared" si="12"/>
        <v>436.93876680272069</v>
      </c>
      <c r="M39" s="24">
        <f t="shared" si="13"/>
        <v>139.2346917006802</v>
      </c>
      <c r="N39" s="25">
        <f t="shared" si="14"/>
        <v>1151.4081502040824</v>
      </c>
      <c r="O39" s="26">
        <f t="shared" si="15"/>
        <v>3199.8775336054405</v>
      </c>
      <c r="P39" s="45">
        <f t="shared" si="16"/>
        <v>1.8081734585034015</v>
      </c>
      <c r="Q39" s="46">
        <f t="shared" si="17"/>
        <v>1.1461734585034016</v>
      </c>
      <c r="R39" s="47">
        <f t="shared" si="18"/>
        <v>0.54617345850340082</v>
      </c>
      <c r="S39" s="48">
        <f t="shared" si="19"/>
        <v>0.69617345850340095</v>
      </c>
      <c r="T39" s="49">
        <f t="shared" si="20"/>
        <v>0.95950679183673537</v>
      </c>
      <c r="U39" s="50">
        <f t="shared" si="21"/>
        <v>1.9999234585034003</v>
      </c>
      <c r="V39" s="56">
        <f t="shared" si="22"/>
        <v>0.54617345850340082</v>
      </c>
      <c r="W39" s="52">
        <f t="shared" si="23"/>
        <v>3</v>
      </c>
      <c r="X39" s="52" t="str">
        <f t="shared" si="24"/>
        <v>AB500</v>
      </c>
      <c r="Y39" s="57">
        <f t="shared" si="25"/>
        <v>436.93876680272069</v>
      </c>
      <c r="Z39" s="52">
        <f t="shared" si="26"/>
        <v>175</v>
      </c>
      <c r="AA39" s="52">
        <f t="shared" si="27"/>
        <v>800</v>
      </c>
      <c r="AB39" s="52">
        <f t="shared" si="28"/>
        <v>0.5</v>
      </c>
      <c r="AC39" s="57">
        <f t="shared" si="29"/>
        <v>400</v>
      </c>
      <c r="AD39" s="52">
        <f t="shared" si="30"/>
        <v>1600</v>
      </c>
      <c r="AE39" s="57">
        <f t="shared" si="31"/>
        <v>1195.594414545455</v>
      </c>
    </row>
    <row r="40" spans="1:31" x14ac:dyDescent="0.25">
      <c r="A40" s="20" t="str">
        <f t="shared" si="3"/>
        <v>Idle</v>
      </c>
      <c r="B40" s="52"/>
      <c r="C40" s="53">
        <f t="shared" si="7"/>
        <v>0</v>
      </c>
      <c r="D40" s="52"/>
      <c r="E40" s="54">
        <f t="shared" si="4"/>
        <v>7.7571479999999999</v>
      </c>
      <c r="F40" s="52"/>
      <c r="G40" s="54">
        <f t="shared" si="5"/>
        <v>0</v>
      </c>
      <c r="H40" s="55">
        <f t="shared" si="8"/>
        <v>36622.180119123812</v>
      </c>
      <c r="I40" s="55">
        <f t="shared" si="9"/>
        <v>36622.503333623812</v>
      </c>
      <c r="J40" s="21">
        <f t="shared" si="10"/>
        <v>1761.9999585034013</v>
      </c>
      <c r="K40" s="22">
        <f t="shared" si="11"/>
        <v>1539.9999419047622</v>
      </c>
      <c r="L40" s="23">
        <f t="shared" si="12"/>
        <v>399.99996680272068</v>
      </c>
      <c r="M40" s="24">
        <f t="shared" si="13"/>
        <v>129.9999917006802</v>
      </c>
      <c r="N40" s="25">
        <f t="shared" si="14"/>
        <v>1095.9999502040823</v>
      </c>
      <c r="O40" s="26">
        <f t="shared" si="15"/>
        <v>3125.9999336054407</v>
      </c>
      <c r="P40" s="45">
        <f t="shared" si="16"/>
        <v>1.7619999585034014</v>
      </c>
      <c r="Q40" s="46">
        <f t="shared" si="17"/>
        <v>1.0999999585034015</v>
      </c>
      <c r="R40" s="47">
        <f t="shared" si="18"/>
        <v>0.49999995850340084</v>
      </c>
      <c r="S40" s="48">
        <f t="shared" si="19"/>
        <v>0.64999995850340098</v>
      </c>
      <c r="T40" s="49">
        <f t="shared" si="20"/>
        <v>0.91333329183673528</v>
      </c>
      <c r="U40" s="50">
        <f t="shared" si="21"/>
        <v>1.9537499585034004</v>
      </c>
      <c r="V40" s="56">
        <f t="shared" si="22"/>
        <v>0.49999995850340084</v>
      </c>
      <c r="W40" s="52">
        <f t="shared" si="23"/>
        <v>3</v>
      </c>
      <c r="X40" s="52" t="str">
        <f t="shared" si="24"/>
        <v>AB500</v>
      </c>
      <c r="Y40" s="57">
        <f t="shared" si="25"/>
        <v>399.99996680272068</v>
      </c>
      <c r="Z40" s="52">
        <f t="shared" si="26"/>
        <v>175</v>
      </c>
      <c r="AA40" s="52">
        <f t="shared" si="27"/>
        <v>800</v>
      </c>
      <c r="AB40" s="52">
        <f t="shared" si="28"/>
        <v>0.5</v>
      </c>
      <c r="AC40" s="57">
        <f t="shared" si="29"/>
        <v>400</v>
      </c>
      <c r="AD40" s="52">
        <f t="shared" si="30"/>
        <v>1600</v>
      </c>
      <c r="AE40" s="57">
        <f t="shared" si="31"/>
        <v>1233.5664676923079</v>
      </c>
    </row>
  </sheetData>
  <mergeCells count="1">
    <mergeCell ref="D7:E7"/>
  </mergeCells>
  <hyperlinks>
    <hyperlink ref="B5" r:id="rId1" display="http://www.production-scheduling.com/"/>
  </hyperlinks>
  <pageMargins left="0.33" right="0.25" top="0.67" bottom="0.69" header="0.5" footer="0.5"/>
  <pageSetup paperSize="9" scale="62" orientation="landscape" horizontalDpi="300" verticalDpi="300" r:id="rId2"/>
  <headerFooter alignWithMargins="0">
    <oddHeader>&amp;Chttp://www.production-scheduling.com</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Contents</vt:lpstr>
      <vt:lpstr>Introduction</vt:lpstr>
      <vt:lpstr>Table of Links</vt:lpstr>
      <vt:lpstr>The Business</vt:lpstr>
      <vt:lpstr>Item Master</vt:lpstr>
      <vt:lpstr>Supplier Master</vt:lpstr>
      <vt:lpstr>Bill of Materials</vt:lpstr>
      <vt:lpstr>Purchase Orders</vt:lpstr>
      <vt:lpstr>Finite Schedule</vt:lpstr>
      <vt:lpstr>Make-to-Inventory Logic</vt:lpstr>
      <vt:lpstr>Production Runs</vt:lpstr>
      <vt:lpstr>BOM x 3</vt:lpstr>
      <vt:lpstr>Allocate Inventory</vt:lpstr>
      <vt:lpstr>Purchase Action Report</vt:lpstr>
      <vt:lpstr>Inventory Rationing Logic</vt:lpstr>
      <vt:lpstr>Inventory Rationing Calculation</vt:lpstr>
      <vt:lpstr>Components Pivot</vt:lpstr>
      <vt:lpstr>Products Pivot</vt:lpstr>
      <vt:lpstr>'Purchase Action Report'!Print_Area</vt:lpstr>
      <vt:lpstr>'Purchase Action Report'!Print_Titles</vt:lpstr>
    </vt:vector>
  </TitlesOfParts>
  <Company>TRMC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Rice</dc:creator>
  <cp:lastModifiedBy>Aniket Gupta</cp:lastModifiedBy>
  <cp:lastPrinted>2000-10-06T06:34:34Z</cp:lastPrinted>
  <dcterms:created xsi:type="dcterms:W3CDTF">2000-09-18T10:50:05Z</dcterms:created>
  <dcterms:modified xsi:type="dcterms:W3CDTF">2024-02-03T22:30:19Z</dcterms:modified>
</cp:coreProperties>
</file>