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mc:AlternateContent xmlns:mc="http://schemas.openxmlformats.org/markup-compatibility/2006">
    <mc:Choice Requires="x15">
      <x15ac:absPath xmlns:x15ac="http://schemas.microsoft.com/office/spreadsheetml/2010/11/ac" url="C:\Users\anike\OneDrive\Documents\UCSD\ERSP\Script\spreadsheets\inventory\original\"/>
    </mc:Choice>
  </mc:AlternateContent>
  <xr:revisionPtr revIDLastSave="0" documentId="8_{77403332-B0D3-4E16-9B0B-43420265F7C2}" xr6:coauthVersionLast="47" xr6:coauthVersionMax="47" xr10:uidLastSave="{00000000-0000-0000-0000-000000000000}"/>
  <bookViews>
    <workbookView xWindow="768" yWindow="768" windowWidth="17280" windowHeight="8880"/>
  </bookViews>
  <sheets>
    <sheet name="INSTRUCTIONS" sheetId="14" r:id="rId1"/>
    <sheet name="Inv CC" sheetId="9" r:id="rId2"/>
    <sheet name="Financials" sheetId="1" r:id="rId3"/>
    <sheet name="Baseline SPM" sheetId="4" r:id="rId4"/>
    <sheet name="SC1 SPM " sheetId="10" r:id="rId5"/>
    <sheet name="SC2 SPM" sheetId="11" r:id="rId6"/>
    <sheet name="SC3 SPM" sheetId="12" r:id="rId7"/>
    <sheet name="SC4 SPM" sheetId="13" r:id="rId8"/>
    <sheet name="Composition Graphs" sheetId="2" r:id="rId9"/>
    <sheet name="Sheet3" sheetId="3" r:id="rId10"/>
  </sheets>
  <definedNames>
    <definedName name="_xlnm.Print_Area" localSheetId="3">'Baseline SPM'!$A$1:$M$47</definedName>
    <definedName name="_xlnm.Print_Area" localSheetId="8">'Composition Graphs'!$A$1:$I$80</definedName>
    <definedName name="_xlnm.Print_Area" localSheetId="2">Financials!$A$1:$O$107</definedName>
    <definedName name="_xlnm.Print_Area" localSheetId="1">'Inv CC'!$A$1:$E$41</definedName>
    <definedName name="_xlnm.Print_Area" localSheetId="4">'SC1 SPM '!$A$1:$M$47</definedName>
    <definedName name="_xlnm.Print_Area" localSheetId="5">'SC2 SPM'!$A$1:$M$47</definedName>
    <definedName name="_xlnm.Print_Area" localSheetId="6">'SC3 SPM'!$A$1:$M$47</definedName>
    <definedName name="_xlnm.Print_Area" localSheetId="7">'SC4 SPM'!$A$1:$M$47</definedName>
    <definedName name="_xlnm.Print_Titles" localSheetId="2">Financials!$9:$10</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3" i="4" l="1"/>
  <c r="E16" i="4"/>
  <c r="H17" i="4"/>
  <c r="C19" i="4"/>
  <c r="K19" i="4"/>
  <c r="C20" i="4"/>
  <c r="E18" i="4" s="1"/>
  <c r="C21" i="4"/>
  <c r="K21" i="4"/>
  <c r="K23" i="4"/>
  <c r="C24" i="4"/>
  <c r="E23" i="4" s="1"/>
  <c r="C25" i="4"/>
  <c r="K25" i="4"/>
  <c r="C28" i="4"/>
  <c r="C30" i="4"/>
  <c r="C35" i="4"/>
  <c r="E42" i="4"/>
  <c r="B3" i="2"/>
  <c r="B4" i="2"/>
  <c r="B5" i="2"/>
  <c r="B6" i="2"/>
  <c r="B24" i="2"/>
  <c r="B31" i="2"/>
  <c r="B32" i="2"/>
  <c r="B12" i="1"/>
  <c r="H12" i="1" s="1"/>
  <c r="E12" i="1"/>
  <c r="K12" i="1"/>
  <c r="B13" i="1"/>
  <c r="C20" i="1"/>
  <c r="C22" i="1"/>
  <c r="C24" i="1"/>
  <c r="B25" i="1"/>
  <c r="C25" i="1"/>
  <c r="C21" i="1" s="1"/>
  <c r="C26" i="1"/>
  <c r="B27" i="1"/>
  <c r="B28" i="1"/>
  <c r="B15" i="1" s="1"/>
  <c r="C28" i="1"/>
  <c r="H14" i="4" s="1"/>
  <c r="B31" i="1"/>
  <c r="H31" i="1" s="1"/>
  <c r="C31" i="1"/>
  <c r="C32" i="1"/>
  <c r="B32" i="1" s="1"/>
  <c r="E32" i="1" s="1"/>
  <c r="B33" i="1"/>
  <c r="C34" i="1"/>
  <c r="C35" i="1"/>
  <c r="B35" i="1" s="1"/>
  <c r="C41" i="1"/>
  <c r="B48" i="1"/>
  <c r="B34" i="1" s="1"/>
  <c r="C48" i="1"/>
  <c r="C46" i="1" s="1"/>
  <c r="C45" i="1" s="1"/>
  <c r="B45" i="1" s="1"/>
  <c r="E51" i="1"/>
  <c r="K51" i="1"/>
  <c r="B52" i="1"/>
  <c r="B53" i="1"/>
  <c r="B51" i="1" s="1"/>
  <c r="C57" i="1"/>
  <c r="B61" i="1"/>
  <c r="H61" i="1" s="1"/>
  <c r="B64" i="1"/>
  <c r="K64" i="1" s="1"/>
  <c r="C64" i="1"/>
  <c r="C36" i="4" s="1"/>
  <c r="H64" i="1"/>
  <c r="B65" i="1"/>
  <c r="K65" i="1" s="1"/>
  <c r="B66" i="1"/>
  <c r="H66" i="1" s="1"/>
  <c r="C66" i="1"/>
  <c r="B67" i="1"/>
  <c r="C67" i="1" s="1"/>
  <c r="H67" i="1"/>
  <c r="K67" i="1"/>
  <c r="B68" i="1"/>
  <c r="K68" i="1" s="1"/>
  <c r="C68" i="1"/>
  <c r="H68" i="1"/>
  <c r="B70" i="1"/>
  <c r="K70" i="1" s="1"/>
  <c r="H70" i="1"/>
  <c r="N70" i="1"/>
  <c r="B72" i="1"/>
  <c r="B74" i="1"/>
  <c r="E74" i="1" s="1"/>
  <c r="H74" i="1"/>
  <c r="N74" i="1"/>
  <c r="C76" i="1"/>
  <c r="B78" i="1"/>
  <c r="E78" i="1"/>
  <c r="H78" i="1"/>
  <c r="K78" i="1"/>
  <c r="N78" i="1"/>
  <c r="B79" i="1"/>
  <c r="N79" i="1" s="1"/>
  <c r="E79" i="1"/>
  <c r="K79" i="1"/>
  <c r="B80" i="1"/>
  <c r="K80" i="1" s="1"/>
  <c r="B81" i="1"/>
  <c r="H81" i="1"/>
  <c r="N81" i="1"/>
  <c r="C82" i="1"/>
  <c r="C86" i="1"/>
  <c r="E86" i="1"/>
  <c r="H86" i="1"/>
  <c r="K86" i="1"/>
  <c r="N86" i="1"/>
  <c r="B95" i="1"/>
  <c r="B99" i="1"/>
  <c r="D9" i="9"/>
  <c r="D16" i="9" s="1"/>
  <c r="D10" i="9"/>
  <c r="D14" i="9"/>
  <c r="E19" i="9"/>
  <c r="H45" i="1" l="1"/>
  <c r="K45" i="1"/>
  <c r="N45" i="1"/>
  <c r="E45" i="1"/>
  <c r="K81" i="1"/>
  <c r="E81" i="1"/>
  <c r="C43" i="1"/>
  <c r="B43" i="1" s="1"/>
  <c r="H35" i="1"/>
  <c r="K35" i="1"/>
  <c r="N35" i="1"/>
  <c r="E35" i="1"/>
  <c r="H26" i="4"/>
  <c r="B20" i="1"/>
  <c r="E15" i="1"/>
  <c r="H15" i="1"/>
  <c r="K15" i="1"/>
  <c r="N15" i="1"/>
  <c r="N32" i="1"/>
  <c r="H32" i="1"/>
  <c r="H105" i="1" s="1"/>
  <c r="C19" i="1"/>
  <c r="B21" i="1"/>
  <c r="C19" i="2"/>
  <c r="B33" i="2"/>
  <c r="B82" i="1"/>
  <c r="E14" i="4"/>
  <c r="H80" i="1"/>
  <c r="H28" i="4"/>
  <c r="B22" i="1"/>
  <c r="E80" i="1"/>
  <c r="N51" i="1"/>
  <c r="C11" i="2"/>
  <c r="C51" i="1"/>
  <c r="H51" i="1"/>
  <c r="H13" i="1"/>
  <c r="K13" i="1"/>
  <c r="N13" i="1"/>
  <c r="E13" i="1"/>
  <c r="B8" i="2"/>
  <c r="C44" i="1"/>
  <c r="B44" i="1" s="1"/>
  <c r="B46" i="1"/>
  <c r="K31" i="1"/>
  <c r="B36" i="1"/>
  <c r="K34" i="1"/>
  <c r="N34" i="1"/>
  <c r="E34" i="1"/>
  <c r="H34" i="1"/>
  <c r="N33" i="1"/>
  <c r="E33" i="1"/>
  <c r="H33" i="1"/>
  <c r="K33" i="1"/>
  <c r="C23" i="1"/>
  <c r="B24" i="1"/>
  <c r="B76" i="1"/>
  <c r="F76" i="1"/>
  <c r="H72" i="1"/>
  <c r="K72" i="1"/>
  <c r="E72" i="1"/>
  <c r="K61" i="1"/>
  <c r="C61" i="1"/>
  <c r="C34" i="4" s="1"/>
  <c r="N52" i="1"/>
  <c r="E52" i="1"/>
  <c r="C14" i="2"/>
  <c r="H52" i="1"/>
  <c r="K52" i="1"/>
  <c r="K32" i="1"/>
  <c r="H19" i="4"/>
  <c r="B26" i="1"/>
  <c r="H65" i="1"/>
  <c r="B41" i="1"/>
  <c r="B14" i="1"/>
  <c r="B7" i="2"/>
  <c r="C18" i="2"/>
  <c r="H79" i="1"/>
  <c r="K74" i="1"/>
  <c r="E70" i="1"/>
  <c r="C65" i="1"/>
  <c r="C37" i="4" s="1"/>
  <c r="C53" i="1"/>
  <c r="N12" i="1"/>
  <c r="H21" i="4"/>
  <c r="K66" i="1"/>
  <c r="E43" i="4"/>
  <c r="B75" i="1"/>
  <c r="B63" i="1"/>
  <c r="C36" i="1"/>
  <c r="C40" i="1" s="1"/>
  <c r="C16" i="2" l="1"/>
  <c r="H63" i="1"/>
  <c r="K63" i="1"/>
  <c r="E14" i="1"/>
  <c r="K14" i="1"/>
  <c r="C3" i="9"/>
  <c r="H14" i="1"/>
  <c r="B16" i="1"/>
  <c r="C16" i="1" s="1"/>
  <c r="K17" i="4" s="1"/>
  <c r="F52" i="1"/>
  <c r="E42" i="10" s="1"/>
  <c r="B83" i="1"/>
  <c r="E41" i="4"/>
  <c r="B23" i="2"/>
  <c r="B25" i="2" s="1"/>
  <c r="E53" i="1"/>
  <c r="F70" i="1" s="1"/>
  <c r="C28" i="10" s="1"/>
  <c r="N26" i="1"/>
  <c r="E26" i="1"/>
  <c r="H26" i="1"/>
  <c r="K26" i="1"/>
  <c r="N53" i="1"/>
  <c r="B29" i="2"/>
  <c r="C20" i="2"/>
  <c r="B100" i="1"/>
  <c r="B84" i="1"/>
  <c r="C84" i="1" s="1"/>
  <c r="N22" i="1"/>
  <c r="E22" i="1"/>
  <c r="H22" i="1"/>
  <c r="K22" i="1"/>
  <c r="N43" i="1"/>
  <c r="E43" i="1"/>
  <c r="H43" i="1"/>
  <c r="K43" i="1"/>
  <c r="G2" i="4"/>
  <c r="C39" i="1"/>
  <c r="B39" i="1" s="1"/>
  <c r="C38" i="1"/>
  <c r="B38" i="1" s="1"/>
  <c r="F72" i="1"/>
  <c r="C30" i="10" s="1"/>
  <c r="K36" i="1"/>
  <c r="K105" i="1"/>
  <c r="H20" i="1"/>
  <c r="K20" i="1"/>
  <c r="N20" i="1"/>
  <c r="E20" i="1"/>
  <c r="H29" i="4"/>
  <c r="B23" i="1"/>
  <c r="K53" i="1"/>
  <c r="E75" i="1"/>
  <c r="F75" i="1" s="1"/>
  <c r="C25" i="10" s="1"/>
  <c r="H75" i="1"/>
  <c r="K75" i="1"/>
  <c r="N75" i="1"/>
  <c r="C56" i="1"/>
  <c r="E44" i="4"/>
  <c r="C55" i="1"/>
  <c r="I52" i="1"/>
  <c r="E42" i="11" s="1"/>
  <c r="N72" i="1"/>
  <c r="B49" i="1"/>
  <c r="K11" i="4"/>
  <c r="K9" i="4" s="1"/>
  <c r="F81" i="1"/>
  <c r="E16" i="10" s="1"/>
  <c r="H8" i="4"/>
  <c r="I9" i="4" s="1"/>
  <c r="K44" i="1"/>
  <c r="N44" i="1"/>
  <c r="E44" i="1"/>
  <c r="H44" i="1"/>
  <c r="H53" i="1"/>
  <c r="I80" i="1" s="1"/>
  <c r="C21" i="11" s="1"/>
  <c r="N80" i="1"/>
  <c r="F80" i="1"/>
  <c r="C21" i="10" s="1"/>
  <c r="H25" i="4"/>
  <c r="H22" i="4" s="1"/>
  <c r="B19" i="1"/>
  <c r="H36" i="1"/>
  <c r="O80" i="1" l="1"/>
  <c r="C21" i="13" s="1"/>
  <c r="K19" i="1"/>
  <c r="N19" i="1"/>
  <c r="E19" i="1"/>
  <c r="H19" i="1"/>
  <c r="O72" i="1"/>
  <c r="C30" i="13" s="1"/>
  <c r="E46" i="1"/>
  <c r="K95" i="1"/>
  <c r="K99" i="1" s="1"/>
  <c r="E43" i="12"/>
  <c r="L53" i="1"/>
  <c r="E44" i="12" s="1"/>
  <c r="L67" i="1"/>
  <c r="L86" i="1"/>
  <c r="L79" i="1"/>
  <c r="C20" i="12" s="1"/>
  <c r="L65" i="1"/>
  <c r="L78" i="1"/>
  <c r="C19" i="12" s="1"/>
  <c r="E18" i="12" s="1"/>
  <c r="L51" i="1"/>
  <c r="E41" i="12" s="1"/>
  <c r="L68" i="1"/>
  <c r="L64" i="1"/>
  <c r="C36" i="12" s="1"/>
  <c r="L80" i="1"/>
  <c r="C21" i="12" s="1"/>
  <c r="L70" i="1"/>
  <c r="C28" i="12" s="1"/>
  <c r="N46" i="1"/>
  <c r="K16" i="1"/>
  <c r="O53" i="1"/>
  <c r="E44" i="13" s="1"/>
  <c r="N95" i="1"/>
  <c r="N99" i="1" s="1"/>
  <c r="E43" i="13"/>
  <c r="O78" i="1"/>
  <c r="C19" i="13" s="1"/>
  <c r="E18" i="13" s="1"/>
  <c r="O81" i="1"/>
  <c r="E16" i="13" s="1"/>
  <c r="O79" i="1"/>
  <c r="C20" i="13" s="1"/>
  <c r="O70" i="1"/>
  <c r="C28" i="13" s="1"/>
  <c r="O86" i="1"/>
  <c r="O74" i="1"/>
  <c r="C24" i="13" s="1"/>
  <c r="C39" i="4"/>
  <c r="B26" i="2"/>
  <c r="B55" i="1"/>
  <c r="O51" i="1"/>
  <c r="E41" i="13" s="1"/>
  <c r="E64" i="1"/>
  <c r="N14" i="1"/>
  <c r="E31" i="1"/>
  <c r="E16" i="1"/>
  <c r="E95" i="1"/>
  <c r="E99" i="1" s="1"/>
  <c r="F78" i="1"/>
  <c r="C19" i="10" s="1"/>
  <c r="E18" i="10" s="1"/>
  <c r="E43" i="10"/>
  <c r="F86" i="1"/>
  <c r="F53" i="1"/>
  <c r="E44" i="10" s="1"/>
  <c r="F74" i="1"/>
  <c r="C24" i="10" s="1"/>
  <c r="E23" i="10" s="1"/>
  <c r="F79" i="1"/>
  <c r="C20" i="10" s="1"/>
  <c r="F51" i="1"/>
  <c r="E41" i="10" s="1"/>
  <c r="K18" i="4"/>
  <c r="H15" i="4"/>
  <c r="L63" i="1"/>
  <c r="C35" i="12" s="1"/>
  <c r="B56" i="1"/>
  <c r="C40" i="4"/>
  <c r="O52" i="1"/>
  <c r="E42" i="13" s="1"/>
  <c r="N38" i="1"/>
  <c r="E38" i="1"/>
  <c r="H38" i="1"/>
  <c r="B40" i="1"/>
  <c r="K38" i="1"/>
  <c r="E24" i="1"/>
  <c r="B27" i="2"/>
  <c r="I63" i="1"/>
  <c r="C35" i="11" s="1"/>
  <c r="L72" i="1"/>
  <c r="C30" i="12" s="1"/>
  <c r="L75" i="1"/>
  <c r="C25" i="12" s="1"/>
  <c r="K46" i="1"/>
  <c r="L61" i="1"/>
  <c r="C34" i="12" s="1"/>
  <c r="H16" i="1"/>
  <c r="I53" i="1"/>
  <c r="E44" i="11" s="1"/>
  <c r="I64" i="1"/>
  <c r="C36" i="11" s="1"/>
  <c r="I68" i="1"/>
  <c r="H95" i="1"/>
  <c r="H99" i="1" s="1"/>
  <c r="I86" i="1"/>
  <c r="I66" i="1"/>
  <c r="E43" i="11"/>
  <c r="I74" i="1"/>
  <c r="C24" i="11" s="1"/>
  <c r="E23" i="11" s="1"/>
  <c r="I78" i="1"/>
  <c r="C19" i="11" s="1"/>
  <c r="I70" i="1"/>
  <c r="C28" i="11" s="1"/>
  <c r="I67" i="1"/>
  <c r="I61" i="1"/>
  <c r="C34" i="11" s="1"/>
  <c r="I81" i="1"/>
  <c r="E16" i="11" s="1"/>
  <c r="I65" i="1"/>
  <c r="L81" i="1"/>
  <c r="E16" i="12" s="1"/>
  <c r="I51" i="1"/>
  <c r="E41" i="11" s="1"/>
  <c r="O75" i="1"/>
  <c r="C25" i="13" s="1"/>
  <c r="K23" i="1"/>
  <c r="K24" i="1" s="1"/>
  <c r="N23" i="1"/>
  <c r="N24" i="1" s="1"/>
  <c r="E23" i="1"/>
  <c r="H23" i="1"/>
  <c r="H24" i="1" s="1"/>
  <c r="L74" i="1"/>
  <c r="C24" i="12" s="1"/>
  <c r="K39" i="1"/>
  <c r="N39" i="1"/>
  <c r="E39" i="1"/>
  <c r="H39" i="1"/>
  <c r="I72" i="1"/>
  <c r="C30" i="11" s="1"/>
  <c r="I75" i="1"/>
  <c r="C25" i="11" s="1"/>
  <c r="L52" i="1"/>
  <c r="E42" i="12" s="1"/>
  <c r="H46" i="1"/>
  <c r="L66" i="1"/>
  <c r="D29" i="9"/>
  <c r="D22" i="9"/>
  <c r="B85" i="1" s="1"/>
  <c r="C85" i="1" s="1"/>
  <c r="E11" i="4" s="1"/>
  <c r="D32" i="9"/>
  <c r="E65" i="1" s="1"/>
  <c r="D23" i="9"/>
  <c r="D33" i="9"/>
  <c r="E66" i="1" s="1"/>
  <c r="D34" i="9"/>
  <c r="E67" i="1" s="1"/>
  <c r="D26" i="9"/>
  <c r="D35" i="9"/>
  <c r="E68" i="1" s="1"/>
  <c r="D27" i="9"/>
  <c r="D28" i="9"/>
  <c r="I79" i="1"/>
  <c r="C20" i="11" s="1"/>
  <c r="N65" i="1" l="1"/>
  <c r="O65" i="1" s="1"/>
  <c r="F65" i="1"/>
  <c r="H25" i="1"/>
  <c r="F66" i="1"/>
  <c r="N66" i="1"/>
  <c r="O66" i="1" s="1"/>
  <c r="N25" i="1"/>
  <c r="N67" i="1"/>
  <c r="O67" i="1" s="1"/>
  <c r="F67" i="1"/>
  <c r="N68" i="1"/>
  <c r="O68" i="1" s="1"/>
  <c r="F68" i="1"/>
  <c r="K11" i="11"/>
  <c r="K85" i="1"/>
  <c r="L85" i="1" s="1"/>
  <c r="H21" i="1"/>
  <c r="E35" i="9"/>
  <c r="E23" i="12"/>
  <c r="C37" i="11"/>
  <c r="K11" i="12"/>
  <c r="E56" i="1"/>
  <c r="F56" i="1" s="1"/>
  <c r="C40" i="10" s="1"/>
  <c r="H56" i="1"/>
  <c r="I56" i="1" s="1"/>
  <c r="C40" i="11" s="1"/>
  <c r="B71" i="1"/>
  <c r="K56" i="1"/>
  <c r="E21" i="1"/>
  <c r="N21" i="1"/>
  <c r="K40" i="1"/>
  <c r="E29" i="9"/>
  <c r="H85" i="1"/>
  <c r="I85" i="1" s="1"/>
  <c r="K11" i="13"/>
  <c r="C37" i="12"/>
  <c r="K21" i="1"/>
  <c r="N64" i="1"/>
  <c r="O64" i="1" s="1"/>
  <c r="C36" i="13" s="1"/>
  <c r="F64" i="1"/>
  <c r="C36" i="10" s="1"/>
  <c r="H55" i="1"/>
  <c r="K55" i="1"/>
  <c r="N55" i="1"/>
  <c r="E55" i="1"/>
  <c r="B90" i="1"/>
  <c r="B98" i="1" s="1"/>
  <c r="B91" i="1" s="1"/>
  <c r="C12" i="2"/>
  <c r="C13" i="2" s="1"/>
  <c r="B97" i="1"/>
  <c r="B96" i="1" s="1"/>
  <c r="B57" i="1"/>
  <c r="B87" i="1"/>
  <c r="H40" i="1"/>
  <c r="E36" i="1"/>
  <c r="E97" i="1"/>
  <c r="N31" i="1"/>
  <c r="E105" i="1"/>
  <c r="E37" i="4"/>
  <c r="K11" i="10"/>
  <c r="E40" i="1"/>
  <c r="N85" i="1"/>
  <c r="O85" i="1" s="1"/>
  <c r="N16" i="1"/>
  <c r="E61" i="1"/>
  <c r="E23" i="13"/>
  <c r="E23" i="9"/>
  <c r="E37" i="9" s="1"/>
  <c r="E18" i="11"/>
  <c r="N40" i="1"/>
  <c r="E85" i="1"/>
  <c r="F85" i="1" s="1"/>
  <c r="B92" i="1" l="1"/>
  <c r="C87" i="1"/>
  <c r="E9" i="4" s="1"/>
  <c r="B93" i="1"/>
  <c r="B88" i="1"/>
  <c r="H90" i="1"/>
  <c r="H98" i="1" s="1"/>
  <c r="H91" i="1" s="1"/>
  <c r="I55" i="1"/>
  <c r="C39" i="11" s="1"/>
  <c r="E37" i="11" s="1"/>
  <c r="H97" i="1"/>
  <c r="H57" i="1"/>
  <c r="K27" i="1"/>
  <c r="N36" i="1"/>
  <c r="N97" i="1"/>
  <c r="N96" i="1" s="1"/>
  <c r="N105" i="1"/>
  <c r="B58" i="1"/>
  <c r="B19" i="2"/>
  <c r="B14" i="2"/>
  <c r="B18" i="2"/>
  <c r="B16" i="2"/>
  <c r="B20" i="2"/>
  <c r="E41" i="1"/>
  <c r="F61" i="1"/>
  <c r="C34" i="10" s="1"/>
  <c r="N61" i="1"/>
  <c r="O61" i="1" s="1"/>
  <c r="C34" i="13" s="1"/>
  <c r="E63" i="1"/>
  <c r="E27" i="1"/>
  <c r="E25" i="1"/>
  <c r="N56" i="1"/>
  <c r="O56" i="1" s="1"/>
  <c r="C40" i="13" s="1"/>
  <c r="L56" i="1"/>
  <c r="C40" i="12" s="1"/>
  <c r="N27" i="1"/>
  <c r="H41" i="1"/>
  <c r="O55" i="1"/>
  <c r="C39" i="13" s="1"/>
  <c r="N90" i="1"/>
  <c r="N98" i="1" s="1"/>
  <c r="N91" i="1" s="1"/>
  <c r="N57" i="1"/>
  <c r="K41" i="1"/>
  <c r="H71" i="1"/>
  <c r="I71" i="1" s="1"/>
  <c r="C29" i="11" s="1"/>
  <c r="E27" i="11" s="1"/>
  <c r="C71" i="1"/>
  <c r="E71" i="1"/>
  <c r="F71" i="1" s="1"/>
  <c r="C29" i="10" s="1"/>
  <c r="E27" i="10" s="1"/>
  <c r="K71" i="1"/>
  <c r="C17" i="2"/>
  <c r="B17" i="2" s="1"/>
  <c r="K25" i="1"/>
  <c r="C37" i="10"/>
  <c r="F55" i="1"/>
  <c r="C39" i="10" s="1"/>
  <c r="E37" i="10" s="1"/>
  <c r="E90" i="1"/>
  <c r="E98" i="1" s="1"/>
  <c r="E91" i="1" s="1"/>
  <c r="E57" i="1"/>
  <c r="E35" i="4"/>
  <c r="E28" i="4" s="1"/>
  <c r="L55" i="1"/>
  <c r="C39" i="12" s="1"/>
  <c r="K90" i="1"/>
  <c r="K98" i="1" s="1"/>
  <c r="K91" i="1" s="1"/>
  <c r="K97" i="1"/>
  <c r="K96" i="1" s="1"/>
  <c r="K57" i="1"/>
  <c r="H27" i="1"/>
  <c r="C37" i="13"/>
  <c r="E35" i="10" l="1"/>
  <c r="E28" i="10"/>
  <c r="O36" i="1"/>
  <c r="L57" i="1"/>
  <c r="N41" i="1"/>
  <c r="E28" i="1"/>
  <c r="E96" i="1"/>
  <c r="I57" i="1"/>
  <c r="H96" i="1"/>
  <c r="O27" i="1"/>
  <c r="H17" i="13" s="1"/>
  <c r="N28" i="1"/>
  <c r="E35" i="11"/>
  <c r="E28" i="11" s="1"/>
  <c r="E37" i="12"/>
  <c r="N63" i="1"/>
  <c r="O63" i="1" s="1"/>
  <c r="C35" i="13" s="1"/>
  <c r="F63" i="1"/>
  <c r="C35" i="10" s="1"/>
  <c r="L25" i="1"/>
  <c r="H21" i="12" s="1"/>
  <c r="O57" i="1"/>
  <c r="H28" i="1"/>
  <c r="I27" i="1"/>
  <c r="H17" i="11" s="1"/>
  <c r="K28" i="1"/>
  <c r="G6" i="4"/>
  <c r="E10" i="4"/>
  <c r="F57" i="1"/>
  <c r="B30" i="2"/>
  <c r="C29" i="4"/>
  <c r="E27" i="4" s="1"/>
  <c r="C60" i="1"/>
  <c r="I41" i="1"/>
  <c r="H49" i="1"/>
  <c r="L71" i="1"/>
  <c r="C29" i="12" s="1"/>
  <c r="E27" i="12" s="1"/>
  <c r="N71" i="1"/>
  <c r="O71" i="1" s="1"/>
  <c r="C29" i="13" s="1"/>
  <c r="E27" i="13" s="1"/>
  <c r="E37" i="13"/>
  <c r="F25" i="1"/>
  <c r="H21" i="10" s="1"/>
  <c r="F41" i="1"/>
  <c r="E49" i="1"/>
  <c r="G3" i="4" l="1"/>
  <c r="H6" i="4"/>
  <c r="L28" i="1"/>
  <c r="H14" i="12" s="1"/>
  <c r="K48" i="1"/>
  <c r="L48" i="1" s="1"/>
  <c r="H13" i="12"/>
  <c r="L12" i="1"/>
  <c r="K25" i="12" s="1"/>
  <c r="L45" i="1"/>
  <c r="L31" i="1"/>
  <c r="L33" i="1"/>
  <c r="L34" i="1"/>
  <c r="L13" i="1"/>
  <c r="K21" i="12" s="1"/>
  <c r="L35" i="1"/>
  <c r="L32" i="1"/>
  <c r="L15" i="1"/>
  <c r="K23" i="12" s="1"/>
  <c r="L26" i="1"/>
  <c r="H19" i="12" s="1"/>
  <c r="L44" i="1"/>
  <c r="L20" i="1"/>
  <c r="H26" i="12" s="1"/>
  <c r="L36" i="1"/>
  <c r="L43" i="1"/>
  <c r="L14" i="1"/>
  <c r="K19" i="12" s="1"/>
  <c r="L22" i="1"/>
  <c r="H28" i="12" s="1"/>
  <c r="L24" i="1"/>
  <c r="L38" i="1"/>
  <c r="L19" i="1"/>
  <c r="H25" i="12" s="1"/>
  <c r="H22" i="12" s="1"/>
  <c r="L16" i="1"/>
  <c r="K17" i="12" s="1"/>
  <c r="L23" i="1"/>
  <c r="H29" i="12" s="1"/>
  <c r="L46" i="1"/>
  <c r="L39" i="1"/>
  <c r="L21" i="1"/>
  <c r="L40" i="1"/>
  <c r="B60" i="1"/>
  <c r="B28" i="2"/>
  <c r="C33" i="4"/>
  <c r="E32" i="4" s="1"/>
  <c r="E13" i="4" s="1"/>
  <c r="L27" i="1"/>
  <c r="H17" i="12" s="1"/>
  <c r="E35" i="12"/>
  <c r="E28" i="12" s="1"/>
  <c r="K49" i="1"/>
  <c r="L41" i="1"/>
  <c r="I28" i="1"/>
  <c r="H14" i="11" s="1"/>
  <c r="H48" i="1"/>
  <c r="I48" i="1" s="1"/>
  <c r="H13" i="11"/>
  <c r="I12" i="1"/>
  <c r="K25" i="11" s="1"/>
  <c r="I31" i="1"/>
  <c r="I15" i="1"/>
  <c r="K23" i="11" s="1"/>
  <c r="I45" i="1"/>
  <c r="I13" i="1"/>
  <c r="K21" i="11" s="1"/>
  <c r="I34" i="1"/>
  <c r="I32" i="1"/>
  <c r="I33" i="1"/>
  <c r="I35" i="1"/>
  <c r="I43" i="1"/>
  <c r="I44" i="1"/>
  <c r="I14" i="1"/>
  <c r="K19" i="11" s="1"/>
  <c r="I20" i="1"/>
  <c r="H26" i="11" s="1"/>
  <c r="I22" i="1"/>
  <c r="H28" i="11" s="1"/>
  <c r="I36" i="1"/>
  <c r="I26" i="1"/>
  <c r="H19" i="11" s="1"/>
  <c r="I38" i="1"/>
  <c r="I23" i="1"/>
  <c r="H29" i="11" s="1"/>
  <c r="I24" i="1"/>
  <c r="I39" i="1"/>
  <c r="I46" i="1"/>
  <c r="I19" i="1"/>
  <c r="H25" i="11" s="1"/>
  <c r="I16" i="1"/>
  <c r="K17" i="11" s="1"/>
  <c r="I21" i="1"/>
  <c r="I25" i="1"/>
  <c r="H21" i="11" s="1"/>
  <c r="H22" i="11" s="1"/>
  <c r="I40" i="1"/>
  <c r="E48" i="1"/>
  <c r="F48" i="1" s="1"/>
  <c r="F28" i="1"/>
  <c r="H14" i="10" s="1"/>
  <c r="H13" i="10"/>
  <c r="F32" i="1"/>
  <c r="F12" i="1"/>
  <c r="K25" i="10" s="1"/>
  <c r="F13" i="1"/>
  <c r="K21" i="10" s="1"/>
  <c r="F33" i="1"/>
  <c r="F35" i="1"/>
  <c r="F15" i="1"/>
  <c r="K23" i="10" s="1"/>
  <c r="F45" i="1"/>
  <c r="F34" i="1"/>
  <c r="F26" i="1"/>
  <c r="H19" i="10" s="1"/>
  <c r="F14" i="1"/>
  <c r="K19" i="10" s="1"/>
  <c r="F44" i="1"/>
  <c r="F43" i="1"/>
  <c r="F22" i="1"/>
  <c r="H28" i="10" s="1"/>
  <c r="F20" i="1"/>
  <c r="H26" i="10" s="1"/>
  <c r="F16" i="1"/>
  <c r="K17" i="10" s="1"/>
  <c r="F39" i="1"/>
  <c r="F24" i="1"/>
  <c r="F23" i="1"/>
  <c r="H29" i="10" s="1"/>
  <c r="F31" i="1"/>
  <c r="F46" i="1"/>
  <c r="F38" i="1"/>
  <c r="F19" i="1"/>
  <c r="H25" i="10" s="1"/>
  <c r="H22" i="10" s="1"/>
  <c r="F36" i="1"/>
  <c r="F21" i="1"/>
  <c r="F40" i="1"/>
  <c r="E35" i="13"/>
  <c r="E28" i="13" s="1"/>
  <c r="F27" i="1"/>
  <c r="H17" i="10" s="1"/>
  <c r="N48" i="1"/>
  <c r="O48" i="1" s="1"/>
  <c r="O28" i="1"/>
  <c r="H14" i="13" s="1"/>
  <c r="H13" i="13"/>
  <c r="O15" i="1"/>
  <c r="K23" i="13" s="1"/>
  <c r="O13" i="1"/>
  <c r="K21" i="13" s="1"/>
  <c r="O33" i="1"/>
  <c r="O32" i="1"/>
  <c r="O35" i="1"/>
  <c r="O45" i="1"/>
  <c r="O34" i="1"/>
  <c r="O12" i="1"/>
  <c r="K25" i="13" s="1"/>
  <c r="O20" i="1"/>
  <c r="H26" i="13" s="1"/>
  <c r="O43" i="1"/>
  <c r="O26" i="1"/>
  <c r="H19" i="13" s="1"/>
  <c r="O22" i="1"/>
  <c r="H28" i="13" s="1"/>
  <c r="O44" i="1"/>
  <c r="O23" i="1"/>
  <c r="H29" i="13" s="1"/>
  <c r="O38" i="1"/>
  <c r="O39" i="1"/>
  <c r="O14" i="1"/>
  <c r="K19" i="13" s="1"/>
  <c r="O46" i="1"/>
  <c r="O19" i="1"/>
  <c r="H25" i="13" s="1"/>
  <c r="O24" i="1"/>
  <c r="O40" i="1"/>
  <c r="O25" i="1"/>
  <c r="H21" i="13" s="1"/>
  <c r="O31" i="1"/>
  <c r="O16" i="1"/>
  <c r="K17" i="13" s="1"/>
  <c r="O21" i="1"/>
  <c r="O41" i="1"/>
  <c r="N49" i="1"/>
  <c r="H15" i="13" l="1"/>
  <c r="K9" i="10"/>
  <c r="I9" i="10"/>
  <c r="H8" i="10"/>
  <c r="H60" i="1"/>
  <c r="C15" i="2"/>
  <c r="B15" i="2" s="1"/>
  <c r="E60" i="1"/>
  <c r="K60" i="1"/>
  <c r="B77" i="1"/>
  <c r="H22" i="13"/>
  <c r="K18" i="10"/>
  <c r="H15" i="10"/>
  <c r="K9" i="12"/>
  <c r="H8" i="12"/>
  <c r="I9" i="12" s="1"/>
  <c r="H15" i="12"/>
  <c r="K9" i="11"/>
  <c r="H8" i="11"/>
  <c r="I9" i="11" s="1"/>
  <c r="K18" i="11"/>
  <c r="K18" i="12"/>
  <c r="I3" i="4"/>
  <c r="H3" i="4"/>
  <c r="K18" i="13"/>
  <c r="K9" i="13"/>
  <c r="H8" i="13"/>
  <c r="I9" i="13"/>
  <c r="H15" i="11"/>
  <c r="L60" i="1" l="1"/>
  <c r="C33" i="12" s="1"/>
  <c r="E32" i="12" s="1"/>
  <c r="K76" i="1"/>
  <c r="F60" i="1"/>
  <c r="C33" i="10" s="1"/>
  <c r="E32" i="10" s="1"/>
  <c r="E76" i="1"/>
  <c r="I60" i="1"/>
  <c r="C33" i="11" s="1"/>
  <c r="E32" i="11" s="1"/>
  <c r="N60" i="1"/>
  <c r="H76" i="1"/>
  <c r="E77" i="1" l="1"/>
  <c r="E82" i="1"/>
  <c r="O60" i="1"/>
  <c r="C33" i="13" s="1"/>
  <c r="E32" i="13" s="1"/>
  <c r="N76" i="1"/>
  <c r="L76" i="1"/>
  <c r="K83" i="1"/>
  <c r="K77" i="1"/>
  <c r="K82" i="1"/>
  <c r="H82" i="1"/>
  <c r="H83" i="1"/>
  <c r="I76" i="1"/>
  <c r="H77" i="1"/>
  <c r="F82" i="1" l="1"/>
  <c r="E14" i="10" s="1"/>
  <c r="E100" i="1"/>
  <c r="E84" i="1"/>
  <c r="F84" i="1" s="1"/>
  <c r="E11" i="10" s="1"/>
  <c r="K87" i="1"/>
  <c r="K100" i="1"/>
  <c r="L82" i="1"/>
  <c r="E14" i="12" s="1"/>
  <c r="K84" i="1"/>
  <c r="L84" i="1" s="1"/>
  <c r="E11" i="12" s="1"/>
  <c r="E83" i="1"/>
  <c r="N82" i="1"/>
  <c r="N77" i="1"/>
  <c r="O76" i="1"/>
  <c r="N83" i="1"/>
  <c r="I82" i="1"/>
  <c r="E14" i="11" s="1"/>
  <c r="H84" i="1"/>
  <c r="I84" i="1" s="1"/>
  <c r="E11" i="11" s="1"/>
  <c r="H100" i="1"/>
  <c r="O82" i="1" l="1"/>
  <c r="E14" i="13" s="1"/>
  <c r="N84" i="1"/>
  <c r="O84" i="1" s="1"/>
  <c r="E11" i="13" s="1"/>
  <c r="N100" i="1"/>
  <c r="H87" i="1"/>
  <c r="K92" i="1"/>
  <c r="L87" i="1"/>
  <c r="E9" i="12" s="1"/>
  <c r="G6" i="12" s="1"/>
  <c r="K104" i="1"/>
  <c r="K106" i="1" s="1"/>
  <c r="K93" i="1"/>
  <c r="K88" i="1"/>
  <c r="E87" i="1"/>
  <c r="G2" i="12"/>
  <c r="E10" i="12"/>
  <c r="E13" i="12"/>
  <c r="G2" i="10"/>
  <c r="E13" i="10"/>
  <c r="G2" i="11"/>
  <c r="E13" i="11"/>
  <c r="H6" i="12" l="1"/>
  <c r="G3" i="12"/>
  <c r="H3" i="12" s="1"/>
  <c r="H93" i="1"/>
  <c r="H104" i="1"/>
  <c r="H106" i="1" s="1"/>
  <c r="H92" i="1"/>
  <c r="I87" i="1"/>
  <c r="E9" i="11" s="1"/>
  <c r="H88" i="1"/>
  <c r="E104" i="1"/>
  <c r="E106" i="1" s="1"/>
  <c r="E92" i="1"/>
  <c r="F87" i="1"/>
  <c r="E9" i="10" s="1"/>
  <c r="E93" i="1"/>
  <c r="E88" i="1"/>
  <c r="G2" i="13"/>
  <c r="E13" i="13"/>
  <c r="N87" i="1"/>
  <c r="G6" i="11" l="1"/>
  <c r="E10" i="11"/>
  <c r="N92" i="1"/>
  <c r="N104" i="1"/>
  <c r="N106" i="1" s="1"/>
  <c r="O87" i="1"/>
  <c r="E9" i="13" s="1"/>
  <c r="N93" i="1"/>
  <c r="N88" i="1"/>
  <c r="G6" i="10"/>
  <c r="E10" i="10"/>
  <c r="G6" i="13" l="1"/>
  <c r="E10" i="13"/>
  <c r="G3" i="10"/>
  <c r="H3" i="10" s="1"/>
  <c r="H6" i="10"/>
  <c r="G3" i="11"/>
  <c r="H3" i="11" s="1"/>
  <c r="H6" i="11"/>
  <c r="H6" i="13" l="1"/>
  <c r="G3" i="13"/>
  <c r="H3" i="13" s="1"/>
</calcChain>
</file>

<file path=xl/comments1.xml><?xml version="1.0" encoding="utf-8"?>
<comments xmlns="http://schemas.openxmlformats.org/spreadsheetml/2006/main">
  <authors>
    <author>Fisher College of Business</author>
  </authors>
  <commentList>
    <comment ref="C21" authorId="0" shapeId="0">
      <text>
        <r>
          <rPr>
            <b/>
            <sz val="8"/>
            <color indexed="81"/>
            <rFont val="Tahoma"/>
          </rPr>
          <t>Fisher College of Business:</t>
        </r>
        <r>
          <rPr>
            <sz val="8"/>
            <color indexed="81"/>
            <rFont val="Tahoma"/>
          </rPr>
          <t xml:space="preserve">
Assumed that 75% of PP&amp;E is related to warehouse/distribution facilities</t>
        </r>
      </text>
    </comment>
    <comment ref="C31" authorId="0" shapeId="0">
      <text>
        <r>
          <rPr>
            <b/>
            <sz val="8"/>
            <color indexed="81"/>
            <rFont val="Tahoma"/>
          </rPr>
          <t>Fisher College of Business:</t>
        </r>
        <r>
          <rPr>
            <sz val="8"/>
            <color indexed="81"/>
            <rFont val="Tahoma"/>
          </rPr>
          <t xml:space="preserve">
Assumed 75% of payables are inventory related</t>
        </r>
      </text>
    </comment>
    <comment ref="E31" authorId="0" shapeId="0">
      <text>
        <r>
          <rPr>
            <b/>
            <sz val="8"/>
            <color indexed="81"/>
            <rFont val="Tahoma"/>
          </rPr>
          <t>Fisher College of Business:</t>
        </r>
        <r>
          <rPr>
            <sz val="8"/>
            <color indexed="81"/>
            <rFont val="Tahoma"/>
          </rPr>
          <t xml:space="preserve">
Entire inventory decrease assumed to come from drop in AP</t>
        </r>
      </text>
    </comment>
    <comment ref="C34" authorId="0" shapeId="0">
      <text>
        <r>
          <rPr>
            <b/>
            <sz val="8"/>
            <color indexed="81"/>
            <rFont val="Tahoma"/>
          </rPr>
          <t>Fisher College of Business:</t>
        </r>
        <r>
          <rPr>
            <sz val="8"/>
            <color indexed="81"/>
            <rFont val="Tahoma"/>
          </rPr>
          <t xml:space="preserve">
NHRAW reported 8.1% of other current liabilities; allocated 25% to accrued expenses, remainder to 'other'</t>
        </r>
      </text>
    </comment>
    <comment ref="C38" authorId="0" shapeId="0">
      <text>
        <r>
          <rPr>
            <b/>
            <sz val="8"/>
            <color indexed="81"/>
            <rFont val="Tahoma"/>
          </rPr>
          <t>Fisher College of Business:</t>
        </r>
        <r>
          <rPr>
            <sz val="8"/>
            <color indexed="81"/>
            <rFont val="Tahoma"/>
          </rPr>
          <t xml:space="preserve">
allocated 75% of noncurrent liab to debt, 25% to other liab</t>
        </r>
      </text>
    </comment>
    <comment ref="C43" authorId="0" shapeId="0">
      <text>
        <r>
          <rPr>
            <b/>
            <sz val="8"/>
            <color indexed="81"/>
            <rFont val="Tahoma"/>
          </rPr>
          <t>Fisher College of Business:</t>
        </r>
        <r>
          <rPr>
            <sz val="8"/>
            <color indexed="81"/>
            <rFont val="Tahoma"/>
          </rPr>
          <t xml:space="preserve">
Allocated only 1% of book equity to be par value, the remainder is additional paid in captial/surplus</t>
        </r>
      </text>
    </comment>
    <comment ref="C52" authorId="0" shapeId="0">
      <text>
        <r>
          <rPr>
            <b/>
            <sz val="8"/>
            <color indexed="81"/>
            <rFont val="Tahoma"/>
          </rPr>
          <t>Fisher College of Business:</t>
        </r>
        <r>
          <rPr>
            <sz val="8"/>
            <color indexed="81"/>
            <rFont val="Tahoma"/>
          </rPr>
          <t xml:space="preserve">
Estimate per Dr. LaLonde</t>
        </r>
      </text>
    </comment>
    <comment ref="C56" authorId="0" shapeId="0">
      <text>
        <r>
          <rPr>
            <b/>
            <sz val="8"/>
            <color indexed="81"/>
            <rFont val="Tahoma"/>
          </rPr>
          <t>Fisher College of Business:</t>
        </r>
        <r>
          <rPr>
            <sz val="8"/>
            <color indexed="81"/>
            <rFont val="Tahoma"/>
          </rPr>
          <t xml:space="preserve">
assumed 2% of COGS was inbound freight</t>
        </r>
      </text>
    </comment>
    <comment ref="E63" authorId="0" shapeId="0">
      <text>
        <r>
          <rPr>
            <b/>
            <sz val="8"/>
            <color indexed="81"/>
            <rFont val="Tahoma"/>
          </rPr>
          <t>Fisher College of Business:</t>
        </r>
        <r>
          <rPr>
            <sz val="8"/>
            <color indexed="81"/>
            <rFont val="Tahoma"/>
          </rPr>
          <t xml:space="preserve">
assume 10% of space needs are fulfilled by leased/public, etc.</t>
        </r>
      </text>
    </comment>
    <comment ref="B71" authorId="0" shapeId="0">
      <text>
        <r>
          <rPr>
            <b/>
            <sz val="8"/>
            <color indexed="81"/>
            <rFont val="Tahoma"/>
          </rPr>
          <t>Fisher College of Business:</t>
        </r>
        <r>
          <rPr>
            <sz val="8"/>
            <color indexed="81"/>
            <rFont val="Tahoma"/>
          </rPr>
          <t xml:space="preserve">
assumed 30%/70% split of freight costs for in-bound/out-bound, respectively</t>
        </r>
      </text>
    </comment>
  </commentList>
</comments>
</file>

<file path=xl/sharedStrings.xml><?xml version="1.0" encoding="utf-8"?>
<sst xmlns="http://schemas.openxmlformats.org/spreadsheetml/2006/main" count="424" uniqueCount="195">
  <si>
    <t>Leverage</t>
  </si>
  <si>
    <t>ROA</t>
  </si>
  <si>
    <t>Total Assets</t>
  </si>
  <si>
    <t>Net Margin</t>
  </si>
  <si>
    <t>Asset T/O</t>
  </si>
  <si>
    <t>Total Equity</t>
  </si>
  <si>
    <t>Pretax Margin</t>
  </si>
  <si>
    <t>Inventory</t>
  </si>
  <si>
    <t>Gross Margin</t>
  </si>
  <si>
    <t>BALANCE SHEET</t>
  </si>
  <si>
    <t>Other Current Assets</t>
  </si>
  <si>
    <t>TOTAL CURRENT ASSETS</t>
  </si>
  <si>
    <t>TOTAL NONCURRENT ASSETS</t>
  </si>
  <si>
    <t>TOTAL ASSETS</t>
  </si>
  <si>
    <t>Accounts Payable</t>
  </si>
  <si>
    <t>TOTAL CURRENT LIABILITIES</t>
  </si>
  <si>
    <t>TOTAL NONCURRENT LIABILITIES</t>
  </si>
  <si>
    <t>TOTAL LIABILITIES</t>
  </si>
  <si>
    <t>Retained Earnings</t>
  </si>
  <si>
    <t>GROSS MARGIN</t>
  </si>
  <si>
    <t>PRETAX INCOME</t>
  </si>
  <si>
    <t>NET INCOME</t>
  </si>
  <si>
    <t>Operating Net Cash Flow</t>
  </si>
  <si>
    <t>Accounts Receivable</t>
  </si>
  <si>
    <t xml:space="preserve">  Warehouse/Distribution Gross</t>
  </si>
  <si>
    <t xml:space="preserve">  Other PP&amp;E Gross</t>
  </si>
  <si>
    <t>Other NonCurrent Assets</t>
  </si>
  <si>
    <t>Cash &amp; Equivlnts, ST Investments</t>
  </si>
  <si>
    <t>Current Debt</t>
  </si>
  <si>
    <t>Accrued Expenses</t>
  </si>
  <si>
    <t>Other Current Liabilities</t>
  </si>
  <si>
    <t>NonCurrent Debt</t>
  </si>
  <si>
    <t>Other NonCurrent Liabilities</t>
  </si>
  <si>
    <t>INCOME STATEMENT</t>
  </si>
  <si>
    <t>Stock - Par</t>
  </si>
  <si>
    <t>Stock - Surplus</t>
  </si>
  <si>
    <t>TOTAL EQUITY</t>
  </si>
  <si>
    <t>TOTAL LIABILITIES &amp; EQUITY</t>
  </si>
  <si>
    <t>Net Sales</t>
  </si>
  <si>
    <t>Cost of Goods Sold</t>
  </si>
  <si>
    <t xml:space="preserve">  Insurance</t>
  </si>
  <si>
    <t xml:space="preserve">    Warehousing/Distribution Facilities</t>
  </si>
  <si>
    <t>Interest Expense/Income</t>
  </si>
  <si>
    <t>Depreciation &amp; Amortization</t>
  </si>
  <si>
    <t xml:space="preserve">  General SG&amp;A (salaries, corporate overhead)</t>
  </si>
  <si>
    <t>Discontinued Ops, Extraordinary Items (net of tax)</t>
  </si>
  <si>
    <t>'AS-IS' ($000)</t>
  </si>
  <si>
    <t>'TO-BE' ($000)</t>
  </si>
  <si>
    <t>Taxes &amp; Discnt'd/Extrord</t>
  </si>
  <si>
    <t xml:space="preserve">  In-bound Freight</t>
  </si>
  <si>
    <t xml:space="preserve">  Out-bound Freight</t>
  </si>
  <si>
    <t xml:space="preserve">  Customer Service Expense</t>
  </si>
  <si>
    <t xml:space="preserve">  Net Income</t>
  </si>
  <si>
    <t xml:space="preserve">  Other Payables</t>
  </si>
  <si>
    <t xml:space="preserve">  Inventory/COGS Payables</t>
  </si>
  <si>
    <t xml:space="preserve">  Accounts Payble Days</t>
  </si>
  <si>
    <t xml:space="preserve">  Inventory Days</t>
  </si>
  <si>
    <t xml:space="preserve">  Accounts Receivable Days</t>
  </si>
  <si>
    <t>Total Current Assets</t>
  </si>
  <si>
    <t>Cash, Equiv &amp; ST Inv</t>
  </si>
  <si>
    <t xml:space="preserve">  Warehouse/Distribution Accum Depreciation</t>
  </si>
  <si>
    <t xml:space="preserve">  Net Warehouse/Distribution PP&amp;E</t>
  </si>
  <si>
    <t xml:space="preserve">  Other PP&amp;E Accum Depreciation</t>
  </si>
  <si>
    <t xml:space="preserve">  Net Other PP&amp;E</t>
  </si>
  <si>
    <t>Total NonCurrent Assets</t>
  </si>
  <si>
    <t>Property, Plant &amp; Equipment (PP&amp;E)</t>
  </si>
  <si>
    <t>Net Total PP&amp;E</t>
  </si>
  <si>
    <t xml:space="preserve">  Other Gross PP&amp;E</t>
  </si>
  <si>
    <t xml:space="preserve"> Other Accum Dep</t>
  </si>
  <si>
    <t>Warehsng/Dist Gross PP&amp;E</t>
  </si>
  <si>
    <t>Warehsng/Dist Accum Dep</t>
  </si>
  <si>
    <t>In-Bound Freight</t>
  </si>
  <si>
    <t>Product Costs</t>
  </si>
  <si>
    <t>Warehouse/Distribution Expenses</t>
  </si>
  <si>
    <t>Sales, General &amp; Administrative Expenses</t>
  </si>
  <si>
    <t>General Warehsng/Dist Exp</t>
  </si>
  <si>
    <t>Warehsng/Dist Insurance</t>
  </si>
  <si>
    <t>Inventory Insurance</t>
  </si>
  <si>
    <t>Depreciation Expense</t>
  </si>
  <si>
    <t xml:space="preserve">  Warehouse/Distribution Depreciation</t>
  </si>
  <si>
    <t>Interest Expense</t>
  </si>
  <si>
    <t>Non-Operating Expense</t>
  </si>
  <si>
    <t>General SG&amp;A</t>
  </si>
  <si>
    <t>Out-bound Freight</t>
  </si>
  <si>
    <t>Customer Service Expense</t>
  </si>
  <si>
    <t xml:space="preserve">  General Corporate Depreciation</t>
  </si>
  <si>
    <t>Genrl Corporate Depreciation</t>
  </si>
  <si>
    <t>Warehsng/Dist Depreciation</t>
  </si>
  <si>
    <t xml:space="preserve">  General Corporate Debt Interest</t>
  </si>
  <si>
    <t xml:space="preserve">  Warehousing/Distribution Facilities Interest</t>
  </si>
  <si>
    <t xml:space="preserve">  Excess Inventory Interest (carrying cost)</t>
  </si>
  <si>
    <t>General Corporate Interest</t>
  </si>
  <si>
    <t>Warehsng/Distrib Interest</t>
  </si>
  <si>
    <t>Excess Inventory Interest</t>
  </si>
  <si>
    <t>Selling, Genrl &amp; Admin Expense</t>
  </si>
  <si>
    <t>Warehousing/Distribtn Expense</t>
  </si>
  <si>
    <t>Gross Sales</t>
  </si>
  <si>
    <t>Returns, Allowances &amp; Discounts</t>
  </si>
  <si>
    <t>Cash-to-Cash Cycle (Days)</t>
  </si>
  <si>
    <t>Net Change</t>
  </si>
  <si>
    <t>Common Size</t>
  </si>
  <si>
    <t>Returns, Allowances, Discounts</t>
  </si>
  <si>
    <t>$</t>
  </si>
  <si>
    <t>PreTax Margin</t>
  </si>
  <si>
    <t>Asset Turnover (Sales/T. Assets)</t>
  </si>
  <si>
    <t>Debt to Equity Ratio</t>
  </si>
  <si>
    <t>OPERATING INCOME</t>
  </si>
  <si>
    <t>Other NonOperating Expense/(Income)</t>
  </si>
  <si>
    <t>Operating Margin</t>
  </si>
  <si>
    <t>Inventory Turns (on COGS)</t>
  </si>
  <si>
    <t>Accounts Receivable Turns (on Sales)</t>
  </si>
  <si>
    <t>ROE (Pre-Tax)</t>
  </si>
  <si>
    <t>ROE (Post-Tax)</t>
  </si>
  <si>
    <t>BASELINE INPUTS:</t>
  </si>
  <si>
    <t>BASELINE</t>
  </si>
  <si>
    <t xml:space="preserve">  Change in Accounts Receivable/One-Time Drop in Inventory</t>
  </si>
  <si>
    <t>SCENARIO 1: INVENTORY DOWN 20%</t>
  </si>
  <si>
    <t xml:space="preserve">SCENARIO 4: SCENARIOS 1-3 COMBINED </t>
  </si>
  <si>
    <t>WHOLESALER STRATEGIC PROFIT MODEL</t>
  </si>
  <si>
    <t>KEY PERFORMANCE METRICS</t>
  </si>
  <si>
    <t>Other Current</t>
  </si>
  <si>
    <t>TYPICAL WHOLESALER</t>
  </si>
  <si>
    <t>INCOME STATEMENT - % of Gross Sales</t>
  </si>
  <si>
    <t>Returns and Allowances</t>
  </si>
  <si>
    <t>Warehousing Expense</t>
  </si>
  <si>
    <t>Insurance &amp; Obsolescence</t>
  </si>
  <si>
    <t>Sales, General &amp; Admin</t>
  </si>
  <si>
    <t>Depreciation</t>
  </si>
  <si>
    <t>Interest &amp; Non-Operating</t>
  </si>
  <si>
    <t>%</t>
  </si>
  <si>
    <t>NonCurrent-Fixed Assets &amp; Other</t>
  </si>
  <si>
    <t>Accounts Receivables</t>
  </si>
  <si>
    <t>Cash &amp; Equivalents</t>
  </si>
  <si>
    <t>Gross Sales (net of COGS)</t>
  </si>
  <si>
    <t>Pretax Income</t>
  </si>
  <si>
    <t xml:space="preserve">  Cost of Debt (short-term)</t>
  </si>
  <si>
    <t>Cost of Capital (pre-tax)</t>
  </si>
  <si>
    <t xml:space="preserve">    Beta of Equity (or proxy)</t>
  </si>
  <si>
    <t xml:space="preserve">    Risk Free Rate (short-term)</t>
  </si>
  <si>
    <t>Equity % of Total Capital</t>
  </si>
  <si>
    <t>Debt % of Total Capital</t>
  </si>
  <si>
    <t xml:space="preserve">    Historical Market Premium (short-term)</t>
  </si>
  <si>
    <t>Personal Property Taxes (ad-valorum)</t>
  </si>
  <si>
    <t>Insurance (fire and theft)</t>
  </si>
  <si>
    <t>Company-Owned Warehouse</t>
  </si>
  <si>
    <t>Plant Warehouse</t>
  </si>
  <si>
    <t>Public Warehouse</t>
  </si>
  <si>
    <t>Rented/Leased Warehouse</t>
  </si>
  <si>
    <t>Storage Costs of Inventory (variable costs)</t>
  </si>
  <si>
    <t>Service Costs of Inventory (variable costs)</t>
  </si>
  <si>
    <t>Damage</t>
  </si>
  <si>
    <t>Shrinkage</t>
  </si>
  <si>
    <t>Risk Costs of Inventory (variable costs)</t>
  </si>
  <si>
    <t>ESTIMATED TOTAL PRE-TAX INVENTORY CARRYING COST</t>
  </si>
  <si>
    <t>Overall Corporate Income Taxes (40%)</t>
  </si>
  <si>
    <t>Return on Assets (After-Tax)</t>
  </si>
  <si>
    <t>Return on Equity (After-Tax)</t>
  </si>
  <si>
    <t>Cost of Capital of Inventory</t>
  </si>
  <si>
    <t xml:space="preserve">    Inventory (service-related inventory CC)</t>
  </si>
  <si>
    <t>Personal Property Taxes (service-related inventory CC)</t>
  </si>
  <si>
    <t xml:space="preserve">  Inventory Obsolescence (risk-related inventory CC)</t>
  </si>
  <si>
    <t>Obsolescence/Write-Down</t>
  </si>
  <si>
    <t xml:space="preserve">  Inventory Damage (risk-related inventory CC)</t>
  </si>
  <si>
    <t xml:space="preserve">  Inventory Shrinkage (risk-related inventory CC)</t>
  </si>
  <si>
    <t xml:space="preserve">  Inventory Relocation (risk-related inventory CC)</t>
  </si>
  <si>
    <t>Relocation/Transfer (to other facility)</t>
  </si>
  <si>
    <t>Weighted Average Cost of Capital (after-tax)</t>
  </si>
  <si>
    <t xml:space="preserve">  Cost of Equity (per CAPM)</t>
  </si>
  <si>
    <t xml:space="preserve">  General Warehousing Expense (cost of operations)</t>
  </si>
  <si>
    <t xml:space="preserve">  Public/Leased Facilities (storage-related inventory CC)</t>
  </si>
  <si>
    <t>SCENARIO 2: WAREHOUSING EXPENSES DOWN 20%</t>
  </si>
  <si>
    <t>SCENARIO 3: TRANSPORTATION  EXPENSES DOWN 20%</t>
  </si>
  <si>
    <t>$ (000)</t>
  </si>
  <si>
    <t>ESTIMATED INVENTORY CARRYING COST (PRE-TAX)</t>
  </si>
  <si>
    <t>Risk-related inventory CC</t>
  </si>
  <si>
    <t>Public/Leased Facilities Exp</t>
  </si>
  <si>
    <t>Total Assets $</t>
  </si>
  <si>
    <t>Net Sales $</t>
  </si>
  <si>
    <t>SIMPLIFIED CHANGE IN CASH FLOWS (changes versus baseline)</t>
  </si>
  <si>
    <t>Return on Equity (Before-Tax)</t>
  </si>
  <si>
    <t xml:space="preserve">STRATEGIC PROFIT MODEL TREE - 'Scenario 1' - 20% Decrease in Inventory </t>
  </si>
  <si>
    <t xml:space="preserve">STRATEGIC PROFIT MODEL TREE - 'Scenario 2' - 20% Decrease in Warehousing Expense </t>
  </si>
  <si>
    <t xml:space="preserve">STRATEGIC PROFIT MODEL TREE - 'Scenario 3' - 20% Decrease in Transportation Expense </t>
  </si>
  <si>
    <t>STRATEGIC PROFIT MODEL TREE - 'Scenario 4' - Combination of Scenarios 1 - 3</t>
  </si>
  <si>
    <t>Method 1-</t>
  </si>
  <si>
    <t>Method 2-</t>
  </si>
  <si>
    <t>OR</t>
  </si>
  <si>
    <t>STRATEGIC PROFIT MODEL FOR HYPOTHETICAL WHOLESALER - Baseline/'As-Is'</t>
  </si>
  <si>
    <t>Overall Corporate Income Tax Rate</t>
  </si>
  <si>
    <t>2. Estimate after-tax Opportunity Cost of Capital via CAPM &amp; WACC</t>
  </si>
  <si>
    <r>
      <t>1 Corporate after-tax Opportunity Cost of Capital/Hurdle Rate</t>
    </r>
    <r>
      <rPr>
        <b/>
        <sz val="10"/>
        <rFont val="Arial"/>
        <family val="2"/>
      </rPr>
      <t/>
    </r>
  </si>
  <si>
    <t>Gross Profit</t>
  </si>
  <si>
    <t>Insurance &amp; Inv Carrying Costs</t>
  </si>
  <si>
    <t>Estimated Average Inventory Balance (from Balance Sheet, otherwise hardinput)</t>
  </si>
  <si>
    <t>Direct Product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</si>
</sst>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4" formatCode="_(&quot;$&quot;* #,##0.00_);_(&quot;$&quot;* \(#,##0.00\);_(&quot;$&quot;* &quot;-&quot;??_);_(@_)"/>
    <numFmt numFmtId="166" formatCode="0.0%"/>
    <numFmt numFmtId="169" formatCode="0.000000"/>
    <numFmt numFmtId="173" formatCode="0.0"/>
    <numFmt numFmtId="174" formatCode="#,##0.0"/>
    <numFmt numFmtId="178" formatCode="0.0000%"/>
    <numFmt numFmtId="197" formatCode="0.000000%"/>
    <numFmt numFmtId="201" formatCode="0.0000000000"/>
    <numFmt numFmtId="209" formatCode="_(&quot;$&quot;* #,##0.0000_);_(&quot;$&quot;* \(#,##0.0000\);_(&quot;$&quot;* &quot;-&quot;??_);_(@_)"/>
  </numFmts>
  <fonts count="18" x14ac:knownFonts="1">
    <font>
      <sz val="10"/>
      <name val="Arial"/>
    </font>
    <font>
      <sz val="10"/>
      <name val="Arial"/>
    </font>
    <font>
      <b/>
      <sz val="20"/>
      <name val="Arial"/>
      <family val="2"/>
    </font>
    <font>
      <b/>
      <sz val="10"/>
      <name val="Arial"/>
      <family val="2"/>
    </font>
    <font>
      <sz val="10"/>
      <color indexed="10"/>
      <name val="Arial"/>
      <family val="2"/>
    </font>
    <font>
      <sz val="10"/>
      <name val="Arial"/>
      <family val="2"/>
    </font>
    <font>
      <b/>
      <sz val="12"/>
      <name val="Arial"/>
      <family val="2"/>
    </font>
    <font>
      <b/>
      <sz val="10"/>
      <color indexed="10"/>
      <name val="Arial"/>
      <family val="2"/>
    </font>
    <font>
      <b/>
      <sz val="16"/>
      <name val="Arial"/>
      <family val="2"/>
    </font>
    <font>
      <i/>
      <sz val="10"/>
      <name val="Arial"/>
      <family val="2"/>
    </font>
    <font>
      <sz val="10"/>
      <color indexed="48"/>
      <name val="Arial"/>
      <family val="2"/>
    </font>
    <font>
      <sz val="10"/>
      <color indexed="57"/>
      <name val="Arial"/>
      <family val="2"/>
    </font>
    <font>
      <sz val="8"/>
      <color indexed="81"/>
      <name val="Tahoma"/>
    </font>
    <font>
      <b/>
      <sz val="8"/>
      <color indexed="81"/>
      <name val="Tahoma"/>
    </font>
    <font>
      <b/>
      <sz val="18"/>
      <name val="Arial"/>
      <family val="2"/>
    </font>
    <font>
      <sz val="18"/>
      <name val="Arial"/>
      <family val="2"/>
    </font>
    <font>
      <b/>
      <i/>
      <sz val="20"/>
      <name val="Arial"/>
      <family val="2"/>
    </font>
    <font>
      <b/>
      <i/>
      <sz val="12"/>
      <name val="Arial"/>
      <family val="2"/>
    </font>
  </fonts>
  <fills count="8">
    <fill>
      <patternFill patternType="none"/>
    </fill>
    <fill>
      <patternFill patternType="gray125"/>
    </fill>
    <fill>
      <patternFill patternType="solid">
        <fgColor indexed="22"/>
        <bgColor indexed="64"/>
      </patternFill>
    </fill>
    <fill>
      <patternFill patternType="solid">
        <fgColor indexed="26"/>
        <bgColor indexed="64"/>
      </patternFill>
    </fill>
    <fill>
      <patternFill patternType="solid">
        <fgColor indexed="22"/>
        <bgColor indexed="50"/>
      </patternFill>
    </fill>
    <fill>
      <patternFill patternType="solid">
        <fgColor indexed="47"/>
        <bgColor indexed="50"/>
      </patternFill>
    </fill>
    <fill>
      <patternFill patternType="solid">
        <fgColor indexed="47"/>
        <bgColor indexed="51"/>
      </patternFill>
    </fill>
    <fill>
      <patternFill patternType="solid">
        <fgColor indexed="26"/>
        <bgColor indexed="26"/>
      </patternFill>
    </fill>
  </fills>
  <borders count="11">
    <border>
      <left/>
      <right/>
      <top/>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47">
    <xf numFmtId="0" fontId="0" fillId="0" borderId="0" xfId="0"/>
    <xf numFmtId="0" fontId="2" fillId="0" borderId="0" xfId="0" applyFont="1"/>
    <xf numFmtId="0" fontId="3" fillId="0" borderId="0" xfId="0" applyFont="1" applyAlignment="1">
      <alignment horizontal="right"/>
    </xf>
    <xf numFmtId="0" fontId="0" fillId="0" borderId="0" xfId="0" applyBorder="1"/>
    <xf numFmtId="0" fontId="0" fillId="0" borderId="0" xfId="0" applyAlignment="1">
      <alignment horizontal="right"/>
    </xf>
    <xf numFmtId="197" fontId="0" fillId="0" borderId="0" xfId="0" applyNumberFormat="1"/>
    <xf numFmtId="0" fontId="4" fillId="0" borderId="0" xfId="0" applyFont="1"/>
    <xf numFmtId="0" fontId="5" fillId="0" borderId="0" xfId="0" applyFont="1"/>
    <xf numFmtId="0" fontId="5" fillId="0" borderId="0" xfId="0" applyFont="1" applyBorder="1"/>
    <xf numFmtId="0" fontId="5" fillId="0" borderId="0" xfId="0" applyFont="1" applyFill="1" applyBorder="1"/>
    <xf numFmtId="0" fontId="3" fillId="0" borderId="0" xfId="0" applyFont="1" applyBorder="1"/>
    <xf numFmtId="0" fontId="3" fillId="0" borderId="0" xfId="0" applyFont="1" applyFill="1" applyBorder="1"/>
    <xf numFmtId="0" fontId="3" fillId="0" borderId="0" xfId="0" quotePrefix="1" applyFont="1" applyAlignment="1">
      <alignment horizontal="center" wrapText="1"/>
    </xf>
    <xf numFmtId="0" fontId="4" fillId="0" borderId="0" xfId="0" applyFont="1" applyBorder="1"/>
    <xf numFmtId="0" fontId="4" fillId="0" borderId="0" xfId="0" applyFont="1" applyFill="1" applyBorder="1"/>
    <xf numFmtId="166" fontId="0" fillId="0" borderId="0" xfId="2" applyNumberFormat="1" applyFont="1"/>
    <xf numFmtId="4" fontId="3" fillId="2" borderId="1" xfId="0" applyNumberFormat="1" applyFont="1" applyFill="1" applyBorder="1" applyAlignment="1">
      <alignment horizontal="right"/>
    </xf>
    <xf numFmtId="10" fontId="3" fillId="2" borderId="1" xfId="2" applyNumberFormat="1" applyFont="1" applyFill="1" applyBorder="1" applyAlignment="1">
      <alignment horizontal="center"/>
    </xf>
    <xf numFmtId="2" fontId="3" fillId="2" borderId="1" xfId="0" applyNumberFormat="1" applyFont="1" applyFill="1" applyBorder="1" applyAlignment="1">
      <alignment horizontal="center"/>
    </xf>
    <xf numFmtId="0" fontId="6" fillId="0" borderId="0" xfId="0" applyFont="1" applyAlignment="1">
      <alignment horizontal="right"/>
    </xf>
    <xf numFmtId="10" fontId="6" fillId="2" borderId="1" xfId="2" applyNumberFormat="1" applyFont="1" applyFill="1" applyBorder="1" applyAlignment="1">
      <alignment horizontal="center"/>
    </xf>
    <xf numFmtId="166" fontId="4" fillId="0" borderId="0" xfId="2" applyNumberFormat="1" applyFont="1"/>
    <xf numFmtId="166" fontId="4" fillId="0" borderId="0" xfId="2" applyNumberFormat="1" applyFont="1" applyBorder="1"/>
    <xf numFmtId="166" fontId="4" fillId="0" borderId="0" xfId="0" applyNumberFormat="1" applyFont="1" applyBorder="1"/>
    <xf numFmtId="0" fontId="8" fillId="0" borderId="0" xfId="0" applyFont="1"/>
    <xf numFmtId="0" fontId="8" fillId="0" borderId="0" xfId="0" applyFont="1" applyFill="1" applyBorder="1"/>
    <xf numFmtId="0" fontId="3" fillId="0" borderId="0" xfId="0" applyFont="1" applyAlignment="1">
      <alignment horizontal="center" wrapText="1"/>
    </xf>
    <xf numFmtId="0" fontId="3" fillId="0" borderId="0" xfId="0" applyFont="1"/>
    <xf numFmtId="166" fontId="3" fillId="0" borderId="0" xfId="2" applyNumberFormat="1" applyFont="1"/>
    <xf numFmtId="166" fontId="3" fillId="0" borderId="0" xfId="2" applyNumberFormat="1" applyFont="1" applyBorder="1"/>
    <xf numFmtId="2" fontId="3" fillId="0" borderId="0" xfId="0" applyNumberFormat="1" applyFont="1"/>
    <xf numFmtId="173" fontId="3" fillId="0" borderId="0" xfId="0" applyNumberFormat="1" applyFont="1"/>
    <xf numFmtId="173" fontId="5" fillId="0" borderId="0" xfId="0" applyNumberFormat="1" applyFont="1"/>
    <xf numFmtId="173" fontId="5" fillId="0" borderId="2" xfId="0" applyNumberFormat="1" applyFont="1" applyBorder="1"/>
    <xf numFmtId="0" fontId="9" fillId="0" borderId="0" xfId="0" applyFont="1"/>
    <xf numFmtId="166" fontId="5" fillId="0" borderId="0" xfId="2" applyNumberFormat="1" applyFont="1"/>
    <xf numFmtId="166" fontId="10" fillId="0" borderId="0" xfId="2" applyNumberFormat="1" applyFont="1"/>
    <xf numFmtId="166" fontId="10" fillId="0" borderId="2" xfId="2" applyNumberFormat="1" applyFont="1" applyBorder="1"/>
    <xf numFmtId="166" fontId="5" fillId="0" borderId="2" xfId="2" applyNumberFormat="1" applyFont="1" applyBorder="1"/>
    <xf numFmtId="166" fontId="11" fillId="0" borderId="0" xfId="2" applyNumberFormat="1" applyFont="1"/>
    <xf numFmtId="166" fontId="11" fillId="0" borderId="0" xfId="0" applyNumberFormat="1" applyFont="1"/>
    <xf numFmtId="166" fontId="10" fillId="0" borderId="0" xfId="0" applyNumberFormat="1" applyFont="1" applyBorder="1"/>
    <xf numFmtId="169" fontId="4" fillId="0" borderId="0" xfId="0" applyNumberFormat="1" applyFont="1"/>
    <xf numFmtId="10" fontId="3" fillId="0" borderId="0" xfId="2" applyNumberFormat="1" applyFont="1"/>
    <xf numFmtId="166" fontId="5" fillId="0" borderId="0" xfId="0" applyNumberFormat="1" applyFont="1" applyBorder="1"/>
    <xf numFmtId="166" fontId="5" fillId="0" borderId="0" xfId="0" applyNumberFormat="1" applyFont="1"/>
    <xf numFmtId="0" fontId="3" fillId="0" borderId="0" xfId="0" applyFont="1" applyAlignment="1">
      <alignment horizontal="centerContinuous"/>
    </xf>
    <xf numFmtId="0" fontId="0" fillId="0" borderId="0" xfId="0" applyAlignment="1">
      <alignment horizontal="centerContinuous"/>
    </xf>
    <xf numFmtId="0" fontId="3" fillId="0" borderId="0" xfId="0" applyFont="1" applyAlignment="1">
      <alignment horizontal="centerContinuous" wrapText="1"/>
    </xf>
    <xf numFmtId="0" fontId="5" fillId="0" borderId="0" xfId="0" applyFont="1" applyAlignment="1">
      <alignment horizontal="centerContinuous"/>
    </xf>
    <xf numFmtId="0" fontId="5" fillId="0" borderId="0" xfId="0" applyFont="1" applyAlignment="1">
      <alignment horizontal="center" wrapText="1"/>
    </xf>
    <xf numFmtId="166" fontId="5" fillId="0" borderId="0" xfId="2" applyNumberFormat="1" applyFont="1" applyBorder="1"/>
    <xf numFmtId="0" fontId="14" fillId="0" borderId="0" xfId="0" applyFont="1" applyAlignment="1">
      <alignment horizontal="centerContinuous"/>
    </xf>
    <xf numFmtId="0" fontId="15" fillId="0" borderId="0" xfId="0" applyFont="1" applyAlignment="1">
      <alignment horizontal="centerContinuous"/>
    </xf>
    <xf numFmtId="0" fontId="15" fillId="0" borderId="0" xfId="0" applyFont="1"/>
    <xf numFmtId="0" fontId="3" fillId="2" borderId="3" xfId="0" applyFont="1" applyFill="1" applyBorder="1"/>
    <xf numFmtId="0" fontId="5" fillId="2" borderId="4" xfId="0" applyFont="1" applyFill="1" applyBorder="1"/>
    <xf numFmtId="0" fontId="5" fillId="2" borderId="5" xfId="0" applyFont="1" applyFill="1" applyBorder="1"/>
    <xf numFmtId="0" fontId="5" fillId="2" borderId="6" xfId="0" applyFont="1" applyFill="1" applyBorder="1"/>
    <xf numFmtId="166" fontId="5" fillId="2" borderId="6" xfId="2" applyNumberFormat="1" applyFont="1" applyFill="1" applyBorder="1"/>
    <xf numFmtId="0" fontId="5" fillId="2" borderId="7" xfId="0" applyFont="1" applyFill="1" applyBorder="1"/>
    <xf numFmtId="166" fontId="5" fillId="2" borderId="8" xfId="2" applyNumberFormat="1" applyFont="1" applyFill="1" applyBorder="1"/>
    <xf numFmtId="2" fontId="5" fillId="0" borderId="0" xfId="0" applyNumberFormat="1" applyFont="1"/>
    <xf numFmtId="10" fontId="5" fillId="0" borderId="0" xfId="2" applyNumberFormat="1" applyFont="1"/>
    <xf numFmtId="0" fontId="3" fillId="0" borderId="2" xfId="0" applyFont="1" applyBorder="1" applyAlignment="1">
      <alignment horizontal="center"/>
    </xf>
    <xf numFmtId="10" fontId="3" fillId="0" borderId="0" xfId="0" applyNumberFormat="1" applyFont="1"/>
    <xf numFmtId="173" fontId="0" fillId="2" borderId="0" xfId="0" applyNumberFormat="1" applyFill="1"/>
    <xf numFmtId="10" fontId="0" fillId="2" borderId="0" xfId="2" applyNumberFormat="1" applyFont="1" applyFill="1"/>
    <xf numFmtId="166" fontId="0" fillId="0" borderId="0" xfId="2" applyNumberFormat="1" applyFont="1" applyFill="1"/>
    <xf numFmtId="166" fontId="3" fillId="2" borderId="0" xfId="2" applyNumberFormat="1" applyFont="1" applyFill="1"/>
    <xf numFmtId="10" fontId="3" fillId="0" borderId="2" xfId="2" applyNumberFormat="1" applyFont="1" applyBorder="1"/>
    <xf numFmtId="10" fontId="0" fillId="0" borderId="0" xfId="2" applyNumberFormat="1" applyFont="1" applyFill="1"/>
    <xf numFmtId="0" fontId="0" fillId="0" borderId="0" xfId="0" applyFill="1"/>
    <xf numFmtId="0" fontId="0" fillId="0" borderId="0" xfId="0" applyAlignment="1">
      <alignment horizontal="center"/>
    </xf>
    <xf numFmtId="3" fontId="5" fillId="2" borderId="6" xfId="0" applyNumberFormat="1" applyFont="1" applyFill="1" applyBorder="1"/>
    <xf numFmtId="4" fontId="0" fillId="2" borderId="0" xfId="0" applyNumberFormat="1" applyFill="1"/>
    <xf numFmtId="4" fontId="0" fillId="0" borderId="0" xfId="0" applyNumberFormat="1"/>
    <xf numFmtId="49" fontId="4" fillId="0" borderId="0" xfId="0" applyNumberFormat="1" applyFont="1" applyFill="1" applyBorder="1"/>
    <xf numFmtId="166" fontId="0" fillId="2" borderId="0" xfId="2" applyNumberFormat="1" applyFont="1" applyFill="1"/>
    <xf numFmtId="174" fontId="5" fillId="0" borderId="0" xfId="0" applyNumberFormat="1" applyFont="1"/>
    <xf numFmtId="174" fontId="5" fillId="0" borderId="2" xfId="0" applyNumberFormat="1" applyFont="1" applyBorder="1"/>
    <xf numFmtId="174" fontId="3" fillId="0" borderId="0" xfId="0" applyNumberFormat="1" applyFont="1"/>
    <xf numFmtId="174" fontId="5" fillId="0" borderId="0" xfId="0" applyNumberFormat="1" applyFont="1" applyFill="1" applyBorder="1"/>
    <xf numFmtId="174" fontId="4" fillId="0" borderId="0" xfId="0" applyNumberFormat="1" applyFont="1"/>
    <xf numFmtId="174" fontId="4" fillId="0" borderId="0" xfId="0" applyNumberFormat="1" applyFont="1" applyFill="1"/>
    <xf numFmtId="174" fontId="11" fillId="0" borderId="0" xfId="0" applyNumberFormat="1" applyFont="1" applyBorder="1"/>
    <xf numFmtId="174" fontId="11" fillId="0" borderId="0" xfId="0" applyNumberFormat="1" applyFont="1"/>
    <xf numFmtId="174" fontId="5" fillId="0" borderId="0" xfId="0" applyNumberFormat="1" applyFont="1" applyBorder="1"/>
    <xf numFmtId="174" fontId="4" fillId="0" borderId="0" xfId="0" applyNumberFormat="1" applyFont="1" applyFill="1" applyBorder="1"/>
    <xf numFmtId="174" fontId="4" fillId="0" borderId="0" xfId="0" applyNumberFormat="1" applyFont="1" applyBorder="1"/>
    <xf numFmtId="174" fontId="4" fillId="0" borderId="2" xfId="0" applyNumberFormat="1" applyFont="1" applyBorder="1"/>
    <xf numFmtId="0" fontId="8" fillId="0" borderId="0" xfId="0" applyFont="1" applyAlignment="1">
      <alignment horizontal="centerContinuous"/>
    </xf>
    <xf numFmtId="10" fontId="6" fillId="0" borderId="0" xfId="2" applyNumberFormat="1" applyFont="1" applyFill="1" applyBorder="1" applyAlignment="1">
      <alignment horizontal="center"/>
    </xf>
    <xf numFmtId="0" fontId="0" fillId="3" borderId="0" xfId="0" applyFill="1" applyAlignment="1">
      <alignment horizontal="right"/>
    </xf>
    <xf numFmtId="166" fontId="3" fillId="3" borderId="1" xfId="2" applyNumberFormat="1" applyFont="1" applyFill="1" applyBorder="1" applyAlignment="1">
      <alignment horizontal="right"/>
    </xf>
    <xf numFmtId="10" fontId="0" fillId="3" borderId="0" xfId="0" applyNumberFormat="1" applyFill="1"/>
    <xf numFmtId="0" fontId="0" fillId="3" borderId="0" xfId="0" applyFill="1"/>
    <xf numFmtId="166" fontId="0" fillId="3" borderId="0" xfId="0" applyNumberFormat="1" applyFill="1" applyAlignment="1">
      <alignment horizontal="right"/>
    </xf>
    <xf numFmtId="174" fontId="3" fillId="3" borderId="1" xfId="0" applyNumberFormat="1" applyFont="1" applyFill="1" applyBorder="1" applyAlignment="1">
      <alignment horizontal="right"/>
    </xf>
    <xf numFmtId="10" fontId="3" fillId="3" borderId="1" xfId="2" applyNumberFormat="1" applyFont="1" applyFill="1" applyBorder="1"/>
    <xf numFmtId="201" fontId="0" fillId="3" borderId="0" xfId="0" applyNumberFormat="1" applyFill="1"/>
    <xf numFmtId="0" fontId="3" fillId="3" borderId="0" xfId="0" applyFont="1" applyFill="1" applyAlignment="1">
      <alignment horizontal="right"/>
    </xf>
    <xf numFmtId="0" fontId="9" fillId="3" borderId="0" xfId="0" applyFont="1" applyFill="1" applyAlignment="1">
      <alignment horizontal="centerContinuous"/>
    </xf>
    <xf numFmtId="0" fontId="16" fillId="3" borderId="0" xfId="0" applyFont="1" applyFill="1" applyAlignment="1">
      <alignment horizontal="centerContinuous"/>
    </xf>
    <xf numFmtId="10" fontId="3" fillId="4" borderId="1" xfId="2" applyNumberFormat="1" applyFont="1" applyFill="1" applyBorder="1" applyAlignment="1">
      <alignment horizontal="center"/>
    </xf>
    <xf numFmtId="0" fontId="0" fillId="5" borderId="0" xfId="0" applyFill="1"/>
    <xf numFmtId="0" fontId="3" fillId="5" borderId="0" xfId="0" applyFont="1" applyFill="1" applyAlignment="1">
      <alignment horizontal="right"/>
    </xf>
    <xf numFmtId="0" fontId="0" fillId="5" borderId="0" xfId="0" applyFill="1" applyAlignment="1">
      <alignment horizontal="right"/>
    </xf>
    <xf numFmtId="10" fontId="4" fillId="5" borderId="0" xfId="0" applyNumberFormat="1" applyFont="1" applyFill="1"/>
    <xf numFmtId="166" fontId="0" fillId="5" borderId="0" xfId="0" applyNumberFormat="1" applyFill="1"/>
    <xf numFmtId="10" fontId="3" fillId="5" borderId="1" xfId="2" applyNumberFormat="1" applyFont="1" applyFill="1" applyBorder="1" applyAlignment="1">
      <alignment horizontal="right"/>
    </xf>
    <xf numFmtId="10" fontId="3" fillId="5" borderId="0" xfId="2" applyNumberFormat="1" applyFont="1" applyFill="1" applyBorder="1" applyAlignment="1">
      <alignment horizontal="right"/>
    </xf>
    <xf numFmtId="10" fontId="0" fillId="5" borderId="0" xfId="0" applyNumberFormat="1" applyFill="1"/>
    <xf numFmtId="0" fontId="7" fillId="5" borderId="0" xfId="0" applyFont="1" applyFill="1"/>
    <xf numFmtId="0" fontId="0" fillId="6" borderId="0" xfId="0" applyFill="1" applyAlignment="1">
      <alignment horizontal="right"/>
    </xf>
    <xf numFmtId="0" fontId="0" fillId="6" borderId="0" xfId="0" applyFill="1"/>
    <xf numFmtId="10" fontId="3" fillId="6" borderId="1" xfId="2" applyNumberFormat="1" applyFont="1" applyFill="1" applyBorder="1" applyAlignment="1">
      <alignment horizontal="right"/>
    </xf>
    <xf numFmtId="166" fontId="0" fillId="6" borderId="0" xfId="0" applyNumberFormat="1" applyFill="1"/>
    <xf numFmtId="10" fontId="3" fillId="6" borderId="9" xfId="2" applyNumberFormat="1" applyFont="1" applyFill="1" applyBorder="1"/>
    <xf numFmtId="10" fontId="3" fillId="6" borderId="1" xfId="2" applyNumberFormat="1" applyFont="1" applyFill="1" applyBorder="1"/>
    <xf numFmtId="10" fontId="3" fillId="6" borderId="10" xfId="2" applyNumberFormat="1" applyFont="1" applyFill="1" applyBorder="1"/>
    <xf numFmtId="10" fontId="0" fillId="6" borderId="0" xfId="0" applyNumberFormat="1" applyFill="1"/>
    <xf numFmtId="10" fontId="3" fillId="6" borderId="0" xfId="2" applyNumberFormat="1" applyFont="1" applyFill="1" applyBorder="1"/>
    <xf numFmtId="169" fontId="0" fillId="6" borderId="0" xfId="0" applyNumberFormat="1" applyFill="1"/>
    <xf numFmtId="0" fontId="0" fillId="6" borderId="0" xfId="0" applyFill="1" applyBorder="1" applyAlignment="1">
      <alignment horizontal="right"/>
    </xf>
    <xf numFmtId="174" fontId="3" fillId="6" borderId="1" xfId="0" applyNumberFormat="1" applyFont="1" applyFill="1" applyBorder="1" applyAlignment="1">
      <alignment horizontal="right"/>
    </xf>
    <xf numFmtId="0" fontId="0" fillId="6" borderId="0" xfId="0" applyFill="1" applyAlignment="1">
      <alignment horizontal="centerContinuous"/>
    </xf>
    <xf numFmtId="0" fontId="16" fillId="6" borderId="0" xfId="0" applyFont="1" applyFill="1" applyAlignment="1">
      <alignment horizontal="centerContinuous"/>
    </xf>
    <xf numFmtId="0" fontId="0" fillId="7" borderId="0" xfId="0" applyFill="1"/>
    <xf numFmtId="166" fontId="0" fillId="7" borderId="0" xfId="0" applyNumberFormat="1" applyFill="1"/>
    <xf numFmtId="0" fontId="0" fillId="7" borderId="0" xfId="0" applyFill="1" applyAlignment="1">
      <alignment horizontal="right"/>
    </xf>
    <xf numFmtId="0" fontId="3" fillId="0" borderId="0" xfId="0" quotePrefix="1" applyNumberFormat="1" applyFont="1" applyAlignment="1">
      <alignment horizontal="center"/>
    </xf>
    <xf numFmtId="0" fontId="3" fillId="0" borderId="0" xfId="0" applyFont="1" applyAlignment="1">
      <alignment horizontal="center"/>
    </xf>
    <xf numFmtId="0" fontId="4" fillId="3" borderId="0" xfId="0" applyFont="1" applyFill="1"/>
    <xf numFmtId="209" fontId="11" fillId="0" borderId="0" xfId="1" applyNumberFormat="1" applyFont="1"/>
    <xf numFmtId="174" fontId="5" fillId="0" borderId="2" xfId="0" applyNumberFormat="1" applyFont="1" applyFill="1" applyBorder="1"/>
    <xf numFmtId="174" fontId="10" fillId="0" borderId="0" xfId="0" applyNumberFormat="1" applyFont="1" applyFill="1"/>
    <xf numFmtId="178" fontId="0" fillId="5" borderId="0" xfId="0" applyNumberFormat="1" applyFill="1"/>
    <xf numFmtId="166" fontId="4" fillId="0" borderId="0" xfId="0" applyNumberFormat="1" applyFont="1"/>
    <xf numFmtId="0" fontId="5" fillId="0" borderId="0" xfId="0" applyFont="1" applyAlignment="1">
      <alignment horizontal="center"/>
    </xf>
    <xf numFmtId="10" fontId="3" fillId="0" borderId="0" xfId="0" applyNumberFormat="1" applyFont="1" applyBorder="1"/>
    <xf numFmtId="174" fontId="0" fillId="0" borderId="0" xfId="0" applyNumberFormat="1"/>
    <xf numFmtId="9" fontId="0" fillId="0" borderId="0" xfId="2" applyFont="1"/>
    <xf numFmtId="0" fontId="3" fillId="6" borderId="0" xfId="0" applyFont="1" applyFill="1" applyAlignment="1">
      <alignment horizontal="right"/>
    </xf>
    <xf numFmtId="166" fontId="3" fillId="0" borderId="0" xfId="2" applyNumberFormat="1" applyFont="1" applyFill="1"/>
    <xf numFmtId="4" fontId="0" fillId="0" borderId="0" xfId="0" applyNumberFormat="1" applyFill="1"/>
    <xf numFmtId="0" fontId="17" fillId="0" borderId="0" xfId="0" applyFont="1" applyAlignment="1">
      <alignment horizontal="center"/>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Asset Composition, Baseline</a:t>
            </a:r>
          </a:p>
        </c:rich>
      </c:tx>
      <c:layout>
        <c:manualLayout>
          <c:xMode val="edge"/>
          <c:yMode val="edge"/>
          <c:x val="0.29918148490884244"/>
          <c:y val="2.8572327518849375E-2"/>
        </c:manualLayout>
      </c:layout>
      <c:overlay val="0"/>
      <c:spPr>
        <a:noFill/>
        <a:ln w="25400">
          <a:noFill/>
        </a:ln>
      </c:spPr>
    </c:title>
    <c:autoTitleDeleted val="0"/>
    <c:plotArea>
      <c:layout>
        <c:manualLayout>
          <c:layoutTarget val="inner"/>
          <c:xMode val="edge"/>
          <c:yMode val="edge"/>
          <c:x val="5.17615025793845E-2"/>
          <c:y val="0.16364151215341008"/>
          <c:w val="0.61596188069467561"/>
          <c:h val="0.77275158516888087"/>
        </c:manualLayout>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50A3-414A-A5FD-E57B979E7F6A}"/>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1-50A3-414A-A5FD-E57B979E7F6A}"/>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2-50A3-414A-A5FD-E57B979E7F6A}"/>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3-50A3-414A-A5FD-E57B979E7F6A}"/>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4-50A3-414A-A5FD-E57B979E7F6A}"/>
              </c:ext>
            </c:extLst>
          </c:dPt>
          <c:dLbls>
            <c:numFmt formatCode="0%" sourceLinked="0"/>
            <c:spPr>
              <a:noFill/>
              <a:ln w="25400">
                <a:noFill/>
              </a:ln>
            </c:spPr>
            <c:txPr>
              <a:bodyPr wrap="square" lIns="38100" tIns="19050" rIns="38100" bIns="19050" anchor="ctr">
                <a:spAutoFit/>
              </a:bodyPr>
              <a:lstStyle/>
              <a:p>
                <a:pPr>
                  <a:defRPr sz="1475" b="0" i="0" u="none" strike="noStrike" baseline="0">
                    <a:solidFill>
                      <a:srgbClr val="000000"/>
                    </a:solidFill>
                    <a:latin typeface="Arial"/>
                    <a:ea typeface="Arial"/>
                    <a:cs typeface="Arial"/>
                  </a:defRPr>
                </a:pPr>
                <a:endParaRPr lang="en-US"/>
              </a:p>
            </c:txPr>
            <c:showLegendKey val="0"/>
            <c:showVal val="0"/>
            <c:showCatName val="0"/>
            <c:showSerName val="0"/>
            <c:showPercent val="1"/>
            <c:showBubbleSize val="0"/>
            <c:showLeaderLines val="1"/>
            <c:extLst>
              <c:ext xmlns:c15="http://schemas.microsoft.com/office/drawing/2012/chart" uri="{CE6537A1-D6FC-4f65-9D91-7224C49458BB}"/>
            </c:extLst>
          </c:dLbls>
          <c:cat>
            <c:strRef>
              <c:f>'Composition Graphs'!$A$3:$A$7</c:f>
              <c:strCache>
                <c:ptCount val="5"/>
                <c:pt idx="0">
                  <c:v>Cash &amp; Equivalents</c:v>
                </c:pt>
                <c:pt idx="1">
                  <c:v>Accounts Receivables</c:v>
                </c:pt>
                <c:pt idx="2">
                  <c:v>Inventory</c:v>
                </c:pt>
                <c:pt idx="3">
                  <c:v>Other Current</c:v>
                </c:pt>
                <c:pt idx="4">
                  <c:v>NonCurrent-Fixed Assets &amp; Other</c:v>
                </c:pt>
              </c:strCache>
            </c:strRef>
          </c:cat>
          <c:val>
            <c:numRef>
              <c:f>'Composition Graphs'!$B$3:$B$7</c:f>
              <c:numCache>
                <c:formatCode>0.0%</c:formatCode>
                <c:ptCount val="5"/>
                <c:pt idx="0">
                  <c:v>2.5000000000000001E-2</c:v>
                </c:pt>
                <c:pt idx="1">
                  <c:v>0.35399999999999998</c:v>
                </c:pt>
                <c:pt idx="2">
                  <c:v>0.48499999999999999</c:v>
                </c:pt>
                <c:pt idx="3">
                  <c:v>2.1999999999999999E-2</c:v>
                </c:pt>
                <c:pt idx="4">
                  <c:v>0.114</c:v>
                </c:pt>
              </c:numCache>
            </c:numRef>
          </c:val>
          <c:extLst>
            <c:ext xmlns:c16="http://schemas.microsoft.com/office/drawing/2014/chart" uri="{C3380CC4-5D6E-409C-BE32-E72D297353CC}">
              <c16:uniqueId val="{00000005-50A3-414A-A5FD-E57B979E7F6A}"/>
            </c:ext>
          </c:extLst>
        </c:ser>
        <c:ser>
          <c:idx val="1"/>
          <c:order val="1"/>
          <c:spPr>
            <a:solidFill>
              <a:srgbClr val="993366"/>
            </a:solidFill>
            <a:ln w="12700">
              <a:solidFill>
                <a:srgbClr val="000000"/>
              </a:solidFill>
              <a:prstDash val="solid"/>
            </a:ln>
          </c:spPr>
          <c:dPt>
            <c:idx val="0"/>
            <c:bubble3D val="0"/>
            <c:spPr>
              <a:solidFill>
                <a:srgbClr val="9999FF"/>
              </a:solidFill>
              <a:ln w="12700">
                <a:solidFill>
                  <a:srgbClr val="000000"/>
                </a:solidFill>
                <a:prstDash val="solid"/>
              </a:ln>
            </c:spPr>
            <c:extLst>
              <c:ext xmlns:c16="http://schemas.microsoft.com/office/drawing/2014/chart" uri="{C3380CC4-5D6E-409C-BE32-E72D297353CC}">
                <c16:uniqueId val="{00000006-50A3-414A-A5FD-E57B979E7F6A}"/>
              </c:ext>
            </c:extLst>
          </c:dPt>
          <c:dPt>
            <c:idx val="1"/>
            <c:bubble3D val="0"/>
            <c:extLst>
              <c:ext xmlns:c16="http://schemas.microsoft.com/office/drawing/2014/chart" uri="{C3380CC4-5D6E-409C-BE32-E72D297353CC}">
                <c16:uniqueId val="{00000007-50A3-414A-A5FD-E57B979E7F6A}"/>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8-50A3-414A-A5FD-E57B979E7F6A}"/>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9-50A3-414A-A5FD-E57B979E7F6A}"/>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A-50A3-414A-A5FD-E57B979E7F6A}"/>
              </c:ext>
            </c:extLst>
          </c:dPt>
          <c:dLbls>
            <c:numFmt formatCode="0%" sourceLinked="0"/>
            <c:spPr>
              <a:noFill/>
              <a:ln w="25400">
                <a:noFill/>
              </a:ln>
            </c:spPr>
            <c:txPr>
              <a:bodyPr wrap="square" lIns="38100" tIns="19050" rIns="38100" bIns="19050" anchor="ctr">
                <a:spAutoFit/>
              </a:bodyPr>
              <a:lstStyle/>
              <a:p>
                <a:pPr>
                  <a:defRPr sz="1475" b="0" i="0" u="none" strike="noStrike" baseline="0">
                    <a:solidFill>
                      <a:srgbClr val="000000"/>
                    </a:solidFill>
                    <a:latin typeface="Arial"/>
                    <a:ea typeface="Arial"/>
                    <a:cs typeface="Arial"/>
                  </a:defRPr>
                </a:pPr>
                <a:endParaRPr lang="en-US"/>
              </a:p>
            </c:txPr>
            <c:showLegendKey val="0"/>
            <c:showVal val="0"/>
            <c:showCatName val="0"/>
            <c:showSerName val="0"/>
            <c:showPercent val="1"/>
            <c:showBubbleSize val="0"/>
            <c:showLeaderLines val="1"/>
            <c:extLst>
              <c:ext xmlns:c15="http://schemas.microsoft.com/office/drawing/2012/chart" uri="{CE6537A1-D6FC-4f65-9D91-7224C49458BB}"/>
            </c:extLst>
          </c:dLbls>
          <c:cat>
            <c:strRef>
              <c:f>'Composition Graphs'!$A$3:$A$7</c:f>
              <c:strCache>
                <c:ptCount val="5"/>
                <c:pt idx="0">
                  <c:v>Cash &amp; Equivalents</c:v>
                </c:pt>
                <c:pt idx="1">
                  <c:v>Accounts Receivables</c:v>
                </c:pt>
                <c:pt idx="2">
                  <c:v>Inventory</c:v>
                </c:pt>
                <c:pt idx="3">
                  <c:v>Other Current</c:v>
                </c:pt>
                <c:pt idx="4">
                  <c:v>NonCurrent-Fixed Assets &amp; Other</c:v>
                </c:pt>
              </c:strCache>
            </c:strRef>
          </c:cat>
          <c:val>
            <c:numRef>
              <c:f>'Composition Graphs'!$C$3:$C$7</c:f>
              <c:numCache>
                <c:formatCode>General</c:formatCode>
                <c:ptCount val="5"/>
              </c:numCache>
            </c:numRef>
          </c:val>
          <c:extLst>
            <c:ext xmlns:c16="http://schemas.microsoft.com/office/drawing/2014/chart" uri="{C3380CC4-5D6E-409C-BE32-E72D297353CC}">
              <c16:uniqueId val="{0000000B-50A3-414A-A5FD-E57B979E7F6A}"/>
            </c:ext>
          </c:extLst>
        </c:ser>
        <c:dLbls>
          <c:showLegendKey val="0"/>
          <c:showVal val="0"/>
          <c:showCatName val="0"/>
          <c:showSerName val="0"/>
          <c:showPercent val="1"/>
          <c:showBubbleSize val="0"/>
          <c:showLeaderLines val="1"/>
        </c:dLbls>
        <c:firstSliceAng val="0"/>
      </c:pieChart>
      <c:spPr>
        <a:noFill/>
        <a:ln w="25400">
          <a:noFill/>
        </a:ln>
      </c:spPr>
    </c:plotArea>
    <c:legend>
      <c:legendPos val="r"/>
      <c:layout>
        <c:manualLayout>
          <c:xMode val="edge"/>
          <c:yMode val="edge"/>
          <c:x val="0.75985885786536456"/>
          <c:y val="0.28182704870865066"/>
          <c:w val="0.22775061134929181"/>
          <c:h val="0.50780818453955023"/>
        </c:manualLayout>
      </c:layout>
      <c:overlay val="0"/>
      <c:spPr>
        <a:solidFill>
          <a:srgbClr val="FFFFFF"/>
        </a:solidFill>
        <a:ln w="3175">
          <a:solidFill>
            <a:srgbClr val="000000"/>
          </a:solidFill>
          <a:prstDash val="solid"/>
        </a:ln>
      </c:spPr>
      <c:txPr>
        <a:bodyPr/>
        <a:lstStyle/>
        <a:p>
          <a:pPr>
            <a:defRPr sz="1080"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900" b="1" i="0" u="none" strike="noStrike" baseline="0">
                <a:solidFill>
                  <a:srgbClr val="000000"/>
                </a:solidFill>
                <a:latin typeface="Arial"/>
                <a:ea typeface="Arial"/>
                <a:cs typeface="Arial"/>
              </a:defRPr>
            </a:pPr>
            <a:r>
              <a:rPr lang="en-US"/>
              <a:t>Expense Composition (net of COGS, including Returns &amp; Allowances)</a:t>
            </a:r>
          </a:p>
        </c:rich>
      </c:tx>
      <c:layout>
        <c:manualLayout>
          <c:xMode val="edge"/>
          <c:yMode val="edge"/>
          <c:x val="0.12347154582734458"/>
          <c:y val="2.0362639432704346E-2"/>
        </c:manualLayout>
      </c:layout>
      <c:overlay val="0"/>
      <c:spPr>
        <a:noFill/>
        <a:ln w="25400">
          <a:noFill/>
        </a:ln>
      </c:spPr>
    </c:title>
    <c:autoTitleDeleted val="0"/>
    <c:plotArea>
      <c:layout>
        <c:manualLayout>
          <c:layoutTarget val="inner"/>
          <c:xMode val="edge"/>
          <c:yMode val="edge"/>
          <c:x val="0.12259586110516485"/>
          <c:y val="0.15498231123780531"/>
          <c:w val="0.54292452775144429"/>
          <c:h val="0.70137980268203859"/>
        </c:manualLayout>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2BF1-44F7-A88D-0F979FF64A81}"/>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1-2BF1-44F7-A88D-0F979FF64A81}"/>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2-2BF1-44F7-A88D-0F979FF64A81}"/>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3-2BF1-44F7-A88D-0F979FF64A81}"/>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4-2BF1-44F7-A88D-0F979FF64A81}"/>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5-2BF1-44F7-A88D-0F979FF64A81}"/>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6-2BF1-44F7-A88D-0F979FF64A81}"/>
              </c:ext>
            </c:extLst>
          </c:dPt>
          <c:dLbls>
            <c:numFmt formatCode="0%" sourceLinked="0"/>
            <c:spPr>
              <a:noFill/>
              <a:ln w="25400">
                <a:noFill/>
              </a:ln>
            </c:spPr>
            <c:txPr>
              <a:bodyPr wrap="square" lIns="38100" tIns="19050" rIns="38100" bIns="19050" anchor="ctr">
                <a:spAutoFit/>
              </a:bodyPr>
              <a:lstStyle/>
              <a:p>
                <a:pPr>
                  <a:defRPr sz="1800" b="0" i="0" u="none" strike="noStrike" baseline="0">
                    <a:solidFill>
                      <a:srgbClr val="000000"/>
                    </a:solidFill>
                    <a:latin typeface="Arial"/>
                    <a:ea typeface="Arial"/>
                    <a:cs typeface="Arial"/>
                  </a:defRPr>
                </a:pPr>
                <a:endParaRPr lang="en-US"/>
              </a:p>
            </c:txPr>
            <c:showLegendKey val="0"/>
            <c:showVal val="0"/>
            <c:showCatName val="0"/>
            <c:showSerName val="0"/>
            <c:showPercent val="1"/>
            <c:showBubbleSize val="0"/>
            <c:showLeaderLines val="1"/>
            <c:extLst>
              <c:ext xmlns:c15="http://schemas.microsoft.com/office/drawing/2012/chart" uri="{CE6537A1-D6FC-4f65-9D91-7224C49458BB}"/>
            </c:extLst>
          </c:dLbls>
          <c:cat>
            <c:strRef>
              <c:f>'Composition Graphs'!$A$14:$A$20</c:f>
              <c:strCache>
                <c:ptCount val="7"/>
                <c:pt idx="0">
                  <c:v>Returns and Allowances</c:v>
                </c:pt>
                <c:pt idx="1">
                  <c:v>Warehousing Expense</c:v>
                </c:pt>
                <c:pt idx="2">
                  <c:v>Insurance &amp; Obsolescence</c:v>
                </c:pt>
                <c:pt idx="3">
                  <c:v>Sales, General &amp; Admin</c:v>
                </c:pt>
                <c:pt idx="4">
                  <c:v>Depreciation</c:v>
                </c:pt>
                <c:pt idx="5">
                  <c:v>Interest &amp; Non-Operating</c:v>
                </c:pt>
                <c:pt idx="6">
                  <c:v>Pretax Income</c:v>
                </c:pt>
              </c:strCache>
            </c:strRef>
          </c:cat>
          <c:val>
            <c:numRef>
              <c:f>'Composition Graphs'!$B$14:$B$20</c:f>
              <c:numCache>
                <c:formatCode>0.0%</c:formatCode>
                <c:ptCount val="7"/>
                <c:pt idx="0">
                  <c:v>0.10791366906474818</c:v>
                </c:pt>
                <c:pt idx="1">
                  <c:v>0.36773647748467891</c:v>
                </c:pt>
                <c:pt idx="2">
                  <c:v>2.6245670130562213E-2</c:v>
                </c:pt>
                <c:pt idx="3">
                  <c:v>0.38163069544364503</c:v>
                </c:pt>
                <c:pt idx="4">
                  <c:v>1.4388489208633093E-2</c:v>
                </c:pt>
                <c:pt idx="5">
                  <c:v>3.5971223021582718E-3</c:v>
                </c:pt>
                <c:pt idx="6">
                  <c:v>8.9928057553956817E-2</c:v>
                </c:pt>
              </c:numCache>
            </c:numRef>
          </c:val>
          <c:extLst>
            <c:ext xmlns:c16="http://schemas.microsoft.com/office/drawing/2014/chart" uri="{C3380CC4-5D6E-409C-BE32-E72D297353CC}">
              <c16:uniqueId val="{00000007-2BF1-44F7-A88D-0F979FF64A81}"/>
            </c:ext>
          </c:extLst>
        </c:ser>
        <c:dLbls>
          <c:showLegendKey val="0"/>
          <c:showVal val="0"/>
          <c:showCatName val="0"/>
          <c:showSerName val="0"/>
          <c:showPercent val="1"/>
          <c:showBubbleSize val="0"/>
          <c:showLeaderLines val="1"/>
        </c:dLbls>
        <c:firstSliceAng val="0"/>
      </c:pieChart>
      <c:spPr>
        <a:noFill/>
        <a:ln w="25400">
          <a:noFill/>
        </a:ln>
      </c:spPr>
    </c:plotArea>
    <c:legend>
      <c:legendPos val="r"/>
      <c:layout>
        <c:manualLayout>
          <c:xMode val="edge"/>
          <c:yMode val="edge"/>
          <c:x val="0.79950015135011077"/>
          <c:y val="0.28281443656533806"/>
          <c:w val="0.19002358471300546"/>
          <c:h val="0.4558968717433251"/>
        </c:manualLayout>
      </c:layout>
      <c:overlay val="0"/>
      <c:spPr>
        <a:solidFill>
          <a:srgbClr val="FFFFFF"/>
        </a:solidFill>
        <a:ln w="3175">
          <a:solidFill>
            <a:srgbClr val="000000"/>
          </a:solidFill>
          <a:prstDash val="solid"/>
        </a:ln>
      </c:spPr>
      <c:txPr>
        <a:bodyPr/>
        <a:lstStyle/>
        <a:p>
          <a:pPr>
            <a:defRPr sz="1080"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5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7.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198120</xdr:colOff>
      <xdr:row>0</xdr:row>
      <xdr:rowOff>144780</xdr:rowOff>
    </xdr:from>
    <xdr:to>
      <xdr:col>13</xdr:col>
      <xdr:colOff>251460</xdr:colOff>
      <xdr:row>21</xdr:row>
      <xdr:rowOff>0</xdr:rowOff>
    </xdr:to>
    <xdr:sp macro="" textlink="">
      <xdr:nvSpPr>
        <xdr:cNvPr id="12290" name="Text Box 2">
          <a:extLst>
            <a:ext uri="{FF2B5EF4-FFF2-40B4-BE49-F238E27FC236}">
              <a16:creationId xmlns:a16="http://schemas.microsoft.com/office/drawing/2014/main" id="{76507452-75B8-7AAA-A5D7-1ED4463470B4}"/>
            </a:ext>
          </a:extLst>
        </xdr:cNvPr>
        <xdr:cNvSpPr txBox="1">
          <a:spLocks noChangeArrowheads="1"/>
        </xdr:cNvSpPr>
      </xdr:nvSpPr>
      <xdr:spPr bwMode="auto">
        <a:xfrm>
          <a:off x="198120" y="144780"/>
          <a:ext cx="7978140" cy="337566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This model was originally intended to showcase the affects of changes to only the average distributor/wholesaler, but gradually morphed into a management tool.  Accordingly, portions of it are not as 'user-friendly' as they might be.  When making changes, please note the assumptions document also shown on the webpage </a:t>
          </a:r>
          <a:r>
            <a:rPr lang="en-US" sz="1000" b="1" i="0" u="none" strike="noStrike" baseline="0">
              <a:solidFill>
                <a:srgbClr val="000000"/>
              </a:solidFill>
              <a:latin typeface="Arial"/>
              <a:cs typeface="Arial"/>
            </a:rPr>
            <a:t>and please spend some time understanding the formulas prior to changing/overriding to tailor to your specific business</a:t>
          </a:r>
          <a:r>
            <a:rPr lang="en-US" sz="1000" b="0" i="0" u="none" strike="noStrike" baseline="0">
              <a:solidFill>
                <a:srgbClr val="000000"/>
              </a:solidFill>
              <a:latin typeface="Arial"/>
              <a:cs typeface="Arial"/>
            </a:rPr>
            <a:t>.</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We suggest adjusting/viewing the tabs in the order they are presented.  </a:t>
          </a:r>
        </a:p>
        <a:p>
          <a:pPr algn="l" rtl="0">
            <a:defRPr sz="1000"/>
          </a:pPr>
          <a:r>
            <a:rPr lang="en-US" sz="1000" b="0" i="0" u="none" strike="noStrike" baseline="0">
              <a:solidFill>
                <a:srgbClr val="000000"/>
              </a:solidFill>
              <a:latin typeface="Arial"/>
              <a:cs typeface="Arial"/>
            </a:rPr>
            <a:t>On the </a:t>
          </a:r>
          <a:r>
            <a:rPr lang="en-US" sz="1000" b="1" i="0" u="none" strike="noStrike" baseline="0">
              <a:solidFill>
                <a:srgbClr val="000000"/>
              </a:solidFill>
              <a:latin typeface="Arial"/>
              <a:cs typeface="Arial"/>
            </a:rPr>
            <a:t>Inv CC (inventory carrying cost) tab</a:t>
          </a:r>
          <a:r>
            <a:rPr lang="en-US" sz="1000" b="0" i="0" u="none" strike="noStrike" baseline="0">
              <a:solidFill>
                <a:srgbClr val="000000"/>
              </a:solidFill>
              <a:latin typeface="Arial"/>
              <a:cs typeface="Arial"/>
            </a:rPr>
            <a:t>, items in shaded blocks should be input, all others should be calculated.  For the cost of capital portion, the vast majority of users will probably input the firm hurdle rate and the corporate tax rate (you can ignore beta of equity and cost of debt).  If you wish to utilize method 2, you'll need to enter beta of equity and cost of debt, as well as the corporate tax rate.</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a:t>
          </a:r>
          <a:r>
            <a:rPr lang="en-US" sz="1000" b="1" i="0" u="none" strike="noStrike" baseline="0">
              <a:solidFill>
                <a:srgbClr val="000000"/>
              </a:solidFill>
              <a:latin typeface="Arial"/>
              <a:cs typeface="Arial"/>
            </a:rPr>
            <a:t>Financials tab </a:t>
          </a:r>
          <a:r>
            <a:rPr lang="en-US" sz="1000" b="0" i="0" u="none" strike="noStrike" baseline="0">
              <a:solidFill>
                <a:srgbClr val="000000"/>
              </a:solidFill>
              <a:latin typeface="Arial"/>
              <a:cs typeface="Arial"/>
            </a:rPr>
            <a:t>is the foundation of the model.  Begin in the top-left corner and input numbers relevant for your business.  These will flow through the model.  In general, the model is color-coded.  Most items in blue are hard-inputs based on the NHRAW report.  Red items indicate those that change in at least 1 of the 4 scenarios.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Please reply with feedback regarding this model and check for occasional updates.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426720</xdr:colOff>
      <xdr:row>8</xdr:row>
      <xdr:rowOff>0</xdr:rowOff>
    </xdr:from>
    <xdr:to>
      <xdr:col>7</xdr:col>
      <xdr:colOff>426720</xdr:colOff>
      <xdr:row>12</xdr:row>
      <xdr:rowOff>0</xdr:rowOff>
    </xdr:to>
    <xdr:sp macro="" textlink="">
      <xdr:nvSpPr>
        <xdr:cNvPr id="1032" name="Line 8">
          <a:extLst>
            <a:ext uri="{FF2B5EF4-FFF2-40B4-BE49-F238E27FC236}">
              <a16:creationId xmlns:a16="http://schemas.microsoft.com/office/drawing/2014/main" id="{C6B350BE-9163-74C2-9D54-B0EFAFFF9EF4}"/>
            </a:ext>
          </a:extLst>
        </xdr:cNvPr>
        <xdr:cNvSpPr>
          <a:spLocks noChangeShapeType="1"/>
        </xdr:cNvSpPr>
      </xdr:nvSpPr>
      <xdr:spPr bwMode="auto">
        <a:xfrm>
          <a:off x="7688580" y="1722120"/>
          <a:ext cx="0" cy="70104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9</xdr:row>
      <xdr:rowOff>106680</xdr:rowOff>
    </xdr:from>
    <xdr:to>
      <xdr:col>7</xdr:col>
      <xdr:colOff>426720</xdr:colOff>
      <xdr:row>42</xdr:row>
      <xdr:rowOff>91440</xdr:rowOff>
    </xdr:to>
    <xdr:sp macro="" textlink="">
      <xdr:nvSpPr>
        <xdr:cNvPr id="1045" name="Freeform 21">
          <a:extLst>
            <a:ext uri="{FF2B5EF4-FFF2-40B4-BE49-F238E27FC236}">
              <a16:creationId xmlns:a16="http://schemas.microsoft.com/office/drawing/2014/main" id="{388ABE39-93A4-9EAD-00FE-3FEFFF671C7C}"/>
            </a:ext>
          </a:extLst>
        </xdr:cNvPr>
        <xdr:cNvSpPr>
          <a:spLocks/>
        </xdr:cNvSpPr>
      </xdr:nvSpPr>
      <xdr:spPr bwMode="auto">
        <a:xfrm>
          <a:off x="4914900" y="2004060"/>
          <a:ext cx="2773680" cy="5768340"/>
        </a:xfrm>
        <a:custGeom>
          <a:avLst/>
          <a:gdLst>
            <a:gd name="T0" fmla="*/ 0 w 377"/>
            <a:gd name="T1" fmla="*/ 198 h 198"/>
            <a:gd name="T2" fmla="*/ 73 w 377"/>
            <a:gd name="T3" fmla="*/ 198 h 198"/>
            <a:gd name="T4" fmla="*/ 73 w 377"/>
            <a:gd name="T5" fmla="*/ 0 h 198"/>
            <a:gd name="T6" fmla="*/ 377 w 377"/>
            <a:gd name="T7" fmla="*/ 0 h 198"/>
            <a:gd name="T8" fmla="*/ 377 w 377"/>
            <a:gd name="T9" fmla="*/ 9 h 198"/>
          </a:gdLst>
          <a:ahLst/>
          <a:cxnLst>
            <a:cxn ang="0">
              <a:pos x="T0" y="T1"/>
            </a:cxn>
            <a:cxn ang="0">
              <a:pos x="T2" y="T3"/>
            </a:cxn>
            <a:cxn ang="0">
              <a:pos x="T4" y="T5"/>
            </a:cxn>
            <a:cxn ang="0">
              <a:pos x="T6" y="T7"/>
            </a:cxn>
            <a:cxn ang="0">
              <a:pos x="T8" y="T9"/>
            </a:cxn>
          </a:cxnLst>
          <a:rect l="0" t="0" r="r" b="b"/>
          <a:pathLst>
            <a:path w="377" h="198">
              <a:moveTo>
                <a:pt x="0" y="198"/>
              </a:moveTo>
              <a:lnTo>
                <a:pt x="73" y="198"/>
              </a:lnTo>
              <a:lnTo>
                <a:pt x="73" y="0"/>
              </a:lnTo>
              <a:lnTo>
                <a:pt x="377" y="0"/>
              </a:lnTo>
              <a:lnTo>
                <a:pt x="377" y="9"/>
              </a:lnTo>
            </a:path>
          </a:pathLst>
        </a:custGeom>
        <a:noFill/>
        <a:ln w="19050" cmpd="sng">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4</xdr:col>
      <xdr:colOff>342900</xdr:colOff>
      <xdr:row>32</xdr:row>
      <xdr:rowOff>0</xdr:rowOff>
    </xdr:from>
    <xdr:to>
      <xdr:col>4</xdr:col>
      <xdr:colOff>342900</xdr:colOff>
      <xdr:row>32</xdr:row>
      <xdr:rowOff>0</xdr:rowOff>
    </xdr:to>
    <xdr:sp macro="" textlink="">
      <xdr:nvSpPr>
        <xdr:cNvPr id="1062" name="Line 38">
          <a:extLst>
            <a:ext uri="{FF2B5EF4-FFF2-40B4-BE49-F238E27FC236}">
              <a16:creationId xmlns:a16="http://schemas.microsoft.com/office/drawing/2014/main" id="{16DE1109-36E5-BA88-747F-447359FCEE04}"/>
            </a:ext>
          </a:extLst>
        </xdr:cNvPr>
        <xdr:cNvSpPr>
          <a:spLocks noChangeShapeType="1"/>
        </xdr:cNvSpPr>
      </xdr:nvSpPr>
      <xdr:spPr bwMode="auto">
        <a:xfrm>
          <a:off x="4648200" y="592836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106680</xdr:colOff>
      <xdr:row>32</xdr:row>
      <xdr:rowOff>0</xdr:rowOff>
    </xdr:from>
    <xdr:to>
      <xdr:col>4</xdr:col>
      <xdr:colOff>342900</xdr:colOff>
      <xdr:row>32</xdr:row>
      <xdr:rowOff>129540</xdr:rowOff>
    </xdr:to>
    <xdr:grpSp>
      <xdr:nvGrpSpPr>
        <xdr:cNvPr id="1100" name="Group 76">
          <a:extLst>
            <a:ext uri="{FF2B5EF4-FFF2-40B4-BE49-F238E27FC236}">
              <a16:creationId xmlns:a16="http://schemas.microsoft.com/office/drawing/2014/main" id="{1819B787-1AFF-D4DA-E6E4-30015917A2BB}"/>
            </a:ext>
          </a:extLst>
        </xdr:cNvPr>
        <xdr:cNvGrpSpPr>
          <a:grpSpLocks/>
        </xdr:cNvGrpSpPr>
      </xdr:nvGrpSpPr>
      <xdr:grpSpPr bwMode="auto">
        <a:xfrm>
          <a:off x="2580939" y="6042212"/>
          <a:ext cx="2065020" cy="129540"/>
          <a:chOff x="264" y="559"/>
          <a:chExt cx="215" cy="15"/>
        </a:xfrm>
      </xdr:grpSpPr>
      <xdr:sp macro="" textlink="">
        <xdr:nvSpPr>
          <xdr:cNvPr id="1065" name="Line 41">
            <a:extLst>
              <a:ext uri="{FF2B5EF4-FFF2-40B4-BE49-F238E27FC236}">
                <a16:creationId xmlns:a16="http://schemas.microsoft.com/office/drawing/2014/main" id="{6676318D-FDD0-EDC3-5FE3-B1314420AE08}"/>
              </a:ext>
            </a:extLst>
          </xdr:cNvPr>
          <xdr:cNvSpPr>
            <a:spLocks noChangeShapeType="1"/>
          </xdr:cNvSpPr>
        </xdr:nvSpPr>
        <xdr:spPr bwMode="auto">
          <a:xfrm>
            <a:off x="478" y="559"/>
            <a:ext cx="0" cy="1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66" name="Line 42">
            <a:extLst>
              <a:ext uri="{FF2B5EF4-FFF2-40B4-BE49-F238E27FC236}">
                <a16:creationId xmlns:a16="http://schemas.microsoft.com/office/drawing/2014/main" id="{1E9FFA26-322F-7A29-C010-F8C215D97491}"/>
              </a:ext>
            </a:extLst>
          </xdr:cNvPr>
          <xdr:cNvSpPr>
            <a:spLocks noChangeShapeType="1"/>
          </xdr:cNvSpPr>
        </xdr:nvSpPr>
        <xdr:spPr bwMode="auto">
          <a:xfrm flipH="1" flipV="1">
            <a:off x="264" y="572"/>
            <a:ext cx="215" cy="1"/>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0</xdr:colOff>
      <xdr:row>39</xdr:row>
      <xdr:rowOff>106680</xdr:rowOff>
    </xdr:from>
    <xdr:to>
      <xdr:col>3</xdr:col>
      <xdr:colOff>0</xdr:colOff>
      <xdr:row>39</xdr:row>
      <xdr:rowOff>106680</xdr:rowOff>
    </xdr:to>
    <xdr:sp macro="" textlink="">
      <xdr:nvSpPr>
        <xdr:cNvPr id="1085" name="Line 61">
          <a:extLst>
            <a:ext uri="{FF2B5EF4-FFF2-40B4-BE49-F238E27FC236}">
              <a16:creationId xmlns:a16="http://schemas.microsoft.com/office/drawing/2014/main" id="{610E4466-B338-6D05-1151-9F2B59E03C3B}"/>
            </a:ext>
          </a:extLst>
        </xdr:cNvPr>
        <xdr:cNvSpPr>
          <a:spLocks noChangeShapeType="1"/>
        </xdr:cNvSpPr>
      </xdr:nvSpPr>
      <xdr:spPr bwMode="auto">
        <a:xfrm>
          <a:off x="2476500" y="726186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502920</xdr:colOff>
      <xdr:row>32</xdr:row>
      <xdr:rowOff>68580</xdr:rowOff>
    </xdr:from>
    <xdr:to>
      <xdr:col>3</xdr:col>
      <xdr:colOff>114300</xdr:colOff>
      <xdr:row>36</xdr:row>
      <xdr:rowOff>91440</xdr:rowOff>
    </xdr:to>
    <xdr:grpSp>
      <xdr:nvGrpSpPr>
        <xdr:cNvPr id="1090" name="Group 66">
          <a:extLst>
            <a:ext uri="{FF2B5EF4-FFF2-40B4-BE49-F238E27FC236}">
              <a16:creationId xmlns:a16="http://schemas.microsoft.com/office/drawing/2014/main" id="{873B6C0B-778E-4E64-785E-A5EB3919F923}"/>
            </a:ext>
          </a:extLst>
        </xdr:cNvPr>
        <xdr:cNvGrpSpPr>
          <a:grpSpLocks/>
        </xdr:cNvGrpSpPr>
      </xdr:nvGrpSpPr>
      <xdr:grpSpPr bwMode="auto">
        <a:xfrm>
          <a:off x="2466191" y="6110792"/>
          <a:ext cx="122368" cy="740036"/>
          <a:chOff x="252" y="568"/>
          <a:chExt cx="13" cy="56"/>
        </a:xfrm>
      </xdr:grpSpPr>
      <xdr:sp macro="" textlink="">
        <xdr:nvSpPr>
          <xdr:cNvPr id="1079" name="Line 55">
            <a:extLst>
              <a:ext uri="{FF2B5EF4-FFF2-40B4-BE49-F238E27FC236}">
                <a16:creationId xmlns:a16="http://schemas.microsoft.com/office/drawing/2014/main" id="{131374DB-CEA2-BE76-4860-C954894C7CCA}"/>
              </a:ext>
            </a:extLst>
          </xdr:cNvPr>
          <xdr:cNvSpPr>
            <a:spLocks noChangeShapeType="1"/>
          </xdr:cNvSpPr>
        </xdr:nvSpPr>
        <xdr:spPr bwMode="auto">
          <a:xfrm flipV="1">
            <a:off x="253" y="569"/>
            <a:ext cx="11"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80" name="Line 56">
            <a:extLst>
              <a:ext uri="{FF2B5EF4-FFF2-40B4-BE49-F238E27FC236}">
                <a16:creationId xmlns:a16="http://schemas.microsoft.com/office/drawing/2014/main" id="{A0CE4159-671D-41A1-76D1-E044A764E989}"/>
              </a:ext>
            </a:extLst>
          </xdr:cNvPr>
          <xdr:cNvSpPr>
            <a:spLocks noChangeShapeType="1"/>
          </xdr:cNvSpPr>
        </xdr:nvSpPr>
        <xdr:spPr bwMode="auto">
          <a:xfrm flipV="1">
            <a:off x="253" y="587"/>
            <a:ext cx="11"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81" name="Line 57">
            <a:extLst>
              <a:ext uri="{FF2B5EF4-FFF2-40B4-BE49-F238E27FC236}">
                <a16:creationId xmlns:a16="http://schemas.microsoft.com/office/drawing/2014/main" id="{472C86DA-4907-9DB1-F76F-F115D81E08B3}"/>
              </a:ext>
            </a:extLst>
          </xdr:cNvPr>
          <xdr:cNvSpPr>
            <a:spLocks noChangeShapeType="1"/>
          </xdr:cNvSpPr>
        </xdr:nvSpPr>
        <xdr:spPr bwMode="auto">
          <a:xfrm>
            <a:off x="252" y="605"/>
            <a:ext cx="13"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82" name="Line 58">
            <a:extLst>
              <a:ext uri="{FF2B5EF4-FFF2-40B4-BE49-F238E27FC236}">
                <a16:creationId xmlns:a16="http://schemas.microsoft.com/office/drawing/2014/main" id="{7774336A-83BC-8F6F-617C-AD3E35055F2B}"/>
              </a:ext>
            </a:extLst>
          </xdr:cNvPr>
          <xdr:cNvSpPr>
            <a:spLocks noChangeShapeType="1"/>
          </xdr:cNvSpPr>
        </xdr:nvSpPr>
        <xdr:spPr bwMode="auto">
          <a:xfrm flipH="1">
            <a:off x="264" y="568"/>
            <a:ext cx="1" cy="56"/>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89" name="Line 65">
            <a:extLst>
              <a:ext uri="{FF2B5EF4-FFF2-40B4-BE49-F238E27FC236}">
                <a16:creationId xmlns:a16="http://schemas.microsoft.com/office/drawing/2014/main" id="{24059016-7B98-C271-6A34-E3E5BD91C1B9}"/>
              </a:ext>
            </a:extLst>
          </xdr:cNvPr>
          <xdr:cNvSpPr>
            <a:spLocks noChangeShapeType="1"/>
          </xdr:cNvSpPr>
        </xdr:nvSpPr>
        <xdr:spPr bwMode="auto">
          <a:xfrm flipV="1">
            <a:off x="252" y="623"/>
            <a:ext cx="13"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0</xdr:colOff>
      <xdr:row>37</xdr:row>
      <xdr:rowOff>7620</xdr:rowOff>
    </xdr:from>
    <xdr:to>
      <xdr:col>4</xdr:col>
      <xdr:colOff>335280</xdr:colOff>
      <xdr:row>39</xdr:row>
      <xdr:rowOff>91440</xdr:rowOff>
    </xdr:to>
    <xdr:grpSp>
      <xdr:nvGrpSpPr>
        <xdr:cNvPr id="1188" name="Group 164">
          <a:extLst>
            <a:ext uri="{FF2B5EF4-FFF2-40B4-BE49-F238E27FC236}">
              <a16:creationId xmlns:a16="http://schemas.microsoft.com/office/drawing/2014/main" id="{DB95DBD0-C43F-6F06-C179-4B0628C5CA20}"/>
            </a:ext>
          </a:extLst>
        </xdr:cNvPr>
        <xdr:cNvGrpSpPr>
          <a:grpSpLocks/>
        </xdr:cNvGrpSpPr>
      </xdr:nvGrpSpPr>
      <xdr:grpSpPr bwMode="auto">
        <a:xfrm>
          <a:off x="2474259" y="6946302"/>
          <a:ext cx="2164080" cy="442409"/>
          <a:chOff x="253" y="667"/>
          <a:chExt cx="222" cy="44"/>
        </a:xfrm>
      </xdr:grpSpPr>
      <xdr:grpSp>
        <xdr:nvGrpSpPr>
          <xdr:cNvPr id="1109" name="Group 85">
            <a:extLst>
              <a:ext uri="{FF2B5EF4-FFF2-40B4-BE49-F238E27FC236}">
                <a16:creationId xmlns:a16="http://schemas.microsoft.com/office/drawing/2014/main" id="{495B4380-014D-163E-F0E2-C5E48D215D6D}"/>
              </a:ext>
            </a:extLst>
          </xdr:cNvPr>
          <xdr:cNvGrpSpPr>
            <a:grpSpLocks/>
          </xdr:cNvGrpSpPr>
        </xdr:nvGrpSpPr>
        <xdr:grpSpPr bwMode="auto">
          <a:xfrm>
            <a:off x="253" y="693"/>
            <a:ext cx="13" cy="18"/>
            <a:chOff x="301" y="720"/>
            <a:chExt cx="13" cy="18"/>
          </a:xfrm>
        </xdr:grpSpPr>
        <xdr:sp macro="" textlink="">
          <xdr:nvSpPr>
            <xdr:cNvPr id="1084" name="Line 60">
              <a:extLst>
                <a:ext uri="{FF2B5EF4-FFF2-40B4-BE49-F238E27FC236}">
                  <a16:creationId xmlns:a16="http://schemas.microsoft.com/office/drawing/2014/main" id="{F1304971-C486-2C23-FD89-2EB8EBC0E0BB}"/>
                </a:ext>
              </a:extLst>
            </xdr:cNvPr>
            <xdr:cNvSpPr>
              <a:spLocks noChangeShapeType="1"/>
            </xdr:cNvSpPr>
          </xdr:nvSpPr>
          <xdr:spPr bwMode="auto">
            <a:xfrm flipV="1">
              <a:off x="301" y="720"/>
              <a:ext cx="12"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86" name="Line 62">
              <a:extLst>
                <a:ext uri="{FF2B5EF4-FFF2-40B4-BE49-F238E27FC236}">
                  <a16:creationId xmlns:a16="http://schemas.microsoft.com/office/drawing/2014/main" id="{2BFC323A-17E2-3714-028B-50350F0BA0C1}"/>
                </a:ext>
              </a:extLst>
            </xdr:cNvPr>
            <xdr:cNvSpPr>
              <a:spLocks noChangeShapeType="1"/>
            </xdr:cNvSpPr>
          </xdr:nvSpPr>
          <xdr:spPr bwMode="auto">
            <a:xfrm flipV="1">
              <a:off x="302" y="738"/>
              <a:ext cx="12"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87" name="Line 63">
              <a:extLst>
                <a:ext uri="{FF2B5EF4-FFF2-40B4-BE49-F238E27FC236}">
                  <a16:creationId xmlns:a16="http://schemas.microsoft.com/office/drawing/2014/main" id="{88D28BF9-30E6-BB3C-45C3-E02702E6B0E9}"/>
                </a:ext>
              </a:extLst>
            </xdr:cNvPr>
            <xdr:cNvSpPr>
              <a:spLocks noChangeShapeType="1"/>
            </xdr:cNvSpPr>
          </xdr:nvSpPr>
          <xdr:spPr bwMode="auto">
            <a:xfrm>
              <a:off x="313" y="720"/>
              <a:ext cx="0" cy="17"/>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sp macro="" textlink="">
        <xdr:nvSpPr>
          <xdr:cNvPr id="1096" name="Line 72">
            <a:extLst>
              <a:ext uri="{FF2B5EF4-FFF2-40B4-BE49-F238E27FC236}">
                <a16:creationId xmlns:a16="http://schemas.microsoft.com/office/drawing/2014/main" id="{25CEE60A-722D-0EDE-CFB6-6FCD5002376E}"/>
              </a:ext>
            </a:extLst>
          </xdr:cNvPr>
          <xdr:cNvSpPr>
            <a:spLocks noChangeShapeType="1"/>
          </xdr:cNvSpPr>
        </xdr:nvSpPr>
        <xdr:spPr bwMode="auto">
          <a:xfrm>
            <a:off x="475" y="667"/>
            <a:ext cx="0" cy="33"/>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97" name="Line 73">
            <a:extLst>
              <a:ext uri="{FF2B5EF4-FFF2-40B4-BE49-F238E27FC236}">
                <a16:creationId xmlns:a16="http://schemas.microsoft.com/office/drawing/2014/main" id="{240852CC-6724-7A2E-5C40-8DBBE0621FB6}"/>
              </a:ext>
            </a:extLst>
          </xdr:cNvPr>
          <xdr:cNvSpPr>
            <a:spLocks noChangeShapeType="1"/>
          </xdr:cNvSpPr>
        </xdr:nvSpPr>
        <xdr:spPr bwMode="auto">
          <a:xfrm flipH="1">
            <a:off x="264" y="700"/>
            <a:ext cx="211" cy="1"/>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clientData/>
  </xdr:twoCellAnchor>
  <xdr:twoCellAnchor>
    <xdr:from>
      <xdr:col>5</xdr:col>
      <xdr:colOff>0</xdr:colOff>
      <xdr:row>34</xdr:row>
      <xdr:rowOff>106680</xdr:rowOff>
    </xdr:from>
    <xdr:to>
      <xdr:col>5</xdr:col>
      <xdr:colOff>236220</xdr:colOff>
      <xdr:row>41</xdr:row>
      <xdr:rowOff>106680</xdr:rowOff>
    </xdr:to>
    <xdr:sp macro="" textlink="">
      <xdr:nvSpPr>
        <xdr:cNvPr id="1102" name="Freeform 78">
          <a:extLst>
            <a:ext uri="{FF2B5EF4-FFF2-40B4-BE49-F238E27FC236}">
              <a16:creationId xmlns:a16="http://schemas.microsoft.com/office/drawing/2014/main" id="{4B1DFF09-F444-9461-30B9-37AABEAACA52}"/>
            </a:ext>
          </a:extLst>
        </xdr:cNvPr>
        <xdr:cNvSpPr>
          <a:spLocks/>
        </xdr:cNvSpPr>
      </xdr:nvSpPr>
      <xdr:spPr bwMode="auto">
        <a:xfrm>
          <a:off x="4914900" y="6385560"/>
          <a:ext cx="236220" cy="1226820"/>
        </a:xfrm>
        <a:custGeom>
          <a:avLst/>
          <a:gdLst>
            <a:gd name="T0" fmla="*/ 1 w 26"/>
            <a:gd name="T1" fmla="*/ 62 h 62"/>
            <a:gd name="T2" fmla="*/ 26 w 26"/>
            <a:gd name="T3" fmla="*/ 62 h 62"/>
            <a:gd name="T4" fmla="*/ 26 w 26"/>
            <a:gd name="T5" fmla="*/ 0 h 62"/>
            <a:gd name="T6" fmla="*/ 0 w 26"/>
            <a:gd name="T7" fmla="*/ 0 h 62"/>
          </a:gdLst>
          <a:ahLst/>
          <a:cxnLst>
            <a:cxn ang="0">
              <a:pos x="T0" y="T1"/>
            </a:cxn>
            <a:cxn ang="0">
              <a:pos x="T2" y="T3"/>
            </a:cxn>
            <a:cxn ang="0">
              <a:pos x="T4" y="T5"/>
            </a:cxn>
            <a:cxn ang="0">
              <a:pos x="T6" y="T7"/>
            </a:cxn>
          </a:cxnLst>
          <a:rect l="0" t="0" r="r" b="b"/>
          <a:pathLst>
            <a:path w="26" h="62">
              <a:moveTo>
                <a:pt x="1" y="62"/>
              </a:moveTo>
              <a:lnTo>
                <a:pt x="26" y="62"/>
              </a:lnTo>
              <a:lnTo>
                <a:pt x="26" y="0"/>
              </a:lnTo>
              <a:lnTo>
                <a:pt x="0" y="0"/>
              </a:lnTo>
            </a:path>
          </a:pathLst>
        </a:custGeom>
        <a:noFill/>
        <a:ln w="19050" cmpd="sng">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5</xdr:col>
      <xdr:colOff>0</xdr:colOff>
      <xdr:row>36</xdr:row>
      <xdr:rowOff>76200</xdr:rowOff>
    </xdr:from>
    <xdr:to>
      <xdr:col>5</xdr:col>
      <xdr:colOff>213360</xdr:colOff>
      <xdr:row>36</xdr:row>
      <xdr:rowOff>76200</xdr:rowOff>
    </xdr:to>
    <xdr:sp macro="" textlink="">
      <xdr:nvSpPr>
        <xdr:cNvPr id="1103" name="Line 79">
          <a:extLst>
            <a:ext uri="{FF2B5EF4-FFF2-40B4-BE49-F238E27FC236}">
              <a16:creationId xmlns:a16="http://schemas.microsoft.com/office/drawing/2014/main" id="{1E0F156D-6555-FCA4-1D83-3C7D6036B53C}"/>
            </a:ext>
          </a:extLst>
        </xdr:cNvPr>
        <xdr:cNvSpPr>
          <a:spLocks noChangeShapeType="1"/>
        </xdr:cNvSpPr>
      </xdr:nvSpPr>
      <xdr:spPr bwMode="auto">
        <a:xfrm flipV="1">
          <a:off x="4914900" y="6705600"/>
          <a:ext cx="21336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27</xdr:row>
      <xdr:rowOff>7620</xdr:rowOff>
    </xdr:from>
    <xdr:to>
      <xdr:col>4</xdr:col>
      <xdr:colOff>381000</xdr:colOff>
      <xdr:row>29</xdr:row>
      <xdr:rowOff>76200</xdr:rowOff>
    </xdr:to>
    <xdr:grpSp>
      <xdr:nvGrpSpPr>
        <xdr:cNvPr id="1168" name="Group 144">
          <a:extLst>
            <a:ext uri="{FF2B5EF4-FFF2-40B4-BE49-F238E27FC236}">
              <a16:creationId xmlns:a16="http://schemas.microsoft.com/office/drawing/2014/main" id="{289851DB-E9E4-B549-7670-A8DDA0BF2477}"/>
            </a:ext>
          </a:extLst>
        </xdr:cNvPr>
        <xdr:cNvGrpSpPr>
          <a:grpSpLocks/>
        </xdr:cNvGrpSpPr>
      </xdr:nvGrpSpPr>
      <xdr:grpSpPr bwMode="auto">
        <a:xfrm>
          <a:off x="2474259" y="5153361"/>
          <a:ext cx="2209800" cy="427168"/>
          <a:chOff x="253" y="472"/>
          <a:chExt cx="227" cy="43"/>
        </a:xfrm>
      </xdr:grpSpPr>
      <xdr:grpSp>
        <xdr:nvGrpSpPr>
          <xdr:cNvPr id="1077" name="Group 53">
            <a:extLst>
              <a:ext uri="{FF2B5EF4-FFF2-40B4-BE49-F238E27FC236}">
                <a16:creationId xmlns:a16="http://schemas.microsoft.com/office/drawing/2014/main" id="{6FCA75F6-8FAE-00D9-4E15-D8E9EE4FB186}"/>
              </a:ext>
            </a:extLst>
          </xdr:cNvPr>
          <xdr:cNvGrpSpPr>
            <a:grpSpLocks/>
          </xdr:cNvGrpSpPr>
        </xdr:nvGrpSpPr>
        <xdr:grpSpPr bwMode="auto">
          <a:xfrm>
            <a:off x="253" y="478"/>
            <a:ext cx="13" cy="37"/>
            <a:chOff x="268" y="478"/>
            <a:chExt cx="13" cy="37"/>
          </a:xfrm>
        </xdr:grpSpPr>
        <xdr:sp macro="" textlink="">
          <xdr:nvSpPr>
            <xdr:cNvPr id="1068" name="Line 44">
              <a:extLst>
                <a:ext uri="{FF2B5EF4-FFF2-40B4-BE49-F238E27FC236}">
                  <a16:creationId xmlns:a16="http://schemas.microsoft.com/office/drawing/2014/main" id="{A3ED3CD2-57B4-6A79-5434-B6ACC558778A}"/>
                </a:ext>
              </a:extLst>
            </xdr:cNvPr>
            <xdr:cNvSpPr>
              <a:spLocks noChangeShapeType="1"/>
            </xdr:cNvSpPr>
          </xdr:nvSpPr>
          <xdr:spPr bwMode="auto">
            <a:xfrm flipV="1">
              <a:off x="269" y="479"/>
              <a:ext cx="11"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73" name="Line 49">
              <a:extLst>
                <a:ext uri="{FF2B5EF4-FFF2-40B4-BE49-F238E27FC236}">
                  <a16:creationId xmlns:a16="http://schemas.microsoft.com/office/drawing/2014/main" id="{2EB6B416-E828-DB8C-BFF3-8A520AC9A257}"/>
                </a:ext>
              </a:extLst>
            </xdr:cNvPr>
            <xdr:cNvSpPr>
              <a:spLocks noChangeShapeType="1"/>
            </xdr:cNvSpPr>
          </xdr:nvSpPr>
          <xdr:spPr bwMode="auto">
            <a:xfrm flipV="1">
              <a:off x="269" y="497"/>
              <a:ext cx="11"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75" name="Line 51">
              <a:extLst>
                <a:ext uri="{FF2B5EF4-FFF2-40B4-BE49-F238E27FC236}">
                  <a16:creationId xmlns:a16="http://schemas.microsoft.com/office/drawing/2014/main" id="{92C9D89E-60A9-9CB9-5D4C-13602E38D269}"/>
                </a:ext>
              </a:extLst>
            </xdr:cNvPr>
            <xdr:cNvSpPr>
              <a:spLocks noChangeShapeType="1"/>
            </xdr:cNvSpPr>
          </xdr:nvSpPr>
          <xdr:spPr bwMode="auto">
            <a:xfrm>
              <a:off x="268" y="515"/>
              <a:ext cx="13"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76" name="Line 52">
              <a:extLst>
                <a:ext uri="{FF2B5EF4-FFF2-40B4-BE49-F238E27FC236}">
                  <a16:creationId xmlns:a16="http://schemas.microsoft.com/office/drawing/2014/main" id="{06896930-A929-7AA0-B62F-D321748D8E96}"/>
                </a:ext>
              </a:extLst>
            </xdr:cNvPr>
            <xdr:cNvSpPr>
              <a:spLocks noChangeShapeType="1"/>
            </xdr:cNvSpPr>
          </xdr:nvSpPr>
          <xdr:spPr bwMode="auto">
            <a:xfrm>
              <a:off x="281" y="478"/>
              <a:ext cx="0" cy="37"/>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104" name="Group 80">
            <a:extLst>
              <a:ext uri="{FF2B5EF4-FFF2-40B4-BE49-F238E27FC236}">
                <a16:creationId xmlns:a16="http://schemas.microsoft.com/office/drawing/2014/main" id="{FA4BE81B-EDED-1F24-B768-D6137E883A63}"/>
              </a:ext>
            </a:extLst>
          </xdr:cNvPr>
          <xdr:cNvGrpSpPr>
            <a:grpSpLocks/>
          </xdr:cNvGrpSpPr>
        </xdr:nvGrpSpPr>
        <xdr:grpSpPr bwMode="auto">
          <a:xfrm>
            <a:off x="265" y="472"/>
            <a:ext cx="215" cy="15"/>
            <a:chOff x="264" y="559"/>
            <a:chExt cx="215" cy="15"/>
          </a:xfrm>
        </xdr:grpSpPr>
        <xdr:sp macro="" textlink="">
          <xdr:nvSpPr>
            <xdr:cNvPr id="1105" name="Line 81">
              <a:extLst>
                <a:ext uri="{FF2B5EF4-FFF2-40B4-BE49-F238E27FC236}">
                  <a16:creationId xmlns:a16="http://schemas.microsoft.com/office/drawing/2014/main" id="{AA85122C-180A-E320-8BA3-D321165C76C9}"/>
                </a:ext>
              </a:extLst>
            </xdr:cNvPr>
            <xdr:cNvSpPr>
              <a:spLocks noChangeShapeType="1"/>
            </xdr:cNvSpPr>
          </xdr:nvSpPr>
          <xdr:spPr bwMode="auto">
            <a:xfrm>
              <a:off x="478" y="559"/>
              <a:ext cx="0" cy="1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106" name="Line 82">
              <a:extLst>
                <a:ext uri="{FF2B5EF4-FFF2-40B4-BE49-F238E27FC236}">
                  <a16:creationId xmlns:a16="http://schemas.microsoft.com/office/drawing/2014/main" id="{82D2CED0-DB2B-5494-9E1E-284B2006D650}"/>
                </a:ext>
              </a:extLst>
            </xdr:cNvPr>
            <xdr:cNvSpPr>
              <a:spLocks noChangeShapeType="1"/>
            </xdr:cNvSpPr>
          </xdr:nvSpPr>
          <xdr:spPr bwMode="auto">
            <a:xfrm flipH="1" flipV="1">
              <a:off x="264" y="572"/>
              <a:ext cx="215" cy="1"/>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clientData/>
  </xdr:twoCellAnchor>
  <xdr:twoCellAnchor>
    <xdr:from>
      <xdr:col>7</xdr:col>
      <xdr:colOff>723900</xdr:colOff>
      <xdr:row>24</xdr:row>
      <xdr:rowOff>68580</xdr:rowOff>
    </xdr:from>
    <xdr:to>
      <xdr:col>8</xdr:col>
      <xdr:colOff>144780</xdr:colOff>
      <xdr:row>25</xdr:row>
      <xdr:rowOff>68580</xdr:rowOff>
    </xdr:to>
    <xdr:grpSp>
      <xdr:nvGrpSpPr>
        <xdr:cNvPr id="1118" name="Group 94">
          <a:extLst>
            <a:ext uri="{FF2B5EF4-FFF2-40B4-BE49-F238E27FC236}">
              <a16:creationId xmlns:a16="http://schemas.microsoft.com/office/drawing/2014/main" id="{ABCB6350-286C-D0AF-B8D5-DE4FA17E9005}"/>
            </a:ext>
          </a:extLst>
        </xdr:cNvPr>
        <xdr:cNvGrpSpPr>
          <a:grpSpLocks/>
        </xdr:cNvGrpSpPr>
      </xdr:nvGrpSpPr>
      <xdr:grpSpPr bwMode="auto">
        <a:xfrm>
          <a:off x="7985312" y="4676439"/>
          <a:ext cx="155986" cy="179294"/>
          <a:chOff x="301" y="720"/>
          <a:chExt cx="13" cy="18"/>
        </a:xfrm>
      </xdr:grpSpPr>
      <xdr:sp macro="" textlink="">
        <xdr:nvSpPr>
          <xdr:cNvPr id="1119" name="Line 95">
            <a:extLst>
              <a:ext uri="{FF2B5EF4-FFF2-40B4-BE49-F238E27FC236}">
                <a16:creationId xmlns:a16="http://schemas.microsoft.com/office/drawing/2014/main" id="{B86E8A39-9E3B-2A35-3E09-BCB6585AC398}"/>
              </a:ext>
            </a:extLst>
          </xdr:cNvPr>
          <xdr:cNvSpPr>
            <a:spLocks noChangeShapeType="1"/>
          </xdr:cNvSpPr>
        </xdr:nvSpPr>
        <xdr:spPr bwMode="auto">
          <a:xfrm flipV="1">
            <a:off x="301" y="720"/>
            <a:ext cx="12"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120" name="Line 96">
            <a:extLst>
              <a:ext uri="{FF2B5EF4-FFF2-40B4-BE49-F238E27FC236}">
                <a16:creationId xmlns:a16="http://schemas.microsoft.com/office/drawing/2014/main" id="{575CF0A5-D63C-4C12-8C31-7BA9FA7A531D}"/>
              </a:ext>
            </a:extLst>
          </xdr:cNvPr>
          <xdr:cNvSpPr>
            <a:spLocks noChangeShapeType="1"/>
          </xdr:cNvSpPr>
        </xdr:nvSpPr>
        <xdr:spPr bwMode="auto">
          <a:xfrm flipV="1">
            <a:off x="302" y="738"/>
            <a:ext cx="12"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121" name="Line 97">
            <a:extLst>
              <a:ext uri="{FF2B5EF4-FFF2-40B4-BE49-F238E27FC236}">
                <a16:creationId xmlns:a16="http://schemas.microsoft.com/office/drawing/2014/main" id="{85C2FBA4-963B-EB78-677B-A20921E7692A}"/>
              </a:ext>
            </a:extLst>
          </xdr:cNvPr>
          <xdr:cNvSpPr>
            <a:spLocks noChangeShapeType="1"/>
          </xdr:cNvSpPr>
        </xdr:nvSpPr>
        <xdr:spPr bwMode="auto">
          <a:xfrm>
            <a:off x="313" y="720"/>
            <a:ext cx="0" cy="17"/>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clientData/>
  </xdr:twoCellAnchor>
  <xdr:twoCellAnchor>
    <xdr:from>
      <xdr:col>8</xdr:col>
      <xdr:colOff>0</xdr:colOff>
      <xdr:row>27</xdr:row>
      <xdr:rowOff>68580</xdr:rowOff>
    </xdr:from>
    <xdr:to>
      <xdr:col>8</xdr:col>
      <xdr:colOff>160020</xdr:colOff>
      <xdr:row>28</xdr:row>
      <xdr:rowOff>68580</xdr:rowOff>
    </xdr:to>
    <xdr:grpSp>
      <xdr:nvGrpSpPr>
        <xdr:cNvPr id="1122" name="Group 98">
          <a:extLst>
            <a:ext uri="{FF2B5EF4-FFF2-40B4-BE49-F238E27FC236}">
              <a16:creationId xmlns:a16="http://schemas.microsoft.com/office/drawing/2014/main" id="{D8245F8C-87B0-B1FD-8A25-1E03460E0A91}"/>
            </a:ext>
          </a:extLst>
        </xdr:cNvPr>
        <xdr:cNvGrpSpPr>
          <a:grpSpLocks/>
        </xdr:cNvGrpSpPr>
      </xdr:nvGrpSpPr>
      <xdr:grpSpPr bwMode="auto">
        <a:xfrm>
          <a:off x="7996518" y="5214321"/>
          <a:ext cx="160020" cy="179294"/>
          <a:chOff x="301" y="720"/>
          <a:chExt cx="13" cy="18"/>
        </a:xfrm>
      </xdr:grpSpPr>
      <xdr:sp macro="" textlink="">
        <xdr:nvSpPr>
          <xdr:cNvPr id="1123" name="Line 99">
            <a:extLst>
              <a:ext uri="{FF2B5EF4-FFF2-40B4-BE49-F238E27FC236}">
                <a16:creationId xmlns:a16="http://schemas.microsoft.com/office/drawing/2014/main" id="{E248BAD1-0EC0-0053-47FF-97DDB5985830}"/>
              </a:ext>
            </a:extLst>
          </xdr:cNvPr>
          <xdr:cNvSpPr>
            <a:spLocks noChangeShapeType="1"/>
          </xdr:cNvSpPr>
        </xdr:nvSpPr>
        <xdr:spPr bwMode="auto">
          <a:xfrm flipV="1">
            <a:off x="301" y="720"/>
            <a:ext cx="12"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124" name="Line 100">
            <a:extLst>
              <a:ext uri="{FF2B5EF4-FFF2-40B4-BE49-F238E27FC236}">
                <a16:creationId xmlns:a16="http://schemas.microsoft.com/office/drawing/2014/main" id="{79FA5971-93F7-0A6A-84D4-9F4459785C27}"/>
              </a:ext>
            </a:extLst>
          </xdr:cNvPr>
          <xdr:cNvSpPr>
            <a:spLocks noChangeShapeType="1"/>
          </xdr:cNvSpPr>
        </xdr:nvSpPr>
        <xdr:spPr bwMode="auto">
          <a:xfrm flipV="1">
            <a:off x="302" y="738"/>
            <a:ext cx="12"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125" name="Line 101">
            <a:extLst>
              <a:ext uri="{FF2B5EF4-FFF2-40B4-BE49-F238E27FC236}">
                <a16:creationId xmlns:a16="http://schemas.microsoft.com/office/drawing/2014/main" id="{3EDB0EB8-A265-8058-A77D-73E683D370E0}"/>
              </a:ext>
            </a:extLst>
          </xdr:cNvPr>
          <xdr:cNvSpPr>
            <a:spLocks noChangeShapeType="1"/>
          </xdr:cNvSpPr>
        </xdr:nvSpPr>
        <xdr:spPr bwMode="auto">
          <a:xfrm>
            <a:off x="313" y="720"/>
            <a:ext cx="0" cy="17"/>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clientData/>
  </xdr:twoCellAnchor>
  <xdr:twoCellAnchor>
    <xdr:from>
      <xdr:col>2</xdr:col>
      <xdr:colOff>502920</xdr:colOff>
      <xdr:row>23</xdr:row>
      <xdr:rowOff>0</xdr:rowOff>
    </xdr:from>
    <xdr:to>
      <xdr:col>4</xdr:col>
      <xdr:colOff>365760</xdr:colOff>
      <xdr:row>24</xdr:row>
      <xdr:rowOff>99060</xdr:rowOff>
    </xdr:to>
    <xdr:grpSp>
      <xdr:nvGrpSpPr>
        <xdr:cNvPr id="1128" name="Group 104">
          <a:extLst>
            <a:ext uri="{FF2B5EF4-FFF2-40B4-BE49-F238E27FC236}">
              <a16:creationId xmlns:a16="http://schemas.microsoft.com/office/drawing/2014/main" id="{235C4E23-2B48-4EDC-27F0-0CF21548443B}"/>
            </a:ext>
          </a:extLst>
        </xdr:cNvPr>
        <xdr:cNvGrpSpPr>
          <a:grpSpLocks/>
        </xdr:cNvGrpSpPr>
      </xdr:nvGrpSpPr>
      <xdr:grpSpPr bwMode="auto">
        <a:xfrm>
          <a:off x="2466191" y="4428565"/>
          <a:ext cx="2202628" cy="278354"/>
          <a:chOff x="252" y="652"/>
          <a:chExt cx="223" cy="28"/>
        </a:xfrm>
      </xdr:grpSpPr>
      <xdr:grpSp>
        <xdr:nvGrpSpPr>
          <xdr:cNvPr id="1129" name="Group 105">
            <a:extLst>
              <a:ext uri="{FF2B5EF4-FFF2-40B4-BE49-F238E27FC236}">
                <a16:creationId xmlns:a16="http://schemas.microsoft.com/office/drawing/2014/main" id="{CF5D5B34-E84A-0C87-AB6D-65CDE13DBF05}"/>
              </a:ext>
            </a:extLst>
          </xdr:cNvPr>
          <xdr:cNvGrpSpPr>
            <a:grpSpLocks/>
          </xdr:cNvGrpSpPr>
        </xdr:nvGrpSpPr>
        <xdr:grpSpPr bwMode="auto">
          <a:xfrm>
            <a:off x="252" y="662"/>
            <a:ext cx="13" cy="18"/>
            <a:chOff x="301" y="720"/>
            <a:chExt cx="13" cy="18"/>
          </a:xfrm>
        </xdr:grpSpPr>
        <xdr:sp macro="" textlink="">
          <xdr:nvSpPr>
            <xdr:cNvPr id="1130" name="Line 106">
              <a:extLst>
                <a:ext uri="{FF2B5EF4-FFF2-40B4-BE49-F238E27FC236}">
                  <a16:creationId xmlns:a16="http://schemas.microsoft.com/office/drawing/2014/main" id="{3A0CF14C-D020-2477-28EE-A82BB7669B5D}"/>
                </a:ext>
              </a:extLst>
            </xdr:cNvPr>
            <xdr:cNvSpPr>
              <a:spLocks noChangeShapeType="1"/>
            </xdr:cNvSpPr>
          </xdr:nvSpPr>
          <xdr:spPr bwMode="auto">
            <a:xfrm flipV="1">
              <a:off x="301" y="720"/>
              <a:ext cx="12"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131" name="Line 107">
              <a:extLst>
                <a:ext uri="{FF2B5EF4-FFF2-40B4-BE49-F238E27FC236}">
                  <a16:creationId xmlns:a16="http://schemas.microsoft.com/office/drawing/2014/main" id="{B57DDB77-3D24-235E-F36C-E772F247A6EB}"/>
                </a:ext>
              </a:extLst>
            </xdr:cNvPr>
            <xdr:cNvSpPr>
              <a:spLocks noChangeShapeType="1"/>
            </xdr:cNvSpPr>
          </xdr:nvSpPr>
          <xdr:spPr bwMode="auto">
            <a:xfrm flipV="1">
              <a:off x="302" y="738"/>
              <a:ext cx="12"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132" name="Line 108">
              <a:extLst>
                <a:ext uri="{FF2B5EF4-FFF2-40B4-BE49-F238E27FC236}">
                  <a16:creationId xmlns:a16="http://schemas.microsoft.com/office/drawing/2014/main" id="{A8FA1279-5C7F-75F3-3507-C8DC192C3B59}"/>
                </a:ext>
              </a:extLst>
            </xdr:cNvPr>
            <xdr:cNvSpPr>
              <a:spLocks noChangeShapeType="1"/>
            </xdr:cNvSpPr>
          </xdr:nvSpPr>
          <xdr:spPr bwMode="auto">
            <a:xfrm>
              <a:off x="313" y="720"/>
              <a:ext cx="0" cy="17"/>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sp macro="" textlink="">
        <xdr:nvSpPr>
          <xdr:cNvPr id="1133" name="Line 109">
            <a:extLst>
              <a:ext uri="{FF2B5EF4-FFF2-40B4-BE49-F238E27FC236}">
                <a16:creationId xmlns:a16="http://schemas.microsoft.com/office/drawing/2014/main" id="{56541BB9-C0B5-FFCE-FB29-B59C3A8A9A46}"/>
              </a:ext>
            </a:extLst>
          </xdr:cNvPr>
          <xdr:cNvSpPr>
            <a:spLocks noChangeShapeType="1"/>
          </xdr:cNvSpPr>
        </xdr:nvSpPr>
        <xdr:spPr bwMode="auto">
          <a:xfrm>
            <a:off x="475" y="652"/>
            <a:ext cx="0" cy="1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134" name="Line 110">
            <a:extLst>
              <a:ext uri="{FF2B5EF4-FFF2-40B4-BE49-F238E27FC236}">
                <a16:creationId xmlns:a16="http://schemas.microsoft.com/office/drawing/2014/main" id="{7A18957B-EF66-E9AA-90CF-DF78F98B543E}"/>
              </a:ext>
            </a:extLst>
          </xdr:cNvPr>
          <xdr:cNvSpPr>
            <a:spLocks noChangeShapeType="1"/>
          </xdr:cNvSpPr>
        </xdr:nvSpPr>
        <xdr:spPr bwMode="auto">
          <a:xfrm flipH="1">
            <a:off x="264" y="666"/>
            <a:ext cx="211" cy="1"/>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clientData/>
  </xdr:twoCellAnchor>
  <xdr:twoCellAnchor>
    <xdr:from>
      <xdr:col>8</xdr:col>
      <xdr:colOff>144780</xdr:colOff>
      <xdr:row>27</xdr:row>
      <xdr:rowOff>114300</xdr:rowOff>
    </xdr:from>
    <xdr:to>
      <xdr:col>8</xdr:col>
      <xdr:colOff>251460</xdr:colOff>
      <xdr:row>27</xdr:row>
      <xdr:rowOff>114300</xdr:rowOff>
    </xdr:to>
    <xdr:sp macro="" textlink="">
      <xdr:nvSpPr>
        <xdr:cNvPr id="1146" name="Line 122">
          <a:extLst>
            <a:ext uri="{FF2B5EF4-FFF2-40B4-BE49-F238E27FC236}">
              <a16:creationId xmlns:a16="http://schemas.microsoft.com/office/drawing/2014/main" id="{CFB51EB2-6572-FDE1-FA05-485C888045FF}"/>
            </a:ext>
          </a:extLst>
        </xdr:cNvPr>
        <xdr:cNvSpPr>
          <a:spLocks noChangeShapeType="1"/>
        </xdr:cNvSpPr>
      </xdr:nvSpPr>
      <xdr:spPr bwMode="auto">
        <a:xfrm>
          <a:off x="8138160" y="5166360"/>
          <a:ext cx="10668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137160</xdr:colOff>
      <xdr:row>24</xdr:row>
      <xdr:rowOff>137160</xdr:rowOff>
    </xdr:from>
    <xdr:to>
      <xdr:col>8</xdr:col>
      <xdr:colOff>243840</xdr:colOff>
      <xdr:row>24</xdr:row>
      <xdr:rowOff>137160</xdr:rowOff>
    </xdr:to>
    <xdr:sp macro="" textlink="">
      <xdr:nvSpPr>
        <xdr:cNvPr id="1147" name="Line 123">
          <a:extLst>
            <a:ext uri="{FF2B5EF4-FFF2-40B4-BE49-F238E27FC236}">
              <a16:creationId xmlns:a16="http://schemas.microsoft.com/office/drawing/2014/main" id="{FBA75402-6B99-6D5A-CD8C-6B49A6091B3C}"/>
            </a:ext>
          </a:extLst>
        </xdr:cNvPr>
        <xdr:cNvSpPr>
          <a:spLocks noChangeShapeType="1"/>
        </xdr:cNvSpPr>
      </xdr:nvSpPr>
      <xdr:spPr bwMode="auto">
        <a:xfrm>
          <a:off x="8130540" y="4663440"/>
          <a:ext cx="10668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18</xdr:row>
      <xdr:rowOff>76200</xdr:rowOff>
    </xdr:from>
    <xdr:to>
      <xdr:col>8</xdr:col>
      <xdr:colOff>243840</xdr:colOff>
      <xdr:row>18</xdr:row>
      <xdr:rowOff>76200</xdr:rowOff>
    </xdr:to>
    <xdr:sp macro="" textlink="">
      <xdr:nvSpPr>
        <xdr:cNvPr id="1150" name="Line 126">
          <a:extLst>
            <a:ext uri="{FF2B5EF4-FFF2-40B4-BE49-F238E27FC236}">
              <a16:creationId xmlns:a16="http://schemas.microsoft.com/office/drawing/2014/main" id="{AF0693F0-6B9B-9D89-5546-909F8B120F3D}"/>
            </a:ext>
          </a:extLst>
        </xdr:cNvPr>
        <xdr:cNvSpPr>
          <a:spLocks noChangeShapeType="1"/>
        </xdr:cNvSpPr>
      </xdr:nvSpPr>
      <xdr:spPr bwMode="auto">
        <a:xfrm>
          <a:off x="7993380" y="3550920"/>
          <a:ext cx="24384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7620</xdr:colOff>
      <xdr:row>16</xdr:row>
      <xdr:rowOff>60960</xdr:rowOff>
    </xdr:from>
    <xdr:to>
      <xdr:col>8</xdr:col>
      <xdr:colOff>243840</xdr:colOff>
      <xdr:row>16</xdr:row>
      <xdr:rowOff>60960</xdr:rowOff>
    </xdr:to>
    <xdr:sp macro="" textlink="">
      <xdr:nvSpPr>
        <xdr:cNvPr id="1151" name="Line 127">
          <a:extLst>
            <a:ext uri="{FF2B5EF4-FFF2-40B4-BE49-F238E27FC236}">
              <a16:creationId xmlns:a16="http://schemas.microsoft.com/office/drawing/2014/main" id="{604F0F72-7CB6-C042-2CFA-E63FB68B48E3}"/>
            </a:ext>
          </a:extLst>
        </xdr:cNvPr>
        <xdr:cNvSpPr>
          <a:spLocks noChangeShapeType="1"/>
        </xdr:cNvSpPr>
      </xdr:nvSpPr>
      <xdr:spPr bwMode="auto">
        <a:xfrm>
          <a:off x="8001000" y="3185160"/>
          <a:ext cx="23622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243840</xdr:colOff>
      <xdr:row>14</xdr:row>
      <xdr:rowOff>137160</xdr:rowOff>
    </xdr:from>
    <xdr:to>
      <xdr:col>11</xdr:col>
      <xdr:colOff>114300</xdr:colOff>
      <xdr:row>16</xdr:row>
      <xdr:rowOff>68580</xdr:rowOff>
    </xdr:to>
    <xdr:sp macro="" textlink="">
      <xdr:nvSpPr>
        <xdr:cNvPr id="1157" name="Freeform 133">
          <a:extLst>
            <a:ext uri="{FF2B5EF4-FFF2-40B4-BE49-F238E27FC236}">
              <a16:creationId xmlns:a16="http://schemas.microsoft.com/office/drawing/2014/main" id="{879A835B-E70E-17F8-CA26-6FE90C65C307}"/>
            </a:ext>
          </a:extLst>
        </xdr:cNvPr>
        <xdr:cNvSpPr>
          <a:spLocks/>
        </xdr:cNvSpPr>
      </xdr:nvSpPr>
      <xdr:spPr bwMode="auto">
        <a:xfrm>
          <a:off x="8237220" y="2910840"/>
          <a:ext cx="2301240" cy="281940"/>
        </a:xfrm>
        <a:custGeom>
          <a:avLst/>
          <a:gdLst>
            <a:gd name="T0" fmla="*/ 0 w 239"/>
            <a:gd name="T1" fmla="*/ 28 h 28"/>
            <a:gd name="T2" fmla="*/ 0 w 239"/>
            <a:gd name="T3" fmla="*/ 0 h 28"/>
            <a:gd name="T4" fmla="*/ 239 w 239"/>
            <a:gd name="T5" fmla="*/ 0 h 28"/>
            <a:gd name="T6" fmla="*/ 239 w 239"/>
            <a:gd name="T7" fmla="*/ 26 h 28"/>
          </a:gdLst>
          <a:ahLst/>
          <a:cxnLst>
            <a:cxn ang="0">
              <a:pos x="T0" y="T1"/>
            </a:cxn>
            <a:cxn ang="0">
              <a:pos x="T2" y="T3"/>
            </a:cxn>
            <a:cxn ang="0">
              <a:pos x="T4" y="T5"/>
            </a:cxn>
            <a:cxn ang="0">
              <a:pos x="T6" y="T7"/>
            </a:cxn>
          </a:cxnLst>
          <a:rect l="0" t="0" r="r" b="b"/>
          <a:pathLst>
            <a:path w="239" h="28">
              <a:moveTo>
                <a:pt x="0" y="28"/>
              </a:moveTo>
              <a:lnTo>
                <a:pt x="0" y="0"/>
              </a:lnTo>
              <a:lnTo>
                <a:pt x="239" y="0"/>
              </a:lnTo>
              <a:lnTo>
                <a:pt x="239" y="26"/>
              </a:lnTo>
            </a:path>
          </a:pathLst>
        </a:custGeom>
        <a:noFill/>
        <a:ln w="19050" cmpd="sng">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8</xdr:col>
      <xdr:colOff>0</xdr:colOff>
      <xdr:row>20</xdr:row>
      <xdr:rowOff>114300</xdr:rowOff>
    </xdr:from>
    <xdr:to>
      <xdr:col>8</xdr:col>
      <xdr:colOff>243840</xdr:colOff>
      <xdr:row>27</xdr:row>
      <xdr:rowOff>106680</xdr:rowOff>
    </xdr:to>
    <xdr:sp macro="" textlink="">
      <xdr:nvSpPr>
        <xdr:cNvPr id="1159" name="Freeform 135">
          <a:extLst>
            <a:ext uri="{FF2B5EF4-FFF2-40B4-BE49-F238E27FC236}">
              <a16:creationId xmlns:a16="http://schemas.microsoft.com/office/drawing/2014/main" id="{7A85EC2F-DB45-DCB0-13C3-D3D201619F33}"/>
            </a:ext>
          </a:extLst>
        </xdr:cNvPr>
        <xdr:cNvSpPr>
          <a:spLocks/>
        </xdr:cNvSpPr>
      </xdr:nvSpPr>
      <xdr:spPr bwMode="auto">
        <a:xfrm>
          <a:off x="7993380" y="3939540"/>
          <a:ext cx="243840" cy="1219200"/>
        </a:xfrm>
        <a:custGeom>
          <a:avLst/>
          <a:gdLst>
            <a:gd name="T0" fmla="*/ 25 w 25"/>
            <a:gd name="T1" fmla="*/ 197 h 197"/>
            <a:gd name="T2" fmla="*/ 25 w 25"/>
            <a:gd name="T3" fmla="*/ 0 h 197"/>
            <a:gd name="T4" fmla="*/ 0 w 25"/>
            <a:gd name="T5" fmla="*/ 0 h 197"/>
          </a:gdLst>
          <a:ahLst/>
          <a:cxnLst>
            <a:cxn ang="0">
              <a:pos x="T0" y="T1"/>
            </a:cxn>
            <a:cxn ang="0">
              <a:pos x="T2" y="T3"/>
            </a:cxn>
            <a:cxn ang="0">
              <a:pos x="T4" y="T5"/>
            </a:cxn>
          </a:cxnLst>
          <a:rect l="0" t="0" r="r" b="b"/>
          <a:pathLst>
            <a:path w="25" h="197">
              <a:moveTo>
                <a:pt x="25" y="197"/>
              </a:moveTo>
              <a:lnTo>
                <a:pt x="25" y="0"/>
              </a:lnTo>
              <a:lnTo>
                <a:pt x="0" y="0"/>
              </a:lnTo>
            </a:path>
          </a:pathLst>
        </a:custGeom>
        <a:noFill/>
        <a:ln w="19050" cmpd="sng">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11</xdr:col>
      <xdr:colOff>7620</xdr:colOff>
      <xdr:row>16</xdr:row>
      <xdr:rowOff>114300</xdr:rowOff>
    </xdr:from>
    <xdr:to>
      <xdr:col>11</xdr:col>
      <xdr:colOff>114300</xdr:colOff>
      <xdr:row>24</xdr:row>
      <xdr:rowOff>76200</xdr:rowOff>
    </xdr:to>
    <xdr:sp macro="" textlink="">
      <xdr:nvSpPr>
        <xdr:cNvPr id="1161" name="Freeform 137">
          <a:extLst>
            <a:ext uri="{FF2B5EF4-FFF2-40B4-BE49-F238E27FC236}">
              <a16:creationId xmlns:a16="http://schemas.microsoft.com/office/drawing/2014/main" id="{06446CEA-BE59-0EA3-4B98-5DEB63461562}"/>
            </a:ext>
          </a:extLst>
        </xdr:cNvPr>
        <xdr:cNvSpPr>
          <a:spLocks/>
        </xdr:cNvSpPr>
      </xdr:nvSpPr>
      <xdr:spPr bwMode="auto">
        <a:xfrm>
          <a:off x="10431780" y="3238500"/>
          <a:ext cx="106680" cy="1363980"/>
        </a:xfrm>
        <a:custGeom>
          <a:avLst/>
          <a:gdLst>
            <a:gd name="T0" fmla="*/ 0 w 11"/>
            <a:gd name="T1" fmla="*/ 140 h 140"/>
            <a:gd name="T2" fmla="*/ 11 w 11"/>
            <a:gd name="T3" fmla="*/ 140 h 140"/>
            <a:gd name="T4" fmla="*/ 11 w 11"/>
            <a:gd name="T5" fmla="*/ 0 h 140"/>
            <a:gd name="T6" fmla="*/ 0 w 11"/>
            <a:gd name="T7" fmla="*/ 0 h 140"/>
          </a:gdLst>
          <a:ahLst/>
          <a:cxnLst>
            <a:cxn ang="0">
              <a:pos x="T0" y="T1"/>
            </a:cxn>
            <a:cxn ang="0">
              <a:pos x="T2" y="T3"/>
            </a:cxn>
            <a:cxn ang="0">
              <a:pos x="T4" y="T5"/>
            </a:cxn>
            <a:cxn ang="0">
              <a:pos x="T6" y="T7"/>
            </a:cxn>
          </a:cxnLst>
          <a:rect l="0" t="0" r="r" b="b"/>
          <a:pathLst>
            <a:path w="11" h="140">
              <a:moveTo>
                <a:pt x="0" y="140"/>
              </a:moveTo>
              <a:lnTo>
                <a:pt x="11" y="140"/>
              </a:lnTo>
              <a:lnTo>
                <a:pt x="11" y="0"/>
              </a:lnTo>
              <a:lnTo>
                <a:pt x="0" y="0"/>
              </a:lnTo>
            </a:path>
          </a:pathLst>
        </a:custGeom>
        <a:noFill/>
        <a:ln w="19050" cmpd="sng">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11</xdr:col>
      <xdr:colOff>0</xdr:colOff>
      <xdr:row>22</xdr:row>
      <xdr:rowOff>91440</xdr:rowOff>
    </xdr:from>
    <xdr:to>
      <xdr:col>11</xdr:col>
      <xdr:colOff>114300</xdr:colOff>
      <xdr:row>22</xdr:row>
      <xdr:rowOff>91440</xdr:rowOff>
    </xdr:to>
    <xdr:sp macro="" textlink="">
      <xdr:nvSpPr>
        <xdr:cNvPr id="1163" name="Line 139">
          <a:extLst>
            <a:ext uri="{FF2B5EF4-FFF2-40B4-BE49-F238E27FC236}">
              <a16:creationId xmlns:a16="http://schemas.microsoft.com/office/drawing/2014/main" id="{67D755E4-E30E-E525-099F-0573C419CB38}"/>
            </a:ext>
          </a:extLst>
        </xdr:cNvPr>
        <xdr:cNvSpPr>
          <a:spLocks noChangeShapeType="1"/>
        </xdr:cNvSpPr>
      </xdr:nvSpPr>
      <xdr:spPr bwMode="auto">
        <a:xfrm>
          <a:off x="10424160" y="4267200"/>
          <a:ext cx="11430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20</xdr:row>
      <xdr:rowOff>76200</xdr:rowOff>
    </xdr:from>
    <xdr:to>
      <xdr:col>11</xdr:col>
      <xdr:colOff>114300</xdr:colOff>
      <xdr:row>20</xdr:row>
      <xdr:rowOff>76200</xdr:rowOff>
    </xdr:to>
    <xdr:sp macro="" textlink="">
      <xdr:nvSpPr>
        <xdr:cNvPr id="1164" name="Line 140">
          <a:extLst>
            <a:ext uri="{FF2B5EF4-FFF2-40B4-BE49-F238E27FC236}">
              <a16:creationId xmlns:a16="http://schemas.microsoft.com/office/drawing/2014/main" id="{E08BF376-1B28-CC4D-F39B-9BF3947F334B}"/>
            </a:ext>
          </a:extLst>
        </xdr:cNvPr>
        <xdr:cNvSpPr>
          <a:spLocks noChangeShapeType="1"/>
        </xdr:cNvSpPr>
      </xdr:nvSpPr>
      <xdr:spPr bwMode="auto">
        <a:xfrm>
          <a:off x="10424160" y="3901440"/>
          <a:ext cx="11430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18</xdr:row>
      <xdr:rowOff>76200</xdr:rowOff>
    </xdr:from>
    <xdr:to>
      <xdr:col>11</xdr:col>
      <xdr:colOff>114300</xdr:colOff>
      <xdr:row>18</xdr:row>
      <xdr:rowOff>76200</xdr:rowOff>
    </xdr:to>
    <xdr:sp macro="" textlink="">
      <xdr:nvSpPr>
        <xdr:cNvPr id="1165" name="Line 141">
          <a:extLst>
            <a:ext uri="{FF2B5EF4-FFF2-40B4-BE49-F238E27FC236}">
              <a16:creationId xmlns:a16="http://schemas.microsoft.com/office/drawing/2014/main" id="{768C834D-7F0A-8C0F-024A-1C56BC98F678}"/>
            </a:ext>
          </a:extLst>
        </xdr:cNvPr>
        <xdr:cNvSpPr>
          <a:spLocks noChangeShapeType="1"/>
        </xdr:cNvSpPr>
      </xdr:nvSpPr>
      <xdr:spPr bwMode="auto">
        <a:xfrm>
          <a:off x="10424160" y="3550920"/>
          <a:ext cx="11430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16</xdr:row>
      <xdr:rowOff>38100</xdr:rowOff>
    </xdr:from>
    <xdr:to>
      <xdr:col>11</xdr:col>
      <xdr:colOff>114300</xdr:colOff>
      <xdr:row>16</xdr:row>
      <xdr:rowOff>38100</xdr:rowOff>
    </xdr:to>
    <xdr:sp macro="" textlink="">
      <xdr:nvSpPr>
        <xdr:cNvPr id="1167" name="Line 143">
          <a:extLst>
            <a:ext uri="{FF2B5EF4-FFF2-40B4-BE49-F238E27FC236}">
              <a16:creationId xmlns:a16="http://schemas.microsoft.com/office/drawing/2014/main" id="{D90BD3A6-1F35-7262-1D76-8E59F971D287}"/>
            </a:ext>
          </a:extLst>
        </xdr:cNvPr>
        <xdr:cNvSpPr>
          <a:spLocks noChangeShapeType="1"/>
        </xdr:cNvSpPr>
      </xdr:nvSpPr>
      <xdr:spPr bwMode="auto">
        <a:xfrm flipH="1">
          <a:off x="10424160" y="3162300"/>
          <a:ext cx="11430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18</xdr:row>
      <xdr:rowOff>7620</xdr:rowOff>
    </xdr:from>
    <xdr:to>
      <xdr:col>4</xdr:col>
      <xdr:colOff>381000</xdr:colOff>
      <xdr:row>20</xdr:row>
      <xdr:rowOff>76200</xdr:rowOff>
    </xdr:to>
    <xdr:grpSp>
      <xdr:nvGrpSpPr>
        <xdr:cNvPr id="1169" name="Group 145">
          <a:extLst>
            <a:ext uri="{FF2B5EF4-FFF2-40B4-BE49-F238E27FC236}">
              <a16:creationId xmlns:a16="http://schemas.microsoft.com/office/drawing/2014/main" id="{AD8AC6A7-35AD-6C7A-699A-63F17A1F7B49}"/>
            </a:ext>
          </a:extLst>
        </xdr:cNvPr>
        <xdr:cNvGrpSpPr>
          <a:grpSpLocks/>
        </xdr:cNvGrpSpPr>
      </xdr:nvGrpSpPr>
      <xdr:grpSpPr bwMode="auto">
        <a:xfrm>
          <a:off x="2474259" y="3539714"/>
          <a:ext cx="2209800" cy="427168"/>
          <a:chOff x="253" y="472"/>
          <a:chExt cx="227" cy="43"/>
        </a:xfrm>
      </xdr:grpSpPr>
      <xdr:grpSp>
        <xdr:nvGrpSpPr>
          <xdr:cNvPr id="1170" name="Group 146">
            <a:extLst>
              <a:ext uri="{FF2B5EF4-FFF2-40B4-BE49-F238E27FC236}">
                <a16:creationId xmlns:a16="http://schemas.microsoft.com/office/drawing/2014/main" id="{95F7D352-D80D-B4CB-BFF4-3E3A73F599D5}"/>
              </a:ext>
            </a:extLst>
          </xdr:cNvPr>
          <xdr:cNvGrpSpPr>
            <a:grpSpLocks/>
          </xdr:cNvGrpSpPr>
        </xdr:nvGrpSpPr>
        <xdr:grpSpPr bwMode="auto">
          <a:xfrm>
            <a:off x="253" y="478"/>
            <a:ext cx="13" cy="37"/>
            <a:chOff x="268" y="478"/>
            <a:chExt cx="13" cy="37"/>
          </a:xfrm>
        </xdr:grpSpPr>
        <xdr:sp macro="" textlink="">
          <xdr:nvSpPr>
            <xdr:cNvPr id="1171" name="Line 147">
              <a:extLst>
                <a:ext uri="{FF2B5EF4-FFF2-40B4-BE49-F238E27FC236}">
                  <a16:creationId xmlns:a16="http://schemas.microsoft.com/office/drawing/2014/main" id="{3EFC1524-EB25-97D9-1EFC-89F65EAED9A7}"/>
                </a:ext>
              </a:extLst>
            </xdr:cNvPr>
            <xdr:cNvSpPr>
              <a:spLocks noChangeShapeType="1"/>
            </xdr:cNvSpPr>
          </xdr:nvSpPr>
          <xdr:spPr bwMode="auto">
            <a:xfrm flipV="1">
              <a:off x="269" y="479"/>
              <a:ext cx="11"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172" name="Line 148">
              <a:extLst>
                <a:ext uri="{FF2B5EF4-FFF2-40B4-BE49-F238E27FC236}">
                  <a16:creationId xmlns:a16="http://schemas.microsoft.com/office/drawing/2014/main" id="{3329E842-0067-6B8C-E99E-5B2FE80AB7E5}"/>
                </a:ext>
              </a:extLst>
            </xdr:cNvPr>
            <xdr:cNvSpPr>
              <a:spLocks noChangeShapeType="1"/>
            </xdr:cNvSpPr>
          </xdr:nvSpPr>
          <xdr:spPr bwMode="auto">
            <a:xfrm flipV="1">
              <a:off x="269" y="497"/>
              <a:ext cx="11"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173" name="Line 149">
              <a:extLst>
                <a:ext uri="{FF2B5EF4-FFF2-40B4-BE49-F238E27FC236}">
                  <a16:creationId xmlns:a16="http://schemas.microsoft.com/office/drawing/2014/main" id="{4C893152-6D07-7FFB-0E1D-06CED38601E3}"/>
                </a:ext>
              </a:extLst>
            </xdr:cNvPr>
            <xdr:cNvSpPr>
              <a:spLocks noChangeShapeType="1"/>
            </xdr:cNvSpPr>
          </xdr:nvSpPr>
          <xdr:spPr bwMode="auto">
            <a:xfrm>
              <a:off x="268" y="515"/>
              <a:ext cx="13"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174" name="Line 150">
              <a:extLst>
                <a:ext uri="{FF2B5EF4-FFF2-40B4-BE49-F238E27FC236}">
                  <a16:creationId xmlns:a16="http://schemas.microsoft.com/office/drawing/2014/main" id="{8A4F2376-B054-45E8-1D61-E6D8F8B1E0D6}"/>
                </a:ext>
              </a:extLst>
            </xdr:cNvPr>
            <xdr:cNvSpPr>
              <a:spLocks noChangeShapeType="1"/>
            </xdr:cNvSpPr>
          </xdr:nvSpPr>
          <xdr:spPr bwMode="auto">
            <a:xfrm>
              <a:off x="281" y="478"/>
              <a:ext cx="0" cy="37"/>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175" name="Group 151">
            <a:extLst>
              <a:ext uri="{FF2B5EF4-FFF2-40B4-BE49-F238E27FC236}">
                <a16:creationId xmlns:a16="http://schemas.microsoft.com/office/drawing/2014/main" id="{0C0736A1-5E57-A0AF-6CBA-EB53607348B7}"/>
              </a:ext>
            </a:extLst>
          </xdr:cNvPr>
          <xdr:cNvGrpSpPr>
            <a:grpSpLocks/>
          </xdr:cNvGrpSpPr>
        </xdr:nvGrpSpPr>
        <xdr:grpSpPr bwMode="auto">
          <a:xfrm>
            <a:off x="265" y="472"/>
            <a:ext cx="215" cy="15"/>
            <a:chOff x="264" y="559"/>
            <a:chExt cx="215" cy="15"/>
          </a:xfrm>
        </xdr:grpSpPr>
        <xdr:sp macro="" textlink="">
          <xdr:nvSpPr>
            <xdr:cNvPr id="1176" name="Line 152">
              <a:extLst>
                <a:ext uri="{FF2B5EF4-FFF2-40B4-BE49-F238E27FC236}">
                  <a16:creationId xmlns:a16="http://schemas.microsoft.com/office/drawing/2014/main" id="{C43EDE0D-DD7B-45A5-C9C8-5064AFD6917E}"/>
                </a:ext>
              </a:extLst>
            </xdr:cNvPr>
            <xdr:cNvSpPr>
              <a:spLocks noChangeShapeType="1"/>
            </xdr:cNvSpPr>
          </xdr:nvSpPr>
          <xdr:spPr bwMode="auto">
            <a:xfrm>
              <a:off x="478" y="559"/>
              <a:ext cx="0" cy="1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177" name="Line 153">
              <a:extLst>
                <a:ext uri="{FF2B5EF4-FFF2-40B4-BE49-F238E27FC236}">
                  <a16:creationId xmlns:a16="http://schemas.microsoft.com/office/drawing/2014/main" id="{CB5CD784-AE9F-9675-8742-9D0D3E5BB2CC}"/>
                </a:ext>
              </a:extLst>
            </xdr:cNvPr>
            <xdr:cNvSpPr>
              <a:spLocks noChangeShapeType="1"/>
            </xdr:cNvSpPr>
          </xdr:nvSpPr>
          <xdr:spPr bwMode="auto">
            <a:xfrm flipH="1" flipV="1">
              <a:off x="264" y="572"/>
              <a:ext cx="215" cy="1"/>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clientData/>
  </xdr:twoCellAnchor>
  <xdr:twoCellAnchor>
    <xdr:from>
      <xdr:col>5</xdr:col>
      <xdr:colOff>0</xdr:colOff>
      <xdr:row>13</xdr:row>
      <xdr:rowOff>106680</xdr:rowOff>
    </xdr:from>
    <xdr:to>
      <xdr:col>5</xdr:col>
      <xdr:colOff>236220</xdr:colOff>
      <xdr:row>34</xdr:row>
      <xdr:rowOff>45720</xdr:rowOff>
    </xdr:to>
    <xdr:sp macro="" textlink="">
      <xdr:nvSpPr>
        <xdr:cNvPr id="1180" name="Freeform 156">
          <a:extLst>
            <a:ext uri="{FF2B5EF4-FFF2-40B4-BE49-F238E27FC236}">
              <a16:creationId xmlns:a16="http://schemas.microsoft.com/office/drawing/2014/main" id="{1F0EB89F-7350-993F-76A4-662B1069776B}"/>
            </a:ext>
          </a:extLst>
        </xdr:cNvPr>
        <xdr:cNvSpPr>
          <a:spLocks/>
        </xdr:cNvSpPr>
      </xdr:nvSpPr>
      <xdr:spPr bwMode="auto">
        <a:xfrm>
          <a:off x="4914900" y="2705100"/>
          <a:ext cx="236220" cy="3619500"/>
        </a:xfrm>
        <a:custGeom>
          <a:avLst/>
          <a:gdLst>
            <a:gd name="T0" fmla="*/ 1 w 23"/>
            <a:gd name="T1" fmla="*/ 372 h 372"/>
            <a:gd name="T2" fmla="*/ 23 w 23"/>
            <a:gd name="T3" fmla="*/ 372 h 372"/>
            <a:gd name="T4" fmla="*/ 23 w 23"/>
            <a:gd name="T5" fmla="*/ 0 h 372"/>
            <a:gd name="T6" fmla="*/ 0 w 23"/>
            <a:gd name="T7" fmla="*/ 0 h 372"/>
          </a:gdLst>
          <a:ahLst/>
          <a:cxnLst>
            <a:cxn ang="0">
              <a:pos x="T0" y="T1"/>
            </a:cxn>
            <a:cxn ang="0">
              <a:pos x="T2" y="T3"/>
            </a:cxn>
            <a:cxn ang="0">
              <a:pos x="T4" y="T5"/>
            </a:cxn>
            <a:cxn ang="0">
              <a:pos x="T6" y="T7"/>
            </a:cxn>
          </a:cxnLst>
          <a:rect l="0" t="0" r="r" b="b"/>
          <a:pathLst>
            <a:path w="23" h="372">
              <a:moveTo>
                <a:pt x="1" y="372"/>
              </a:moveTo>
              <a:lnTo>
                <a:pt x="23" y="372"/>
              </a:lnTo>
              <a:lnTo>
                <a:pt x="23" y="0"/>
              </a:lnTo>
              <a:lnTo>
                <a:pt x="0" y="0"/>
              </a:lnTo>
            </a:path>
          </a:pathLst>
        </a:custGeom>
        <a:noFill/>
        <a:ln w="19050" cmpd="sng">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5</xdr:col>
      <xdr:colOff>0</xdr:colOff>
      <xdr:row>31</xdr:row>
      <xdr:rowOff>76200</xdr:rowOff>
    </xdr:from>
    <xdr:to>
      <xdr:col>5</xdr:col>
      <xdr:colOff>243840</xdr:colOff>
      <xdr:row>31</xdr:row>
      <xdr:rowOff>76200</xdr:rowOff>
    </xdr:to>
    <xdr:sp macro="" textlink="">
      <xdr:nvSpPr>
        <xdr:cNvPr id="1182" name="Line 158">
          <a:extLst>
            <a:ext uri="{FF2B5EF4-FFF2-40B4-BE49-F238E27FC236}">
              <a16:creationId xmlns:a16="http://schemas.microsoft.com/office/drawing/2014/main" id="{F0B5F5F8-0D87-CCAA-AEEC-EE5FF9C62533}"/>
            </a:ext>
          </a:extLst>
        </xdr:cNvPr>
        <xdr:cNvSpPr>
          <a:spLocks noChangeShapeType="1"/>
        </xdr:cNvSpPr>
      </xdr:nvSpPr>
      <xdr:spPr bwMode="auto">
        <a:xfrm>
          <a:off x="4914900" y="5829300"/>
          <a:ext cx="24384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26</xdr:row>
      <xdr:rowOff>91440</xdr:rowOff>
    </xdr:from>
    <xdr:to>
      <xdr:col>5</xdr:col>
      <xdr:colOff>243840</xdr:colOff>
      <xdr:row>26</xdr:row>
      <xdr:rowOff>91440</xdr:rowOff>
    </xdr:to>
    <xdr:sp macro="" textlink="">
      <xdr:nvSpPr>
        <xdr:cNvPr id="1183" name="Line 159">
          <a:extLst>
            <a:ext uri="{FF2B5EF4-FFF2-40B4-BE49-F238E27FC236}">
              <a16:creationId xmlns:a16="http://schemas.microsoft.com/office/drawing/2014/main" id="{D4689341-B0B9-855D-1465-F9EDD5F6B822}"/>
            </a:ext>
          </a:extLst>
        </xdr:cNvPr>
        <xdr:cNvSpPr>
          <a:spLocks noChangeShapeType="1"/>
        </xdr:cNvSpPr>
      </xdr:nvSpPr>
      <xdr:spPr bwMode="auto">
        <a:xfrm>
          <a:off x="4914900" y="4968240"/>
          <a:ext cx="24384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22</xdr:row>
      <xdr:rowOff>76200</xdr:rowOff>
    </xdr:from>
    <xdr:to>
      <xdr:col>5</xdr:col>
      <xdr:colOff>243840</xdr:colOff>
      <xdr:row>22</xdr:row>
      <xdr:rowOff>76200</xdr:rowOff>
    </xdr:to>
    <xdr:sp macro="" textlink="">
      <xdr:nvSpPr>
        <xdr:cNvPr id="1184" name="Line 160">
          <a:extLst>
            <a:ext uri="{FF2B5EF4-FFF2-40B4-BE49-F238E27FC236}">
              <a16:creationId xmlns:a16="http://schemas.microsoft.com/office/drawing/2014/main" id="{D3BF8E6D-D7D2-D1C0-D10C-9A1A16DA4E4E}"/>
            </a:ext>
          </a:extLst>
        </xdr:cNvPr>
        <xdr:cNvSpPr>
          <a:spLocks noChangeShapeType="1"/>
        </xdr:cNvSpPr>
      </xdr:nvSpPr>
      <xdr:spPr bwMode="auto">
        <a:xfrm>
          <a:off x="4914900" y="4251960"/>
          <a:ext cx="24384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17</xdr:row>
      <xdr:rowOff>91440</xdr:rowOff>
    </xdr:from>
    <xdr:to>
      <xdr:col>5</xdr:col>
      <xdr:colOff>213360</xdr:colOff>
      <xdr:row>17</xdr:row>
      <xdr:rowOff>91440</xdr:rowOff>
    </xdr:to>
    <xdr:sp macro="" textlink="">
      <xdr:nvSpPr>
        <xdr:cNvPr id="1185" name="Line 161">
          <a:extLst>
            <a:ext uri="{FF2B5EF4-FFF2-40B4-BE49-F238E27FC236}">
              <a16:creationId xmlns:a16="http://schemas.microsoft.com/office/drawing/2014/main" id="{B5167A6F-B768-FC06-591E-6E83D5139676}"/>
            </a:ext>
          </a:extLst>
        </xdr:cNvPr>
        <xdr:cNvSpPr>
          <a:spLocks noChangeShapeType="1"/>
        </xdr:cNvSpPr>
      </xdr:nvSpPr>
      <xdr:spPr bwMode="auto">
        <a:xfrm>
          <a:off x="4914900" y="3390900"/>
          <a:ext cx="21336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15</xdr:row>
      <xdr:rowOff>91440</xdr:rowOff>
    </xdr:from>
    <xdr:to>
      <xdr:col>5</xdr:col>
      <xdr:colOff>236220</xdr:colOff>
      <xdr:row>15</xdr:row>
      <xdr:rowOff>91440</xdr:rowOff>
    </xdr:to>
    <xdr:sp macro="" textlink="">
      <xdr:nvSpPr>
        <xdr:cNvPr id="1186" name="Line 162">
          <a:extLst>
            <a:ext uri="{FF2B5EF4-FFF2-40B4-BE49-F238E27FC236}">
              <a16:creationId xmlns:a16="http://schemas.microsoft.com/office/drawing/2014/main" id="{32328F17-CA97-ED35-27CA-2597C436CC97}"/>
            </a:ext>
          </a:extLst>
        </xdr:cNvPr>
        <xdr:cNvSpPr>
          <a:spLocks noChangeShapeType="1"/>
        </xdr:cNvSpPr>
      </xdr:nvSpPr>
      <xdr:spPr bwMode="auto">
        <a:xfrm>
          <a:off x="4914900" y="3040380"/>
          <a:ext cx="23622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16</xdr:row>
      <xdr:rowOff>114300</xdr:rowOff>
    </xdr:from>
    <xdr:to>
      <xdr:col>8</xdr:col>
      <xdr:colOff>236220</xdr:colOff>
      <xdr:row>20</xdr:row>
      <xdr:rowOff>60960</xdr:rowOff>
    </xdr:to>
    <xdr:sp macro="" textlink="">
      <xdr:nvSpPr>
        <xdr:cNvPr id="1187" name="Freeform 163">
          <a:extLst>
            <a:ext uri="{FF2B5EF4-FFF2-40B4-BE49-F238E27FC236}">
              <a16:creationId xmlns:a16="http://schemas.microsoft.com/office/drawing/2014/main" id="{B238926F-32A2-480A-9D32-D555C4AF9452}"/>
            </a:ext>
          </a:extLst>
        </xdr:cNvPr>
        <xdr:cNvSpPr>
          <a:spLocks/>
        </xdr:cNvSpPr>
      </xdr:nvSpPr>
      <xdr:spPr bwMode="auto">
        <a:xfrm>
          <a:off x="7993380" y="3238500"/>
          <a:ext cx="236220" cy="647700"/>
        </a:xfrm>
        <a:custGeom>
          <a:avLst/>
          <a:gdLst>
            <a:gd name="T0" fmla="*/ 0 w 24"/>
            <a:gd name="T1" fmla="*/ 66 h 66"/>
            <a:gd name="T2" fmla="*/ 24 w 24"/>
            <a:gd name="T3" fmla="*/ 66 h 66"/>
            <a:gd name="T4" fmla="*/ 24 w 24"/>
            <a:gd name="T5" fmla="*/ 0 h 66"/>
            <a:gd name="T6" fmla="*/ 0 w 24"/>
            <a:gd name="T7" fmla="*/ 0 h 66"/>
          </a:gdLst>
          <a:ahLst/>
          <a:cxnLst>
            <a:cxn ang="0">
              <a:pos x="T0" y="T1"/>
            </a:cxn>
            <a:cxn ang="0">
              <a:pos x="T2" y="T3"/>
            </a:cxn>
            <a:cxn ang="0">
              <a:pos x="T4" y="T5"/>
            </a:cxn>
            <a:cxn ang="0">
              <a:pos x="T6" y="T7"/>
            </a:cxn>
          </a:cxnLst>
          <a:rect l="0" t="0" r="r" b="b"/>
          <a:pathLst>
            <a:path w="24" h="66">
              <a:moveTo>
                <a:pt x="0" y="66"/>
              </a:moveTo>
              <a:lnTo>
                <a:pt x="24" y="66"/>
              </a:lnTo>
              <a:lnTo>
                <a:pt x="24" y="0"/>
              </a:lnTo>
              <a:lnTo>
                <a:pt x="0" y="0"/>
              </a:lnTo>
            </a:path>
          </a:pathLst>
        </a:custGeom>
        <a:noFill/>
        <a:ln w="19050" cmpd="sng">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4</xdr:col>
      <xdr:colOff>304800</xdr:colOff>
      <xdr:row>6</xdr:row>
      <xdr:rowOff>91440</xdr:rowOff>
    </xdr:from>
    <xdr:to>
      <xdr:col>7</xdr:col>
      <xdr:colOff>411480</xdr:colOff>
      <xdr:row>7</xdr:row>
      <xdr:rowOff>152400</xdr:rowOff>
    </xdr:to>
    <xdr:sp macro="" textlink="">
      <xdr:nvSpPr>
        <xdr:cNvPr id="1195" name="Freeform 171">
          <a:extLst>
            <a:ext uri="{FF2B5EF4-FFF2-40B4-BE49-F238E27FC236}">
              <a16:creationId xmlns:a16="http://schemas.microsoft.com/office/drawing/2014/main" id="{DA614689-FDC9-D189-A5F7-946F7666791C}"/>
            </a:ext>
          </a:extLst>
        </xdr:cNvPr>
        <xdr:cNvSpPr>
          <a:spLocks/>
        </xdr:cNvSpPr>
      </xdr:nvSpPr>
      <xdr:spPr bwMode="auto">
        <a:xfrm>
          <a:off x="4610100" y="1463040"/>
          <a:ext cx="3063240" cy="236220"/>
        </a:xfrm>
        <a:custGeom>
          <a:avLst/>
          <a:gdLst>
            <a:gd name="T0" fmla="*/ 0 w 314"/>
            <a:gd name="T1" fmla="*/ 25 h 25"/>
            <a:gd name="T2" fmla="*/ 0 w 314"/>
            <a:gd name="T3" fmla="*/ 0 h 25"/>
            <a:gd name="T4" fmla="*/ 314 w 314"/>
            <a:gd name="T5" fmla="*/ 0 h 25"/>
            <a:gd name="T6" fmla="*/ 314 w 314"/>
            <a:gd name="T7" fmla="*/ 7 h 25"/>
          </a:gdLst>
          <a:ahLst/>
          <a:cxnLst>
            <a:cxn ang="0">
              <a:pos x="T0" y="T1"/>
            </a:cxn>
            <a:cxn ang="0">
              <a:pos x="T2" y="T3"/>
            </a:cxn>
            <a:cxn ang="0">
              <a:pos x="T4" y="T5"/>
            </a:cxn>
            <a:cxn ang="0">
              <a:pos x="T6" y="T7"/>
            </a:cxn>
          </a:cxnLst>
          <a:rect l="0" t="0" r="r" b="b"/>
          <a:pathLst>
            <a:path w="314" h="25">
              <a:moveTo>
                <a:pt x="0" y="25"/>
              </a:moveTo>
              <a:lnTo>
                <a:pt x="0" y="0"/>
              </a:lnTo>
              <a:lnTo>
                <a:pt x="314" y="0"/>
              </a:lnTo>
              <a:lnTo>
                <a:pt x="314" y="7"/>
              </a:lnTo>
            </a:path>
          </a:pathLst>
        </a:custGeom>
        <a:noFill/>
        <a:ln w="19050" cmpd="sng">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6</xdr:col>
      <xdr:colOff>792480</xdr:colOff>
      <xdr:row>6</xdr:row>
      <xdr:rowOff>0</xdr:rowOff>
    </xdr:from>
    <xdr:to>
      <xdr:col>6</xdr:col>
      <xdr:colOff>792480</xdr:colOff>
      <xdr:row>6</xdr:row>
      <xdr:rowOff>76200</xdr:rowOff>
    </xdr:to>
    <xdr:sp macro="" textlink="">
      <xdr:nvSpPr>
        <xdr:cNvPr id="1197" name="Line 173">
          <a:extLst>
            <a:ext uri="{FF2B5EF4-FFF2-40B4-BE49-F238E27FC236}">
              <a16:creationId xmlns:a16="http://schemas.microsoft.com/office/drawing/2014/main" id="{07364B86-FDA3-D484-20B8-60653FDE4558}"/>
            </a:ext>
          </a:extLst>
        </xdr:cNvPr>
        <xdr:cNvSpPr>
          <a:spLocks noChangeShapeType="1"/>
        </xdr:cNvSpPr>
      </xdr:nvSpPr>
      <xdr:spPr bwMode="auto">
        <a:xfrm>
          <a:off x="6469380" y="1371600"/>
          <a:ext cx="0" cy="762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784860</xdr:colOff>
      <xdr:row>3</xdr:row>
      <xdr:rowOff>0</xdr:rowOff>
    </xdr:from>
    <xdr:to>
      <xdr:col>6</xdr:col>
      <xdr:colOff>792480</xdr:colOff>
      <xdr:row>4</xdr:row>
      <xdr:rowOff>45720</xdr:rowOff>
    </xdr:to>
    <xdr:sp macro="" textlink="">
      <xdr:nvSpPr>
        <xdr:cNvPr id="1192" name="Line 168">
          <a:extLst>
            <a:ext uri="{FF2B5EF4-FFF2-40B4-BE49-F238E27FC236}">
              <a16:creationId xmlns:a16="http://schemas.microsoft.com/office/drawing/2014/main" id="{4BFC0F88-B026-8971-82DC-01824EF18CE6}"/>
            </a:ext>
          </a:extLst>
        </xdr:cNvPr>
        <xdr:cNvSpPr>
          <a:spLocks noChangeShapeType="1"/>
        </xdr:cNvSpPr>
      </xdr:nvSpPr>
      <xdr:spPr bwMode="auto">
        <a:xfrm flipH="1" flipV="1">
          <a:off x="6461760" y="800100"/>
          <a:ext cx="7620" cy="23622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8</xdr:row>
      <xdr:rowOff>91440</xdr:rowOff>
    </xdr:from>
    <xdr:to>
      <xdr:col>11</xdr:col>
      <xdr:colOff>152400</xdr:colOff>
      <xdr:row>12</xdr:row>
      <xdr:rowOff>106680</xdr:rowOff>
    </xdr:to>
    <xdr:grpSp>
      <xdr:nvGrpSpPr>
        <xdr:cNvPr id="1200" name="Group 176">
          <a:extLst>
            <a:ext uri="{FF2B5EF4-FFF2-40B4-BE49-F238E27FC236}">
              <a16:creationId xmlns:a16="http://schemas.microsoft.com/office/drawing/2014/main" id="{2F145AFD-B6C5-3A4C-FDC8-4E3744851306}"/>
            </a:ext>
          </a:extLst>
        </xdr:cNvPr>
        <xdr:cNvGrpSpPr>
          <a:grpSpLocks/>
        </xdr:cNvGrpSpPr>
      </xdr:nvGrpSpPr>
      <xdr:grpSpPr bwMode="auto">
        <a:xfrm>
          <a:off x="7996518" y="1830593"/>
          <a:ext cx="2581835" cy="732416"/>
          <a:chOff x="819" y="201"/>
          <a:chExt cx="266" cy="74"/>
        </a:xfrm>
      </xdr:grpSpPr>
      <xdr:sp macro="" textlink="">
        <xdr:nvSpPr>
          <xdr:cNvPr id="1190" name="Freeform 166">
            <a:extLst>
              <a:ext uri="{FF2B5EF4-FFF2-40B4-BE49-F238E27FC236}">
                <a16:creationId xmlns:a16="http://schemas.microsoft.com/office/drawing/2014/main" id="{388BE720-9ED3-1359-A2CE-6F6EE699A1C8}"/>
              </a:ext>
            </a:extLst>
          </xdr:cNvPr>
          <xdr:cNvSpPr>
            <a:spLocks/>
          </xdr:cNvSpPr>
        </xdr:nvSpPr>
        <xdr:spPr bwMode="auto">
          <a:xfrm>
            <a:off x="819" y="201"/>
            <a:ext cx="266" cy="74"/>
          </a:xfrm>
          <a:custGeom>
            <a:avLst/>
            <a:gdLst>
              <a:gd name="T0" fmla="*/ 0 w 207"/>
              <a:gd name="T1" fmla="*/ 126 h 126"/>
              <a:gd name="T2" fmla="*/ 207 w 207"/>
              <a:gd name="T3" fmla="*/ 126 h 126"/>
              <a:gd name="T4" fmla="*/ 207 w 207"/>
              <a:gd name="T5" fmla="*/ 0 h 126"/>
              <a:gd name="T6" fmla="*/ 195 w 207"/>
              <a:gd name="T7" fmla="*/ 0 h 126"/>
            </a:gdLst>
            <a:ahLst/>
            <a:cxnLst>
              <a:cxn ang="0">
                <a:pos x="T0" y="T1"/>
              </a:cxn>
              <a:cxn ang="0">
                <a:pos x="T2" y="T3"/>
              </a:cxn>
              <a:cxn ang="0">
                <a:pos x="T4" y="T5"/>
              </a:cxn>
              <a:cxn ang="0">
                <a:pos x="T6" y="T7"/>
              </a:cxn>
            </a:cxnLst>
            <a:rect l="0" t="0" r="r" b="b"/>
            <a:pathLst>
              <a:path w="207" h="126">
                <a:moveTo>
                  <a:pt x="0" y="126"/>
                </a:moveTo>
                <a:lnTo>
                  <a:pt x="207" y="126"/>
                </a:lnTo>
                <a:lnTo>
                  <a:pt x="207" y="0"/>
                </a:lnTo>
                <a:lnTo>
                  <a:pt x="195" y="0"/>
                </a:lnTo>
              </a:path>
            </a:pathLst>
          </a:custGeom>
          <a:noFill/>
          <a:ln w="19050" cmpd="sng">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1199" name="Line 175">
            <a:extLst>
              <a:ext uri="{FF2B5EF4-FFF2-40B4-BE49-F238E27FC236}">
                <a16:creationId xmlns:a16="http://schemas.microsoft.com/office/drawing/2014/main" id="{9EDE1C45-260B-077F-B7D2-678482A8991B}"/>
              </a:ext>
            </a:extLst>
          </xdr:cNvPr>
          <xdr:cNvSpPr>
            <a:spLocks noChangeShapeType="1"/>
          </xdr:cNvSpPr>
        </xdr:nvSpPr>
        <xdr:spPr bwMode="auto">
          <a:xfrm>
            <a:off x="1069" y="239"/>
            <a:ext cx="16"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clientData/>
  </xdr:twoCellAnchor>
  <xdr:twoCellAnchor>
    <xdr:from>
      <xdr:col>4</xdr:col>
      <xdr:colOff>594360</xdr:colOff>
      <xdr:row>8</xdr:row>
      <xdr:rowOff>76200</xdr:rowOff>
    </xdr:from>
    <xdr:to>
      <xdr:col>5</xdr:col>
      <xdr:colOff>236220</xdr:colOff>
      <xdr:row>13</xdr:row>
      <xdr:rowOff>45720</xdr:rowOff>
    </xdr:to>
    <xdr:sp macro="" textlink="">
      <xdr:nvSpPr>
        <xdr:cNvPr id="1202" name="Freeform 178">
          <a:extLst>
            <a:ext uri="{FF2B5EF4-FFF2-40B4-BE49-F238E27FC236}">
              <a16:creationId xmlns:a16="http://schemas.microsoft.com/office/drawing/2014/main" id="{434A34E7-5894-1A44-7885-337060B4505A}"/>
            </a:ext>
          </a:extLst>
        </xdr:cNvPr>
        <xdr:cNvSpPr>
          <a:spLocks/>
        </xdr:cNvSpPr>
      </xdr:nvSpPr>
      <xdr:spPr bwMode="auto">
        <a:xfrm>
          <a:off x="4899660" y="1798320"/>
          <a:ext cx="251460" cy="845820"/>
        </a:xfrm>
        <a:custGeom>
          <a:avLst/>
          <a:gdLst>
            <a:gd name="T0" fmla="*/ 2 w 24"/>
            <a:gd name="T1" fmla="*/ 88 h 88"/>
            <a:gd name="T2" fmla="*/ 24 w 24"/>
            <a:gd name="T3" fmla="*/ 88 h 88"/>
            <a:gd name="T4" fmla="*/ 24 w 24"/>
            <a:gd name="T5" fmla="*/ 0 h 88"/>
            <a:gd name="T6" fmla="*/ 0 w 24"/>
            <a:gd name="T7" fmla="*/ 0 h 88"/>
          </a:gdLst>
          <a:ahLst/>
          <a:cxnLst>
            <a:cxn ang="0">
              <a:pos x="T0" y="T1"/>
            </a:cxn>
            <a:cxn ang="0">
              <a:pos x="T2" y="T3"/>
            </a:cxn>
            <a:cxn ang="0">
              <a:pos x="T4" y="T5"/>
            </a:cxn>
            <a:cxn ang="0">
              <a:pos x="T6" y="T7"/>
            </a:cxn>
          </a:cxnLst>
          <a:rect l="0" t="0" r="r" b="b"/>
          <a:pathLst>
            <a:path w="24" h="88">
              <a:moveTo>
                <a:pt x="2" y="88"/>
              </a:moveTo>
              <a:lnTo>
                <a:pt x="24" y="88"/>
              </a:lnTo>
              <a:lnTo>
                <a:pt x="24" y="0"/>
              </a:lnTo>
              <a:lnTo>
                <a:pt x="0" y="0"/>
              </a:lnTo>
            </a:path>
          </a:pathLst>
        </a:custGeom>
        <a:noFill/>
        <a:ln w="19050" cmpd="sng">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5</xdr:col>
      <xdr:colOff>0</xdr:colOff>
      <xdr:row>10</xdr:row>
      <xdr:rowOff>91440</xdr:rowOff>
    </xdr:from>
    <xdr:to>
      <xdr:col>5</xdr:col>
      <xdr:colOff>213360</xdr:colOff>
      <xdr:row>10</xdr:row>
      <xdr:rowOff>91440</xdr:rowOff>
    </xdr:to>
    <xdr:sp macro="" textlink="">
      <xdr:nvSpPr>
        <xdr:cNvPr id="1203" name="Line 179">
          <a:extLst>
            <a:ext uri="{FF2B5EF4-FFF2-40B4-BE49-F238E27FC236}">
              <a16:creationId xmlns:a16="http://schemas.microsoft.com/office/drawing/2014/main" id="{9B82B716-7AA1-4A42-316C-E7E74C13CEA1}"/>
            </a:ext>
          </a:extLst>
        </xdr:cNvPr>
        <xdr:cNvSpPr>
          <a:spLocks noChangeShapeType="1"/>
        </xdr:cNvSpPr>
      </xdr:nvSpPr>
      <xdr:spPr bwMode="auto">
        <a:xfrm>
          <a:off x="4914900" y="2164080"/>
          <a:ext cx="21336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13</xdr:row>
      <xdr:rowOff>68580</xdr:rowOff>
    </xdr:from>
    <xdr:to>
      <xdr:col>8</xdr:col>
      <xdr:colOff>243840</xdr:colOff>
      <xdr:row>14</xdr:row>
      <xdr:rowOff>137160</xdr:rowOff>
    </xdr:to>
    <xdr:sp macro="" textlink="">
      <xdr:nvSpPr>
        <xdr:cNvPr id="1205" name="Freeform 181">
          <a:extLst>
            <a:ext uri="{FF2B5EF4-FFF2-40B4-BE49-F238E27FC236}">
              <a16:creationId xmlns:a16="http://schemas.microsoft.com/office/drawing/2014/main" id="{92E46C70-5BDE-C947-7530-D4666542BAC0}"/>
            </a:ext>
          </a:extLst>
        </xdr:cNvPr>
        <xdr:cNvSpPr>
          <a:spLocks/>
        </xdr:cNvSpPr>
      </xdr:nvSpPr>
      <xdr:spPr bwMode="auto">
        <a:xfrm>
          <a:off x="7993380" y="2667000"/>
          <a:ext cx="243840" cy="243840"/>
        </a:xfrm>
        <a:custGeom>
          <a:avLst/>
          <a:gdLst>
            <a:gd name="T0" fmla="*/ 24 w 24"/>
            <a:gd name="T1" fmla="*/ 23 h 23"/>
            <a:gd name="T2" fmla="*/ 24 w 24"/>
            <a:gd name="T3" fmla="*/ 0 h 23"/>
            <a:gd name="T4" fmla="*/ 0 w 24"/>
            <a:gd name="T5" fmla="*/ 0 h 23"/>
          </a:gdLst>
          <a:ahLst/>
          <a:cxnLst>
            <a:cxn ang="0">
              <a:pos x="T0" y="T1"/>
            </a:cxn>
            <a:cxn ang="0">
              <a:pos x="T2" y="T3"/>
            </a:cxn>
            <a:cxn ang="0">
              <a:pos x="T4" y="T5"/>
            </a:cxn>
          </a:cxnLst>
          <a:rect l="0" t="0" r="r" b="b"/>
          <a:pathLst>
            <a:path w="24" h="23">
              <a:moveTo>
                <a:pt x="24" y="23"/>
              </a:moveTo>
              <a:lnTo>
                <a:pt x="24" y="0"/>
              </a:lnTo>
              <a:lnTo>
                <a:pt x="0" y="0"/>
              </a:lnTo>
            </a:path>
          </a:pathLst>
        </a:custGeom>
        <a:noFill/>
        <a:ln w="19050" cmpd="sng">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6</xdr:col>
      <xdr:colOff>792480</xdr:colOff>
      <xdr:row>4</xdr:row>
      <xdr:rowOff>45720</xdr:rowOff>
    </xdr:from>
    <xdr:to>
      <xdr:col>10</xdr:col>
      <xdr:colOff>312420</xdr:colOff>
      <xdr:row>7</xdr:row>
      <xdr:rowOff>152400</xdr:rowOff>
    </xdr:to>
    <xdr:sp macro="" textlink="">
      <xdr:nvSpPr>
        <xdr:cNvPr id="1207" name="Freeform 183">
          <a:extLst>
            <a:ext uri="{FF2B5EF4-FFF2-40B4-BE49-F238E27FC236}">
              <a16:creationId xmlns:a16="http://schemas.microsoft.com/office/drawing/2014/main" id="{98413A54-6321-4118-61C0-9173F42ADAC9}"/>
            </a:ext>
          </a:extLst>
        </xdr:cNvPr>
        <xdr:cNvSpPr>
          <a:spLocks/>
        </xdr:cNvSpPr>
      </xdr:nvSpPr>
      <xdr:spPr bwMode="auto">
        <a:xfrm>
          <a:off x="6469380" y="1036320"/>
          <a:ext cx="3657600" cy="662940"/>
        </a:xfrm>
        <a:custGeom>
          <a:avLst/>
          <a:gdLst>
            <a:gd name="T0" fmla="*/ 375 w 375"/>
            <a:gd name="T1" fmla="*/ 69 h 69"/>
            <a:gd name="T2" fmla="*/ 375 w 375"/>
            <a:gd name="T3" fmla="*/ 0 h 69"/>
            <a:gd name="T4" fmla="*/ 0 w 375"/>
            <a:gd name="T5" fmla="*/ 0 h 69"/>
            <a:gd name="T6" fmla="*/ 0 w 375"/>
            <a:gd name="T7" fmla="*/ 13 h 69"/>
          </a:gdLst>
          <a:ahLst/>
          <a:cxnLst>
            <a:cxn ang="0">
              <a:pos x="T0" y="T1"/>
            </a:cxn>
            <a:cxn ang="0">
              <a:pos x="T2" y="T3"/>
            </a:cxn>
            <a:cxn ang="0">
              <a:pos x="T4" y="T5"/>
            </a:cxn>
            <a:cxn ang="0">
              <a:pos x="T6" y="T7"/>
            </a:cxn>
          </a:cxnLst>
          <a:rect l="0" t="0" r="r" b="b"/>
          <a:pathLst>
            <a:path w="375" h="69">
              <a:moveTo>
                <a:pt x="375" y="69"/>
              </a:moveTo>
              <a:lnTo>
                <a:pt x="375" y="0"/>
              </a:lnTo>
              <a:lnTo>
                <a:pt x="0" y="0"/>
              </a:lnTo>
              <a:lnTo>
                <a:pt x="0" y="13"/>
              </a:lnTo>
            </a:path>
          </a:pathLst>
        </a:custGeom>
        <a:noFill/>
        <a:ln w="19050" cmpd="sng">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426720</xdr:colOff>
      <xdr:row>8</xdr:row>
      <xdr:rowOff>0</xdr:rowOff>
    </xdr:from>
    <xdr:to>
      <xdr:col>7</xdr:col>
      <xdr:colOff>426720</xdr:colOff>
      <xdr:row>12</xdr:row>
      <xdr:rowOff>0</xdr:rowOff>
    </xdr:to>
    <xdr:sp macro="" textlink="">
      <xdr:nvSpPr>
        <xdr:cNvPr id="8193" name="Line 1">
          <a:extLst>
            <a:ext uri="{FF2B5EF4-FFF2-40B4-BE49-F238E27FC236}">
              <a16:creationId xmlns:a16="http://schemas.microsoft.com/office/drawing/2014/main" id="{6E301108-8AD2-6F58-F4F5-ABE282631402}"/>
            </a:ext>
          </a:extLst>
        </xdr:cNvPr>
        <xdr:cNvSpPr>
          <a:spLocks noChangeShapeType="1"/>
        </xdr:cNvSpPr>
      </xdr:nvSpPr>
      <xdr:spPr bwMode="auto">
        <a:xfrm>
          <a:off x="7688580" y="1722120"/>
          <a:ext cx="0" cy="70104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9</xdr:row>
      <xdr:rowOff>106680</xdr:rowOff>
    </xdr:from>
    <xdr:to>
      <xdr:col>7</xdr:col>
      <xdr:colOff>426720</xdr:colOff>
      <xdr:row>42</xdr:row>
      <xdr:rowOff>91440</xdr:rowOff>
    </xdr:to>
    <xdr:sp macro="" textlink="">
      <xdr:nvSpPr>
        <xdr:cNvPr id="8194" name="Freeform 2">
          <a:extLst>
            <a:ext uri="{FF2B5EF4-FFF2-40B4-BE49-F238E27FC236}">
              <a16:creationId xmlns:a16="http://schemas.microsoft.com/office/drawing/2014/main" id="{E31F5F2D-8BB2-A75E-6144-5DB7ACB0F8BB}"/>
            </a:ext>
          </a:extLst>
        </xdr:cNvPr>
        <xdr:cNvSpPr>
          <a:spLocks/>
        </xdr:cNvSpPr>
      </xdr:nvSpPr>
      <xdr:spPr bwMode="auto">
        <a:xfrm>
          <a:off x="4914900" y="2004060"/>
          <a:ext cx="2773680" cy="5768340"/>
        </a:xfrm>
        <a:custGeom>
          <a:avLst/>
          <a:gdLst>
            <a:gd name="T0" fmla="*/ 0 w 377"/>
            <a:gd name="T1" fmla="*/ 198 h 198"/>
            <a:gd name="T2" fmla="*/ 73 w 377"/>
            <a:gd name="T3" fmla="*/ 198 h 198"/>
            <a:gd name="T4" fmla="*/ 73 w 377"/>
            <a:gd name="T5" fmla="*/ 0 h 198"/>
            <a:gd name="T6" fmla="*/ 377 w 377"/>
            <a:gd name="T7" fmla="*/ 0 h 198"/>
            <a:gd name="T8" fmla="*/ 377 w 377"/>
            <a:gd name="T9" fmla="*/ 9 h 198"/>
          </a:gdLst>
          <a:ahLst/>
          <a:cxnLst>
            <a:cxn ang="0">
              <a:pos x="T0" y="T1"/>
            </a:cxn>
            <a:cxn ang="0">
              <a:pos x="T2" y="T3"/>
            </a:cxn>
            <a:cxn ang="0">
              <a:pos x="T4" y="T5"/>
            </a:cxn>
            <a:cxn ang="0">
              <a:pos x="T6" y="T7"/>
            </a:cxn>
            <a:cxn ang="0">
              <a:pos x="T8" y="T9"/>
            </a:cxn>
          </a:cxnLst>
          <a:rect l="0" t="0" r="r" b="b"/>
          <a:pathLst>
            <a:path w="377" h="198">
              <a:moveTo>
                <a:pt x="0" y="198"/>
              </a:moveTo>
              <a:lnTo>
                <a:pt x="73" y="198"/>
              </a:lnTo>
              <a:lnTo>
                <a:pt x="73" y="0"/>
              </a:lnTo>
              <a:lnTo>
                <a:pt x="377" y="0"/>
              </a:lnTo>
              <a:lnTo>
                <a:pt x="377" y="9"/>
              </a:lnTo>
            </a:path>
          </a:pathLst>
        </a:custGeom>
        <a:noFill/>
        <a:ln w="19050" cmpd="sng">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4</xdr:col>
      <xdr:colOff>342900</xdr:colOff>
      <xdr:row>32</xdr:row>
      <xdr:rowOff>0</xdr:rowOff>
    </xdr:from>
    <xdr:to>
      <xdr:col>4</xdr:col>
      <xdr:colOff>342900</xdr:colOff>
      <xdr:row>32</xdr:row>
      <xdr:rowOff>0</xdr:rowOff>
    </xdr:to>
    <xdr:sp macro="" textlink="">
      <xdr:nvSpPr>
        <xdr:cNvPr id="8195" name="Line 3">
          <a:extLst>
            <a:ext uri="{FF2B5EF4-FFF2-40B4-BE49-F238E27FC236}">
              <a16:creationId xmlns:a16="http://schemas.microsoft.com/office/drawing/2014/main" id="{8275546E-0156-273D-D3C9-B7715756BD8B}"/>
            </a:ext>
          </a:extLst>
        </xdr:cNvPr>
        <xdr:cNvSpPr>
          <a:spLocks noChangeShapeType="1"/>
        </xdr:cNvSpPr>
      </xdr:nvSpPr>
      <xdr:spPr bwMode="auto">
        <a:xfrm>
          <a:off x="4648200" y="592836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106680</xdr:colOff>
      <xdr:row>32</xdr:row>
      <xdr:rowOff>0</xdr:rowOff>
    </xdr:from>
    <xdr:to>
      <xdr:col>4</xdr:col>
      <xdr:colOff>342900</xdr:colOff>
      <xdr:row>32</xdr:row>
      <xdr:rowOff>129540</xdr:rowOff>
    </xdr:to>
    <xdr:grpSp>
      <xdr:nvGrpSpPr>
        <xdr:cNvPr id="8196" name="Group 4">
          <a:extLst>
            <a:ext uri="{FF2B5EF4-FFF2-40B4-BE49-F238E27FC236}">
              <a16:creationId xmlns:a16="http://schemas.microsoft.com/office/drawing/2014/main" id="{C33EF714-F9B9-4651-8E03-ECF76A5B5789}"/>
            </a:ext>
          </a:extLst>
        </xdr:cNvPr>
        <xdr:cNvGrpSpPr>
          <a:grpSpLocks/>
        </xdr:cNvGrpSpPr>
      </xdr:nvGrpSpPr>
      <xdr:grpSpPr bwMode="auto">
        <a:xfrm>
          <a:off x="2580939" y="6042212"/>
          <a:ext cx="2065020" cy="129540"/>
          <a:chOff x="264" y="559"/>
          <a:chExt cx="215" cy="15"/>
        </a:xfrm>
      </xdr:grpSpPr>
      <xdr:sp macro="" textlink="">
        <xdr:nvSpPr>
          <xdr:cNvPr id="8197" name="Line 5">
            <a:extLst>
              <a:ext uri="{FF2B5EF4-FFF2-40B4-BE49-F238E27FC236}">
                <a16:creationId xmlns:a16="http://schemas.microsoft.com/office/drawing/2014/main" id="{7295637E-215A-5756-38C8-6CB3D18D2800}"/>
              </a:ext>
            </a:extLst>
          </xdr:cNvPr>
          <xdr:cNvSpPr>
            <a:spLocks noChangeShapeType="1"/>
          </xdr:cNvSpPr>
        </xdr:nvSpPr>
        <xdr:spPr bwMode="auto">
          <a:xfrm>
            <a:off x="478" y="559"/>
            <a:ext cx="0" cy="1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8198" name="Line 6">
            <a:extLst>
              <a:ext uri="{FF2B5EF4-FFF2-40B4-BE49-F238E27FC236}">
                <a16:creationId xmlns:a16="http://schemas.microsoft.com/office/drawing/2014/main" id="{7C46A527-0647-F658-C872-5727262A5578}"/>
              </a:ext>
            </a:extLst>
          </xdr:cNvPr>
          <xdr:cNvSpPr>
            <a:spLocks noChangeShapeType="1"/>
          </xdr:cNvSpPr>
        </xdr:nvSpPr>
        <xdr:spPr bwMode="auto">
          <a:xfrm flipH="1" flipV="1">
            <a:off x="264" y="572"/>
            <a:ext cx="215" cy="1"/>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0</xdr:colOff>
      <xdr:row>39</xdr:row>
      <xdr:rowOff>106680</xdr:rowOff>
    </xdr:from>
    <xdr:to>
      <xdr:col>3</xdr:col>
      <xdr:colOff>0</xdr:colOff>
      <xdr:row>39</xdr:row>
      <xdr:rowOff>106680</xdr:rowOff>
    </xdr:to>
    <xdr:sp macro="" textlink="">
      <xdr:nvSpPr>
        <xdr:cNvPr id="8199" name="Line 7">
          <a:extLst>
            <a:ext uri="{FF2B5EF4-FFF2-40B4-BE49-F238E27FC236}">
              <a16:creationId xmlns:a16="http://schemas.microsoft.com/office/drawing/2014/main" id="{8A4BF35D-5469-7C31-7FCC-5BDD9CB0C87D}"/>
            </a:ext>
          </a:extLst>
        </xdr:cNvPr>
        <xdr:cNvSpPr>
          <a:spLocks noChangeShapeType="1"/>
        </xdr:cNvSpPr>
      </xdr:nvSpPr>
      <xdr:spPr bwMode="auto">
        <a:xfrm>
          <a:off x="2476500" y="726186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502920</xdr:colOff>
      <xdr:row>32</xdr:row>
      <xdr:rowOff>68580</xdr:rowOff>
    </xdr:from>
    <xdr:to>
      <xdr:col>3</xdr:col>
      <xdr:colOff>114300</xdr:colOff>
      <xdr:row>36</xdr:row>
      <xdr:rowOff>91440</xdr:rowOff>
    </xdr:to>
    <xdr:grpSp>
      <xdr:nvGrpSpPr>
        <xdr:cNvPr id="8200" name="Group 8">
          <a:extLst>
            <a:ext uri="{FF2B5EF4-FFF2-40B4-BE49-F238E27FC236}">
              <a16:creationId xmlns:a16="http://schemas.microsoft.com/office/drawing/2014/main" id="{CD950F6C-1C0C-5AAB-589A-03429116DFD9}"/>
            </a:ext>
          </a:extLst>
        </xdr:cNvPr>
        <xdr:cNvGrpSpPr>
          <a:grpSpLocks/>
        </xdr:cNvGrpSpPr>
      </xdr:nvGrpSpPr>
      <xdr:grpSpPr bwMode="auto">
        <a:xfrm>
          <a:off x="2466191" y="6110792"/>
          <a:ext cx="122368" cy="740036"/>
          <a:chOff x="252" y="568"/>
          <a:chExt cx="13" cy="56"/>
        </a:xfrm>
      </xdr:grpSpPr>
      <xdr:sp macro="" textlink="">
        <xdr:nvSpPr>
          <xdr:cNvPr id="8201" name="Line 9">
            <a:extLst>
              <a:ext uri="{FF2B5EF4-FFF2-40B4-BE49-F238E27FC236}">
                <a16:creationId xmlns:a16="http://schemas.microsoft.com/office/drawing/2014/main" id="{2AB4116E-5333-0360-7CBE-DA7D4C60A986}"/>
              </a:ext>
            </a:extLst>
          </xdr:cNvPr>
          <xdr:cNvSpPr>
            <a:spLocks noChangeShapeType="1"/>
          </xdr:cNvSpPr>
        </xdr:nvSpPr>
        <xdr:spPr bwMode="auto">
          <a:xfrm flipV="1">
            <a:off x="253" y="569"/>
            <a:ext cx="11"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8202" name="Line 10">
            <a:extLst>
              <a:ext uri="{FF2B5EF4-FFF2-40B4-BE49-F238E27FC236}">
                <a16:creationId xmlns:a16="http://schemas.microsoft.com/office/drawing/2014/main" id="{3BA2D987-E376-CA58-944D-CEA3AFF1F370}"/>
              </a:ext>
            </a:extLst>
          </xdr:cNvPr>
          <xdr:cNvSpPr>
            <a:spLocks noChangeShapeType="1"/>
          </xdr:cNvSpPr>
        </xdr:nvSpPr>
        <xdr:spPr bwMode="auto">
          <a:xfrm flipV="1">
            <a:off x="253" y="587"/>
            <a:ext cx="11"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8203" name="Line 11">
            <a:extLst>
              <a:ext uri="{FF2B5EF4-FFF2-40B4-BE49-F238E27FC236}">
                <a16:creationId xmlns:a16="http://schemas.microsoft.com/office/drawing/2014/main" id="{D84B6ABA-5C92-A9C9-45D5-A2F99F0022DC}"/>
              </a:ext>
            </a:extLst>
          </xdr:cNvPr>
          <xdr:cNvSpPr>
            <a:spLocks noChangeShapeType="1"/>
          </xdr:cNvSpPr>
        </xdr:nvSpPr>
        <xdr:spPr bwMode="auto">
          <a:xfrm>
            <a:off x="252" y="605"/>
            <a:ext cx="13"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8204" name="Line 12">
            <a:extLst>
              <a:ext uri="{FF2B5EF4-FFF2-40B4-BE49-F238E27FC236}">
                <a16:creationId xmlns:a16="http://schemas.microsoft.com/office/drawing/2014/main" id="{F692CF7A-D5FA-9278-6058-F16E98E40648}"/>
              </a:ext>
            </a:extLst>
          </xdr:cNvPr>
          <xdr:cNvSpPr>
            <a:spLocks noChangeShapeType="1"/>
          </xdr:cNvSpPr>
        </xdr:nvSpPr>
        <xdr:spPr bwMode="auto">
          <a:xfrm flipH="1">
            <a:off x="264" y="568"/>
            <a:ext cx="1" cy="56"/>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8205" name="Line 13">
            <a:extLst>
              <a:ext uri="{FF2B5EF4-FFF2-40B4-BE49-F238E27FC236}">
                <a16:creationId xmlns:a16="http://schemas.microsoft.com/office/drawing/2014/main" id="{C1F30093-BB6E-7DF4-E611-6DBC1BD808FD}"/>
              </a:ext>
            </a:extLst>
          </xdr:cNvPr>
          <xdr:cNvSpPr>
            <a:spLocks noChangeShapeType="1"/>
          </xdr:cNvSpPr>
        </xdr:nvSpPr>
        <xdr:spPr bwMode="auto">
          <a:xfrm flipV="1">
            <a:off x="252" y="623"/>
            <a:ext cx="13"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0</xdr:colOff>
      <xdr:row>37</xdr:row>
      <xdr:rowOff>7620</xdr:rowOff>
    </xdr:from>
    <xdr:to>
      <xdr:col>4</xdr:col>
      <xdr:colOff>335280</xdr:colOff>
      <xdr:row>39</xdr:row>
      <xdr:rowOff>91440</xdr:rowOff>
    </xdr:to>
    <xdr:grpSp>
      <xdr:nvGrpSpPr>
        <xdr:cNvPr id="8206" name="Group 14">
          <a:extLst>
            <a:ext uri="{FF2B5EF4-FFF2-40B4-BE49-F238E27FC236}">
              <a16:creationId xmlns:a16="http://schemas.microsoft.com/office/drawing/2014/main" id="{800AB474-9E95-0ED4-F9A6-06F8716352E5}"/>
            </a:ext>
          </a:extLst>
        </xdr:cNvPr>
        <xdr:cNvGrpSpPr>
          <a:grpSpLocks/>
        </xdr:cNvGrpSpPr>
      </xdr:nvGrpSpPr>
      <xdr:grpSpPr bwMode="auto">
        <a:xfrm>
          <a:off x="2474259" y="6946302"/>
          <a:ext cx="2164080" cy="442409"/>
          <a:chOff x="253" y="667"/>
          <a:chExt cx="222" cy="44"/>
        </a:xfrm>
      </xdr:grpSpPr>
      <xdr:grpSp>
        <xdr:nvGrpSpPr>
          <xdr:cNvPr id="8207" name="Group 15">
            <a:extLst>
              <a:ext uri="{FF2B5EF4-FFF2-40B4-BE49-F238E27FC236}">
                <a16:creationId xmlns:a16="http://schemas.microsoft.com/office/drawing/2014/main" id="{0DAA34AA-191A-1B68-8892-8AC0899CB500}"/>
              </a:ext>
            </a:extLst>
          </xdr:cNvPr>
          <xdr:cNvGrpSpPr>
            <a:grpSpLocks/>
          </xdr:cNvGrpSpPr>
        </xdr:nvGrpSpPr>
        <xdr:grpSpPr bwMode="auto">
          <a:xfrm>
            <a:off x="253" y="693"/>
            <a:ext cx="13" cy="18"/>
            <a:chOff x="301" y="720"/>
            <a:chExt cx="13" cy="18"/>
          </a:xfrm>
        </xdr:grpSpPr>
        <xdr:sp macro="" textlink="">
          <xdr:nvSpPr>
            <xdr:cNvPr id="8208" name="Line 16">
              <a:extLst>
                <a:ext uri="{FF2B5EF4-FFF2-40B4-BE49-F238E27FC236}">
                  <a16:creationId xmlns:a16="http://schemas.microsoft.com/office/drawing/2014/main" id="{D40BFA83-4EA6-A4F1-72AB-3D3C0FC9BB72}"/>
                </a:ext>
              </a:extLst>
            </xdr:cNvPr>
            <xdr:cNvSpPr>
              <a:spLocks noChangeShapeType="1"/>
            </xdr:cNvSpPr>
          </xdr:nvSpPr>
          <xdr:spPr bwMode="auto">
            <a:xfrm flipV="1">
              <a:off x="301" y="720"/>
              <a:ext cx="12"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8209" name="Line 17">
              <a:extLst>
                <a:ext uri="{FF2B5EF4-FFF2-40B4-BE49-F238E27FC236}">
                  <a16:creationId xmlns:a16="http://schemas.microsoft.com/office/drawing/2014/main" id="{DBE800EF-687D-C612-5973-346F487081BF}"/>
                </a:ext>
              </a:extLst>
            </xdr:cNvPr>
            <xdr:cNvSpPr>
              <a:spLocks noChangeShapeType="1"/>
            </xdr:cNvSpPr>
          </xdr:nvSpPr>
          <xdr:spPr bwMode="auto">
            <a:xfrm flipV="1">
              <a:off x="302" y="738"/>
              <a:ext cx="12"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8210" name="Line 18">
              <a:extLst>
                <a:ext uri="{FF2B5EF4-FFF2-40B4-BE49-F238E27FC236}">
                  <a16:creationId xmlns:a16="http://schemas.microsoft.com/office/drawing/2014/main" id="{3995325E-6CDC-8028-2507-D255E7362A65}"/>
                </a:ext>
              </a:extLst>
            </xdr:cNvPr>
            <xdr:cNvSpPr>
              <a:spLocks noChangeShapeType="1"/>
            </xdr:cNvSpPr>
          </xdr:nvSpPr>
          <xdr:spPr bwMode="auto">
            <a:xfrm>
              <a:off x="313" y="720"/>
              <a:ext cx="0" cy="17"/>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sp macro="" textlink="">
        <xdr:nvSpPr>
          <xdr:cNvPr id="8211" name="Line 19">
            <a:extLst>
              <a:ext uri="{FF2B5EF4-FFF2-40B4-BE49-F238E27FC236}">
                <a16:creationId xmlns:a16="http://schemas.microsoft.com/office/drawing/2014/main" id="{8C136358-F38E-8F25-A871-E56CB3E2AD07}"/>
              </a:ext>
            </a:extLst>
          </xdr:cNvPr>
          <xdr:cNvSpPr>
            <a:spLocks noChangeShapeType="1"/>
          </xdr:cNvSpPr>
        </xdr:nvSpPr>
        <xdr:spPr bwMode="auto">
          <a:xfrm>
            <a:off x="475" y="667"/>
            <a:ext cx="0" cy="33"/>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8212" name="Line 20">
            <a:extLst>
              <a:ext uri="{FF2B5EF4-FFF2-40B4-BE49-F238E27FC236}">
                <a16:creationId xmlns:a16="http://schemas.microsoft.com/office/drawing/2014/main" id="{9C3D93B2-57EB-D2B9-FCAC-68472593E0CA}"/>
              </a:ext>
            </a:extLst>
          </xdr:cNvPr>
          <xdr:cNvSpPr>
            <a:spLocks noChangeShapeType="1"/>
          </xdr:cNvSpPr>
        </xdr:nvSpPr>
        <xdr:spPr bwMode="auto">
          <a:xfrm flipH="1">
            <a:off x="264" y="700"/>
            <a:ext cx="211" cy="1"/>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clientData/>
  </xdr:twoCellAnchor>
  <xdr:twoCellAnchor>
    <xdr:from>
      <xdr:col>5</xdr:col>
      <xdr:colOff>0</xdr:colOff>
      <xdr:row>34</xdr:row>
      <xdr:rowOff>106680</xdr:rowOff>
    </xdr:from>
    <xdr:to>
      <xdr:col>5</xdr:col>
      <xdr:colOff>236220</xdr:colOff>
      <xdr:row>41</xdr:row>
      <xdr:rowOff>106680</xdr:rowOff>
    </xdr:to>
    <xdr:sp macro="" textlink="">
      <xdr:nvSpPr>
        <xdr:cNvPr id="8213" name="Freeform 21">
          <a:extLst>
            <a:ext uri="{FF2B5EF4-FFF2-40B4-BE49-F238E27FC236}">
              <a16:creationId xmlns:a16="http://schemas.microsoft.com/office/drawing/2014/main" id="{ECD91FAD-86CE-8776-9539-B07037BA5CC8}"/>
            </a:ext>
          </a:extLst>
        </xdr:cNvPr>
        <xdr:cNvSpPr>
          <a:spLocks/>
        </xdr:cNvSpPr>
      </xdr:nvSpPr>
      <xdr:spPr bwMode="auto">
        <a:xfrm>
          <a:off x="4914900" y="6385560"/>
          <a:ext cx="236220" cy="1226820"/>
        </a:xfrm>
        <a:custGeom>
          <a:avLst/>
          <a:gdLst>
            <a:gd name="T0" fmla="*/ 1 w 26"/>
            <a:gd name="T1" fmla="*/ 62 h 62"/>
            <a:gd name="T2" fmla="*/ 26 w 26"/>
            <a:gd name="T3" fmla="*/ 62 h 62"/>
            <a:gd name="T4" fmla="*/ 26 w 26"/>
            <a:gd name="T5" fmla="*/ 0 h 62"/>
            <a:gd name="T6" fmla="*/ 0 w 26"/>
            <a:gd name="T7" fmla="*/ 0 h 62"/>
          </a:gdLst>
          <a:ahLst/>
          <a:cxnLst>
            <a:cxn ang="0">
              <a:pos x="T0" y="T1"/>
            </a:cxn>
            <a:cxn ang="0">
              <a:pos x="T2" y="T3"/>
            </a:cxn>
            <a:cxn ang="0">
              <a:pos x="T4" y="T5"/>
            </a:cxn>
            <a:cxn ang="0">
              <a:pos x="T6" y="T7"/>
            </a:cxn>
          </a:cxnLst>
          <a:rect l="0" t="0" r="r" b="b"/>
          <a:pathLst>
            <a:path w="26" h="62">
              <a:moveTo>
                <a:pt x="1" y="62"/>
              </a:moveTo>
              <a:lnTo>
                <a:pt x="26" y="62"/>
              </a:lnTo>
              <a:lnTo>
                <a:pt x="26" y="0"/>
              </a:lnTo>
              <a:lnTo>
                <a:pt x="0" y="0"/>
              </a:lnTo>
            </a:path>
          </a:pathLst>
        </a:custGeom>
        <a:noFill/>
        <a:ln w="19050" cmpd="sng">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5</xdr:col>
      <xdr:colOff>0</xdr:colOff>
      <xdr:row>36</xdr:row>
      <xdr:rowOff>76200</xdr:rowOff>
    </xdr:from>
    <xdr:to>
      <xdr:col>5</xdr:col>
      <xdr:colOff>213360</xdr:colOff>
      <xdr:row>36</xdr:row>
      <xdr:rowOff>76200</xdr:rowOff>
    </xdr:to>
    <xdr:sp macro="" textlink="">
      <xdr:nvSpPr>
        <xdr:cNvPr id="8214" name="Line 22">
          <a:extLst>
            <a:ext uri="{FF2B5EF4-FFF2-40B4-BE49-F238E27FC236}">
              <a16:creationId xmlns:a16="http://schemas.microsoft.com/office/drawing/2014/main" id="{7FC5F7A5-9CD4-D9ED-F9C7-1BCCFC0550B1}"/>
            </a:ext>
          </a:extLst>
        </xdr:cNvPr>
        <xdr:cNvSpPr>
          <a:spLocks noChangeShapeType="1"/>
        </xdr:cNvSpPr>
      </xdr:nvSpPr>
      <xdr:spPr bwMode="auto">
        <a:xfrm flipV="1">
          <a:off x="4914900" y="6705600"/>
          <a:ext cx="21336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27</xdr:row>
      <xdr:rowOff>7620</xdr:rowOff>
    </xdr:from>
    <xdr:to>
      <xdr:col>4</xdr:col>
      <xdr:colOff>381000</xdr:colOff>
      <xdr:row>29</xdr:row>
      <xdr:rowOff>76200</xdr:rowOff>
    </xdr:to>
    <xdr:grpSp>
      <xdr:nvGrpSpPr>
        <xdr:cNvPr id="8215" name="Group 23">
          <a:extLst>
            <a:ext uri="{FF2B5EF4-FFF2-40B4-BE49-F238E27FC236}">
              <a16:creationId xmlns:a16="http://schemas.microsoft.com/office/drawing/2014/main" id="{ABD40128-4A6B-29FB-4347-167ABF600AB5}"/>
            </a:ext>
          </a:extLst>
        </xdr:cNvPr>
        <xdr:cNvGrpSpPr>
          <a:grpSpLocks/>
        </xdr:cNvGrpSpPr>
      </xdr:nvGrpSpPr>
      <xdr:grpSpPr bwMode="auto">
        <a:xfrm>
          <a:off x="2474259" y="5153361"/>
          <a:ext cx="2209800" cy="427168"/>
          <a:chOff x="253" y="472"/>
          <a:chExt cx="227" cy="43"/>
        </a:xfrm>
      </xdr:grpSpPr>
      <xdr:grpSp>
        <xdr:nvGrpSpPr>
          <xdr:cNvPr id="8216" name="Group 24">
            <a:extLst>
              <a:ext uri="{FF2B5EF4-FFF2-40B4-BE49-F238E27FC236}">
                <a16:creationId xmlns:a16="http://schemas.microsoft.com/office/drawing/2014/main" id="{B5B5BC12-59CA-33E5-A62F-AD812BC455EB}"/>
              </a:ext>
            </a:extLst>
          </xdr:cNvPr>
          <xdr:cNvGrpSpPr>
            <a:grpSpLocks/>
          </xdr:cNvGrpSpPr>
        </xdr:nvGrpSpPr>
        <xdr:grpSpPr bwMode="auto">
          <a:xfrm>
            <a:off x="253" y="478"/>
            <a:ext cx="13" cy="37"/>
            <a:chOff x="268" y="478"/>
            <a:chExt cx="13" cy="37"/>
          </a:xfrm>
        </xdr:grpSpPr>
        <xdr:sp macro="" textlink="">
          <xdr:nvSpPr>
            <xdr:cNvPr id="8217" name="Line 25">
              <a:extLst>
                <a:ext uri="{FF2B5EF4-FFF2-40B4-BE49-F238E27FC236}">
                  <a16:creationId xmlns:a16="http://schemas.microsoft.com/office/drawing/2014/main" id="{0EB50AC7-59EF-7732-BAAF-781E43E38633}"/>
                </a:ext>
              </a:extLst>
            </xdr:cNvPr>
            <xdr:cNvSpPr>
              <a:spLocks noChangeShapeType="1"/>
            </xdr:cNvSpPr>
          </xdr:nvSpPr>
          <xdr:spPr bwMode="auto">
            <a:xfrm flipV="1">
              <a:off x="269" y="479"/>
              <a:ext cx="11"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8218" name="Line 26">
              <a:extLst>
                <a:ext uri="{FF2B5EF4-FFF2-40B4-BE49-F238E27FC236}">
                  <a16:creationId xmlns:a16="http://schemas.microsoft.com/office/drawing/2014/main" id="{C766DB0D-39DF-9661-F405-080384EA2245}"/>
                </a:ext>
              </a:extLst>
            </xdr:cNvPr>
            <xdr:cNvSpPr>
              <a:spLocks noChangeShapeType="1"/>
            </xdr:cNvSpPr>
          </xdr:nvSpPr>
          <xdr:spPr bwMode="auto">
            <a:xfrm flipV="1">
              <a:off x="269" y="497"/>
              <a:ext cx="11"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8219" name="Line 27">
              <a:extLst>
                <a:ext uri="{FF2B5EF4-FFF2-40B4-BE49-F238E27FC236}">
                  <a16:creationId xmlns:a16="http://schemas.microsoft.com/office/drawing/2014/main" id="{CF5A5589-B3BD-7971-F8C3-489C868E756E}"/>
                </a:ext>
              </a:extLst>
            </xdr:cNvPr>
            <xdr:cNvSpPr>
              <a:spLocks noChangeShapeType="1"/>
            </xdr:cNvSpPr>
          </xdr:nvSpPr>
          <xdr:spPr bwMode="auto">
            <a:xfrm>
              <a:off x="268" y="515"/>
              <a:ext cx="13"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8220" name="Line 28">
              <a:extLst>
                <a:ext uri="{FF2B5EF4-FFF2-40B4-BE49-F238E27FC236}">
                  <a16:creationId xmlns:a16="http://schemas.microsoft.com/office/drawing/2014/main" id="{1DCC6FD9-0F4D-D159-9E50-41208EB2B161}"/>
                </a:ext>
              </a:extLst>
            </xdr:cNvPr>
            <xdr:cNvSpPr>
              <a:spLocks noChangeShapeType="1"/>
            </xdr:cNvSpPr>
          </xdr:nvSpPr>
          <xdr:spPr bwMode="auto">
            <a:xfrm>
              <a:off x="281" y="478"/>
              <a:ext cx="0" cy="37"/>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8221" name="Group 29">
            <a:extLst>
              <a:ext uri="{FF2B5EF4-FFF2-40B4-BE49-F238E27FC236}">
                <a16:creationId xmlns:a16="http://schemas.microsoft.com/office/drawing/2014/main" id="{0ED72096-E8DD-1225-B151-C864186E908C}"/>
              </a:ext>
            </a:extLst>
          </xdr:cNvPr>
          <xdr:cNvGrpSpPr>
            <a:grpSpLocks/>
          </xdr:cNvGrpSpPr>
        </xdr:nvGrpSpPr>
        <xdr:grpSpPr bwMode="auto">
          <a:xfrm>
            <a:off x="265" y="472"/>
            <a:ext cx="215" cy="15"/>
            <a:chOff x="264" y="559"/>
            <a:chExt cx="215" cy="15"/>
          </a:xfrm>
        </xdr:grpSpPr>
        <xdr:sp macro="" textlink="">
          <xdr:nvSpPr>
            <xdr:cNvPr id="8222" name="Line 30">
              <a:extLst>
                <a:ext uri="{FF2B5EF4-FFF2-40B4-BE49-F238E27FC236}">
                  <a16:creationId xmlns:a16="http://schemas.microsoft.com/office/drawing/2014/main" id="{31C81F3F-E365-06F9-02B5-DC6ACC8B60F1}"/>
                </a:ext>
              </a:extLst>
            </xdr:cNvPr>
            <xdr:cNvSpPr>
              <a:spLocks noChangeShapeType="1"/>
            </xdr:cNvSpPr>
          </xdr:nvSpPr>
          <xdr:spPr bwMode="auto">
            <a:xfrm>
              <a:off x="478" y="559"/>
              <a:ext cx="0" cy="1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8223" name="Line 31">
              <a:extLst>
                <a:ext uri="{FF2B5EF4-FFF2-40B4-BE49-F238E27FC236}">
                  <a16:creationId xmlns:a16="http://schemas.microsoft.com/office/drawing/2014/main" id="{3AC3E2E8-BA0E-00E9-771C-CF51687FA0EE}"/>
                </a:ext>
              </a:extLst>
            </xdr:cNvPr>
            <xdr:cNvSpPr>
              <a:spLocks noChangeShapeType="1"/>
            </xdr:cNvSpPr>
          </xdr:nvSpPr>
          <xdr:spPr bwMode="auto">
            <a:xfrm flipH="1" flipV="1">
              <a:off x="264" y="572"/>
              <a:ext cx="215" cy="1"/>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clientData/>
  </xdr:twoCellAnchor>
  <xdr:twoCellAnchor>
    <xdr:from>
      <xdr:col>7</xdr:col>
      <xdr:colOff>723900</xdr:colOff>
      <xdr:row>24</xdr:row>
      <xdr:rowOff>68580</xdr:rowOff>
    </xdr:from>
    <xdr:to>
      <xdr:col>8</xdr:col>
      <xdr:colOff>144780</xdr:colOff>
      <xdr:row>25</xdr:row>
      <xdr:rowOff>68580</xdr:rowOff>
    </xdr:to>
    <xdr:grpSp>
      <xdr:nvGrpSpPr>
        <xdr:cNvPr id="8224" name="Group 32">
          <a:extLst>
            <a:ext uri="{FF2B5EF4-FFF2-40B4-BE49-F238E27FC236}">
              <a16:creationId xmlns:a16="http://schemas.microsoft.com/office/drawing/2014/main" id="{663650E0-FD36-1843-5181-1F23AD598CE6}"/>
            </a:ext>
          </a:extLst>
        </xdr:cNvPr>
        <xdr:cNvGrpSpPr>
          <a:grpSpLocks/>
        </xdr:cNvGrpSpPr>
      </xdr:nvGrpSpPr>
      <xdr:grpSpPr bwMode="auto">
        <a:xfrm>
          <a:off x="7985312" y="4676439"/>
          <a:ext cx="155986" cy="179294"/>
          <a:chOff x="301" y="720"/>
          <a:chExt cx="13" cy="18"/>
        </a:xfrm>
      </xdr:grpSpPr>
      <xdr:sp macro="" textlink="">
        <xdr:nvSpPr>
          <xdr:cNvPr id="8225" name="Line 33">
            <a:extLst>
              <a:ext uri="{FF2B5EF4-FFF2-40B4-BE49-F238E27FC236}">
                <a16:creationId xmlns:a16="http://schemas.microsoft.com/office/drawing/2014/main" id="{182D84E2-E63A-21CE-B711-A488B8A81FEE}"/>
              </a:ext>
            </a:extLst>
          </xdr:cNvPr>
          <xdr:cNvSpPr>
            <a:spLocks noChangeShapeType="1"/>
          </xdr:cNvSpPr>
        </xdr:nvSpPr>
        <xdr:spPr bwMode="auto">
          <a:xfrm flipV="1">
            <a:off x="301" y="720"/>
            <a:ext cx="12"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8226" name="Line 34">
            <a:extLst>
              <a:ext uri="{FF2B5EF4-FFF2-40B4-BE49-F238E27FC236}">
                <a16:creationId xmlns:a16="http://schemas.microsoft.com/office/drawing/2014/main" id="{5B0061CB-9A66-A56D-CEFF-2638C98428D1}"/>
              </a:ext>
            </a:extLst>
          </xdr:cNvPr>
          <xdr:cNvSpPr>
            <a:spLocks noChangeShapeType="1"/>
          </xdr:cNvSpPr>
        </xdr:nvSpPr>
        <xdr:spPr bwMode="auto">
          <a:xfrm flipV="1">
            <a:off x="302" y="738"/>
            <a:ext cx="12"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8227" name="Line 35">
            <a:extLst>
              <a:ext uri="{FF2B5EF4-FFF2-40B4-BE49-F238E27FC236}">
                <a16:creationId xmlns:a16="http://schemas.microsoft.com/office/drawing/2014/main" id="{D96F9846-D547-DB1A-7F7F-2D12C974365C}"/>
              </a:ext>
            </a:extLst>
          </xdr:cNvPr>
          <xdr:cNvSpPr>
            <a:spLocks noChangeShapeType="1"/>
          </xdr:cNvSpPr>
        </xdr:nvSpPr>
        <xdr:spPr bwMode="auto">
          <a:xfrm>
            <a:off x="313" y="720"/>
            <a:ext cx="0" cy="17"/>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clientData/>
  </xdr:twoCellAnchor>
  <xdr:twoCellAnchor>
    <xdr:from>
      <xdr:col>8</xdr:col>
      <xdr:colOff>0</xdr:colOff>
      <xdr:row>27</xdr:row>
      <xdr:rowOff>68580</xdr:rowOff>
    </xdr:from>
    <xdr:to>
      <xdr:col>8</xdr:col>
      <xdr:colOff>160020</xdr:colOff>
      <xdr:row>28</xdr:row>
      <xdr:rowOff>68580</xdr:rowOff>
    </xdr:to>
    <xdr:grpSp>
      <xdr:nvGrpSpPr>
        <xdr:cNvPr id="8228" name="Group 36">
          <a:extLst>
            <a:ext uri="{FF2B5EF4-FFF2-40B4-BE49-F238E27FC236}">
              <a16:creationId xmlns:a16="http://schemas.microsoft.com/office/drawing/2014/main" id="{7038AD1C-8EAC-1C4D-D835-D882B38EEBCA}"/>
            </a:ext>
          </a:extLst>
        </xdr:cNvPr>
        <xdr:cNvGrpSpPr>
          <a:grpSpLocks/>
        </xdr:cNvGrpSpPr>
      </xdr:nvGrpSpPr>
      <xdr:grpSpPr bwMode="auto">
        <a:xfrm>
          <a:off x="7996518" y="5214321"/>
          <a:ext cx="160020" cy="179294"/>
          <a:chOff x="301" y="720"/>
          <a:chExt cx="13" cy="18"/>
        </a:xfrm>
      </xdr:grpSpPr>
      <xdr:sp macro="" textlink="">
        <xdr:nvSpPr>
          <xdr:cNvPr id="8229" name="Line 37">
            <a:extLst>
              <a:ext uri="{FF2B5EF4-FFF2-40B4-BE49-F238E27FC236}">
                <a16:creationId xmlns:a16="http://schemas.microsoft.com/office/drawing/2014/main" id="{8E87D5A1-0425-97F6-BB39-60EBFE99FEA8}"/>
              </a:ext>
            </a:extLst>
          </xdr:cNvPr>
          <xdr:cNvSpPr>
            <a:spLocks noChangeShapeType="1"/>
          </xdr:cNvSpPr>
        </xdr:nvSpPr>
        <xdr:spPr bwMode="auto">
          <a:xfrm flipV="1">
            <a:off x="301" y="720"/>
            <a:ext cx="12"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8230" name="Line 38">
            <a:extLst>
              <a:ext uri="{FF2B5EF4-FFF2-40B4-BE49-F238E27FC236}">
                <a16:creationId xmlns:a16="http://schemas.microsoft.com/office/drawing/2014/main" id="{6BB0769C-4C53-6483-E813-D70278F72B72}"/>
              </a:ext>
            </a:extLst>
          </xdr:cNvPr>
          <xdr:cNvSpPr>
            <a:spLocks noChangeShapeType="1"/>
          </xdr:cNvSpPr>
        </xdr:nvSpPr>
        <xdr:spPr bwMode="auto">
          <a:xfrm flipV="1">
            <a:off x="302" y="738"/>
            <a:ext cx="12"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8231" name="Line 39">
            <a:extLst>
              <a:ext uri="{FF2B5EF4-FFF2-40B4-BE49-F238E27FC236}">
                <a16:creationId xmlns:a16="http://schemas.microsoft.com/office/drawing/2014/main" id="{0011389F-D0B9-4AE9-832F-D52C48AE0D27}"/>
              </a:ext>
            </a:extLst>
          </xdr:cNvPr>
          <xdr:cNvSpPr>
            <a:spLocks noChangeShapeType="1"/>
          </xdr:cNvSpPr>
        </xdr:nvSpPr>
        <xdr:spPr bwMode="auto">
          <a:xfrm>
            <a:off x="313" y="720"/>
            <a:ext cx="0" cy="17"/>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clientData/>
  </xdr:twoCellAnchor>
  <xdr:twoCellAnchor>
    <xdr:from>
      <xdr:col>2</xdr:col>
      <xdr:colOff>502920</xdr:colOff>
      <xdr:row>23</xdr:row>
      <xdr:rowOff>0</xdr:rowOff>
    </xdr:from>
    <xdr:to>
      <xdr:col>4</xdr:col>
      <xdr:colOff>365760</xdr:colOff>
      <xdr:row>24</xdr:row>
      <xdr:rowOff>99060</xdr:rowOff>
    </xdr:to>
    <xdr:grpSp>
      <xdr:nvGrpSpPr>
        <xdr:cNvPr id="8232" name="Group 40">
          <a:extLst>
            <a:ext uri="{FF2B5EF4-FFF2-40B4-BE49-F238E27FC236}">
              <a16:creationId xmlns:a16="http://schemas.microsoft.com/office/drawing/2014/main" id="{52E0287A-1F30-8346-5C4B-D0CEC7D3F5D4}"/>
            </a:ext>
          </a:extLst>
        </xdr:cNvPr>
        <xdr:cNvGrpSpPr>
          <a:grpSpLocks/>
        </xdr:cNvGrpSpPr>
      </xdr:nvGrpSpPr>
      <xdr:grpSpPr bwMode="auto">
        <a:xfrm>
          <a:off x="2466191" y="4428565"/>
          <a:ext cx="2202628" cy="278354"/>
          <a:chOff x="252" y="652"/>
          <a:chExt cx="223" cy="28"/>
        </a:xfrm>
      </xdr:grpSpPr>
      <xdr:grpSp>
        <xdr:nvGrpSpPr>
          <xdr:cNvPr id="8233" name="Group 41">
            <a:extLst>
              <a:ext uri="{FF2B5EF4-FFF2-40B4-BE49-F238E27FC236}">
                <a16:creationId xmlns:a16="http://schemas.microsoft.com/office/drawing/2014/main" id="{BCB5429A-80F4-7187-E6B9-736B71EBB1E8}"/>
              </a:ext>
            </a:extLst>
          </xdr:cNvPr>
          <xdr:cNvGrpSpPr>
            <a:grpSpLocks/>
          </xdr:cNvGrpSpPr>
        </xdr:nvGrpSpPr>
        <xdr:grpSpPr bwMode="auto">
          <a:xfrm>
            <a:off x="252" y="662"/>
            <a:ext cx="13" cy="18"/>
            <a:chOff x="301" y="720"/>
            <a:chExt cx="13" cy="18"/>
          </a:xfrm>
        </xdr:grpSpPr>
        <xdr:sp macro="" textlink="">
          <xdr:nvSpPr>
            <xdr:cNvPr id="8234" name="Line 42">
              <a:extLst>
                <a:ext uri="{FF2B5EF4-FFF2-40B4-BE49-F238E27FC236}">
                  <a16:creationId xmlns:a16="http://schemas.microsoft.com/office/drawing/2014/main" id="{23B9AD8E-F3C9-E36E-21D5-1D82CD55EC90}"/>
                </a:ext>
              </a:extLst>
            </xdr:cNvPr>
            <xdr:cNvSpPr>
              <a:spLocks noChangeShapeType="1"/>
            </xdr:cNvSpPr>
          </xdr:nvSpPr>
          <xdr:spPr bwMode="auto">
            <a:xfrm flipV="1">
              <a:off x="301" y="720"/>
              <a:ext cx="12"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8235" name="Line 43">
              <a:extLst>
                <a:ext uri="{FF2B5EF4-FFF2-40B4-BE49-F238E27FC236}">
                  <a16:creationId xmlns:a16="http://schemas.microsoft.com/office/drawing/2014/main" id="{79D88AEC-A369-6DBB-F1A0-827CCBEFBB69}"/>
                </a:ext>
              </a:extLst>
            </xdr:cNvPr>
            <xdr:cNvSpPr>
              <a:spLocks noChangeShapeType="1"/>
            </xdr:cNvSpPr>
          </xdr:nvSpPr>
          <xdr:spPr bwMode="auto">
            <a:xfrm flipV="1">
              <a:off x="302" y="738"/>
              <a:ext cx="12"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8236" name="Line 44">
              <a:extLst>
                <a:ext uri="{FF2B5EF4-FFF2-40B4-BE49-F238E27FC236}">
                  <a16:creationId xmlns:a16="http://schemas.microsoft.com/office/drawing/2014/main" id="{0841C9F7-FEA8-E043-929D-9390EE7900AB}"/>
                </a:ext>
              </a:extLst>
            </xdr:cNvPr>
            <xdr:cNvSpPr>
              <a:spLocks noChangeShapeType="1"/>
            </xdr:cNvSpPr>
          </xdr:nvSpPr>
          <xdr:spPr bwMode="auto">
            <a:xfrm>
              <a:off x="313" y="720"/>
              <a:ext cx="0" cy="17"/>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sp macro="" textlink="">
        <xdr:nvSpPr>
          <xdr:cNvPr id="8237" name="Line 45">
            <a:extLst>
              <a:ext uri="{FF2B5EF4-FFF2-40B4-BE49-F238E27FC236}">
                <a16:creationId xmlns:a16="http://schemas.microsoft.com/office/drawing/2014/main" id="{9984D6AD-4119-B471-7DAE-9A4C7AC0338B}"/>
              </a:ext>
            </a:extLst>
          </xdr:cNvPr>
          <xdr:cNvSpPr>
            <a:spLocks noChangeShapeType="1"/>
          </xdr:cNvSpPr>
        </xdr:nvSpPr>
        <xdr:spPr bwMode="auto">
          <a:xfrm>
            <a:off x="475" y="652"/>
            <a:ext cx="0" cy="1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8238" name="Line 46">
            <a:extLst>
              <a:ext uri="{FF2B5EF4-FFF2-40B4-BE49-F238E27FC236}">
                <a16:creationId xmlns:a16="http://schemas.microsoft.com/office/drawing/2014/main" id="{18C46937-6BC1-E996-03F8-9655616B0A0A}"/>
              </a:ext>
            </a:extLst>
          </xdr:cNvPr>
          <xdr:cNvSpPr>
            <a:spLocks noChangeShapeType="1"/>
          </xdr:cNvSpPr>
        </xdr:nvSpPr>
        <xdr:spPr bwMode="auto">
          <a:xfrm flipH="1">
            <a:off x="264" y="666"/>
            <a:ext cx="211" cy="1"/>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clientData/>
  </xdr:twoCellAnchor>
  <xdr:twoCellAnchor>
    <xdr:from>
      <xdr:col>8</xdr:col>
      <xdr:colOff>144780</xdr:colOff>
      <xdr:row>27</xdr:row>
      <xdr:rowOff>114300</xdr:rowOff>
    </xdr:from>
    <xdr:to>
      <xdr:col>8</xdr:col>
      <xdr:colOff>251460</xdr:colOff>
      <xdr:row>27</xdr:row>
      <xdr:rowOff>114300</xdr:rowOff>
    </xdr:to>
    <xdr:sp macro="" textlink="">
      <xdr:nvSpPr>
        <xdr:cNvPr id="8239" name="Line 47">
          <a:extLst>
            <a:ext uri="{FF2B5EF4-FFF2-40B4-BE49-F238E27FC236}">
              <a16:creationId xmlns:a16="http://schemas.microsoft.com/office/drawing/2014/main" id="{DAF1F638-E919-24B0-3E33-D63CE7BBED20}"/>
            </a:ext>
          </a:extLst>
        </xdr:cNvPr>
        <xdr:cNvSpPr>
          <a:spLocks noChangeShapeType="1"/>
        </xdr:cNvSpPr>
      </xdr:nvSpPr>
      <xdr:spPr bwMode="auto">
        <a:xfrm>
          <a:off x="8138160" y="5166360"/>
          <a:ext cx="10668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137160</xdr:colOff>
      <xdr:row>24</xdr:row>
      <xdr:rowOff>137160</xdr:rowOff>
    </xdr:from>
    <xdr:to>
      <xdr:col>8</xdr:col>
      <xdr:colOff>243840</xdr:colOff>
      <xdr:row>24</xdr:row>
      <xdr:rowOff>137160</xdr:rowOff>
    </xdr:to>
    <xdr:sp macro="" textlink="">
      <xdr:nvSpPr>
        <xdr:cNvPr id="8240" name="Line 48">
          <a:extLst>
            <a:ext uri="{FF2B5EF4-FFF2-40B4-BE49-F238E27FC236}">
              <a16:creationId xmlns:a16="http://schemas.microsoft.com/office/drawing/2014/main" id="{D9427CF7-0B3C-6CB9-BA3F-3A167CDE7073}"/>
            </a:ext>
          </a:extLst>
        </xdr:cNvPr>
        <xdr:cNvSpPr>
          <a:spLocks noChangeShapeType="1"/>
        </xdr:cNvSpPr>
      </xdr:nvSpPr>
      <xdr:spPr bwMode="auto">
        <a:xfrm>
          <a:off x="8130540" y="4663440"/>
          <a:ext cx="10668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18</xdr:row>
      <xdr:rowOff>76200</xdr:rowOff>
    </xdr:from>
    <xdr:to>
      <xdr:col>8</xdr:col>
      <xdr:colOff>243840</xdr:colOff>
      <xdr:row>18</xdr:row>
      <xdr:rowOff>76200</xdr:rowOff>
    </xdr:to>
    <xdr:sp macro="" textlink="">
      <xdr:nvSpPr>
        <xdr:cNvPr id="8241" name="Line 49">
          <a:extLst>
            <a:ext uri="{FF2B5EF4-FFF2-40B4-BE49-F238E27FC236}">
              <a16:creationId xmlns:a16="http://schemas.microsoft.com/office/drawing/2014/main" id="{B6AB3BFB-2D5B-7807-80A4-069E6CD9BA0D}"/>
            </a:ext>
          </a:extLst>
        </xdr:cNvPr>
        <xdr:cNvSpPr>
          <a:spLocks noChangeShapeType="1"/>
        </xdr:cNvSpPr>
      </xdr:nvSpPr>
      <xdr:spPr bwMode="auto">
        <a:xfrm>
          <a:off x="7993380" y="3550920"/>
          <a:ext cx="24384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7620</xdr:colOff>
      <xdr:row>16</xdr:row>
      <xdr:rowOff>60960</xdr:rowOff>
    </xdr:from>
    <xdr:to>
      <xdr:col>8</xdr:col>
      <xdr:colOff>243840</xdr:colOff>
      <xdr:row>16</xdr:row>
      <xdr:rowOff>60960</xdr:rowOff>
    </xdr:to>
    <xdr:sp macro="" textlink="">
      <xdr:nvSpPr>
        <xdr:cNvPr id="8242" name="Line 50">
          <a:extLst>
            <a:ext uri="{FF2B5EF4-FFF2-40B4-BE49-F238E27FC236}">
              <a16:creationId xmlns:a16="http://schemas.microsoft.com/office/drawing/2014/main" id="{0BF71E9B-0D4D-95A9-4890-88CED7B7B4CB}"/>
            </a:ext>
          </a:extLst>
        </xdr:cNvPr>
        <xdr:cNvSpPr>
          <a:spLocks noChangeShapeType="1"/>
        </xdr:cNvSpPr>
      </xdr:nvSpPr>
      <xdr:spPr bwMode="auto">
        <a:xfrm>
          <a:off x="8001000" y="3185160"/>
          <a:ext cx="23622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243840</xdr:colOff>
      <xdr:row>14</xdr:row>
      <xdr:rowOff>137160</xdr:rowOff>
    </xdr:from>
    <xdr:to>
      <xdr:col>11</xdr:col>
      <xdr:colOff>114300</xdr:colOff>
      <xdr:row>16</xdr:row>
      <xdr:rowOff>68580</xdr:rowOff>
    </xdr:to>
    <xdr:sp macro="" textlink="">
      <xdr:nvSpPr>
        <xdr:cNvPr id="8243" name="Freeform 51">
          <a:extLst>
            <a:ext uri="{FF2B5EF4-FFF2-40B4-BE49-F238E27FC236}">
              <a16:creationId xmlns:a16="http://schemas.microsoft.com/office/drawing/2014/main" id="{250E34C5-236A-222C-4EE2-376C21EA7236}"/>
            </a:ext>
          </a:extLst>
        </xdr:cNvPr>
        <xdr:cNvSpPr>
          <a:spLocks/>
        </xdr:cNvSpPr>
      </xdr:nvSpPr>
      <xdr:spPr bwMode="auto">
        <a:xfrm>
          <a:off x="8237220" y="2910840"/>
          <a:ext cx="2301240" cy="281940"/>
        </a:xfrm>
        <a:custGeom>
          <a:avLst/>
          <a:gdLst>
            <a:gd name="T0" fmla="*/ 0 w 239"/>
            <a:gd name="T1" fmla="*/ 28 h 28"/>
            <a:gd name="T2" fmla="*/ 0 w 239"/>
            <a:gd name="T3" fmla="*/ 0 h 28"/>
            <a:gd name="T4" fmla="*/ 239 w 239"/>
            <a:gd name="T5" fmla="*/ 0 h 28"/>
            <a:gd name="T6" fmla="*/ 239 w 239"/>
            <a:gd name="T7" fmla="*/ 26 h 28"/>
          </a:gdLst>
          <a:ahLst/>
          <a:cxnLst>
            <a:cxn ang="0">
              <a:pos x="T0" y="T1"/>
            </a:cxn>
            <a:cxn ang="0">
              <a:pos x="T2" y="T3"/>
            </a:cxn>
            <a:cxn ang="0">
              <a:pos x="T4" y="T5"/>
            </a:cxn>
            <a:cxn ang="0">
              <a:pos x="T6" y="T7"/>
            </a:cxn>
          </a:cxnLst>
          <a:rect l="0" t="0" r="r" b="b"/>
          <a:pathLst>
            <a:path w="239" h="28">
              <a:moveTo>
                <a:pt x="0" y="28"/>
              </a:moveTo>
              <a:lnTo>
                <a:pt x="0" y="0"/>
              </a:lnTo>
              <a:lnTo>
                <a:pt x="239" y="0"/>
              </a:lnTo>
              <a:lnTo>
                <a:pt x="239" y="26"/>
              </a:lnTo>
            </a:path>
          </a:pathLst>
        </a:custGeom>
        <a:noFill/>
        <a:ln w="19050" cmpd="sng">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8</xdr:col>
      <xdr:colOff>0</xdr:colOff>
      <xdr:row>20</xdr:row>
      <xdr:rowOff>114300</xdr:rowOff>
    </xdr:from>
    <xdr:to>
      <xdr:col>8</xdr:col>
      <xdr:colOff>243840</xdr:colOff>
      <xdr:row>27</xdr:row>
      <xdr:rowOff>106680</xdr:rowOff>
    </xdr:to>
    <xdr:sp macro="" textlink="">
      <xdr:nvSpPr>
        <xdr:cNvPr id="8244" name="Freeform 52">
          <a:extLst>
            <a:ext uri="{FF2B5EF4-FFF2-40B4-BE49-F238E27FC236}">
              <a16:creationId xmlns:a16="http://schemas.microsoft.com/office/drawing/2014/main" id="{39D5BCBC-50C9-9717-08BD-B8FE3523DEC4}"/>
            </a:ext>
          </a:extLst>
        </xdr:cNvPr>
        <xdr:cNvSpPr>
          <a:spLocks/>
        </xdr:cNvSpPr>
      </xdr:nvSpPr>
      <xdr:spPr bwMode="auto">
        <a:xfrm>
          <a:off x="7993380" y="3939540"/>
          <a:ext cx="243840" cy="1219200"/>
        </a:xfrm>
        <a:custGeom>
          <a:avLst/>
          <a:gdLst>
            <a:gd name="T0" fmla="*/ 25 w 25"/>
            <a:gd name="T1" fmla="*/ 197 h 197"/>
            <a:gd name="T2" fmla="*/ 25 w 25"/>
            <a:gd name="T3" fmla="*/ 0 h 197"/>
            <a:gd name="T4" fmla="*/ 0 w 25"/>
            <a:gd name="T5" fmla="*/ 0 h 197"/>
          </a:gdLst>
          <a:ahLst/>
          <a:cxnLst>
            <a:cxn ang="0">
              <a:pos x="T0" y="T1"/>
            </a:cxn>
            <a:cxn ang="0">
              <a:pos x="T2" y="T3"/>
            </a:cxn>
            <a:cxn ang="0">
              <a:pos x="T4" y="T5"/>
            </a:cxn>
          </a:cxnLst>
          <a:rect l="0" t="0" r="r" b="b"/>
          <a:pathLst>
            <a:path w="25" h="197">
              <a:moveTo>
                <a:pt x="25" y="197"/>
              </a:moveTo>
              <a:lnTo>
                <a:pt x="25" y="0"/>
              </a:lnTo>
              <a:lnTo>
                <a:pt x="0" y="0"/>
              </a:lnTo>
            </a:path>
          </a:pathLst>
        </a:custGeom>
        <a:noFill/>
        <a:ln w="19050" cmpd="sng">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11</xdr:col>
      <xdr:colOff>7620</xdr:colOff>
      <xdr:row>16</xdr:row>
      <xdr:rowOff>114300</xdr:rowOff>
    </xdr:from>
    <xdr:to>
      <xdr:col>11</xdr:col>
      <xdr:colOff>114300</xdr:colOff>
      <xdr:row>24</xdr:row>
      <xdr:rowOff>76200</xdr:rowOff>
    </xdr:to>
    <xdr:sp macro="" textlink="">
      <xdr:nvSpPr>
        <xdr:cNvPr id="8245" name="Freeform 53">
          <a:extLst>
            <a:ext uri="{FF2B5EF4-FFF2-40B4-BE49-F238E27FC236}">
              <a16:creationId xmlns:a16="http://schemas.microsoft.com/office/drawing/2014/main" id="{4699AF5F-85A2-1A35-004B-93AA75684E6E}"/>
            </a:ext>
          </a:extLst>
        </xdr:cNvPr>
        <xdr:cNvSpPr>
          <a:spLocks/>
        </xdr:cNvSpPr>
      </xdr:nvSpPr>
      <xdr:spPr bwMode="auto">
        <a:xfrm>
          <a:off x="10431780" y="3238500"/>
          <a:ext cx="106680" cy="1363980"/>
        </a:xfrm>
        <a:custGeom>
          <a:avLst/>
          <a:gdLst>
            <a:gd name="T0" fmla="*/ 0 w 11"/>
            <a:gd name="T1" fmla="*/ 140 h 140"/>
            <a:gd name="T2" fmla="*/ 11 w 11"/>
            <a:gd name="T3" fmla="*/ 140 h 140"/>
            <a:gd name="T4" fmla="*/ 11 w 11"/>
            <a:gd name="T5" fmla="*/ 0 h 140"/>
            <a:gd name="T6" fmla="*/ 0 w 11"/>
            <a:gd name="T7" fmla="*/ 0 h 140"/>
          </a:gdLst>
          <a:ahLst/>
          <a:cxnLst>
            <a:cxn ang="0">
              <a:pos x="T0" y="T1"/>
            </a:cxn>
            <a:cxn ang="0">
              <a:pos x="T2" y="T3"/>
            </a:cxn>
            <a:cxn ang="0">
              <a:pos x="T4" y="T5"/>
            </a:cxn>
            <a:cxn ang="0">
              <a:pos x="T6" y="T7"/>
            </a:cxn>
          </a:cxnLst>
          <a:rect l="0" t="0" r="r" b="b"/>
          <a:pathLst>
            <a:path w="11" h="140">
              <a:moveTo>
                <a:pt x="0" y="140"/>
              </a:moveTo>
              <a:lnTo>
                <a:pt x="11" y="140"/>
              </a:lnTo>
              <a:lnTo>
                <a:pt x="11" y="0"/>
              </a:lnTo>
              <a:lnTo>
                <a:pt x="0" y="0"/>
              </a:lnTo>
            </a:path>
          </a:pathLst>
        </a:custGeom>
        <a:noFill/>
        <a:ln w="19050" cmpd="sng">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11</xdr:col>
      <xdr:colOff>0</xdr:colOff>
      <xdr:row>22</xdr:row>
      <xdr:rowOff>91440</xdr:rowOff>
    </xdr:from>
    <xdr:to>
      <xdr:col>11</xdr:col>
      <xdr:colOff>114300</xdr:colOff>
      <xdr:row>22</xdr:row>
      <xdr:rowOff>91440</xdr:rowOff>
    </xdr:to>
    <xdr:sp macro="" textlink="">
      <xdr:nvSpPr>
        <xdr:cNvPr id="8246" name="Line 54">
          <a:extLst>
            <a:ext uri="{FF2B5EF4-FFF2-40B4-BE49-F238E27FC236}">
              <a16:creationId xmlns:a16="http://schemas.microsoft.com/office/drawing/2014/main" id="{8A672920-8B5F-B7F9-2257-CB25F75ACC61}"/>
            </a:ext>
          </a:extLst>
        </xdr:cNvPr>
        <xdr:cNvSpPr>
          <a:spLocks noChangeShapeType="1"/>
        </xdr:cNvSpPr>
      </xdr:nvSpPr>
      <xdr:spPr bwMode="auto">
        <a:xfrm>
          <a:off x="10424160" y="4267200"/>
          <a:ext cx="11430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20</xdr:row>
      <xdr:rowOff>76200</xdr:rowOff>
    </xdr:from>
    <xdr:to>
      <xdr:col>11</xdr:col>
      <xdr:colOff>114300</xdr:colOff>
      <xdr:row>20</xdr:row>
      <xdr:rowOff>76200</xdr:rowOff>
    </xdr:to>
    <xdr:sp macro="" textlink="">
      <xdr:nvSpPr>
        <xdr:cNvPr id="8247" name="Line 55">
          <a:extLst>
            <a:ext uri="{FF2B5EF4-FFF2-40B4-BE49-F238E27FC236}">
              <a16:creationId xmlns:a16="http://schemas.microsoft.com/office/drawing/2014/main" id="{4B5F4948-5356-3F09-E8D6-768D2EAD4DB9}"/>
            </a:ext>
          </a:extLst>
        </xdr:cNvPr>
        <xdr:cNvSpPr>
          <a:spLocks noChangeShapeType="1"/>
        </xdr:cNvSpPr>
      </xdr:nvSpPr>
      <xdr:spPr bwMode="auto">
        <a:xfrm>
          <a:off x="10424160" y="3901440"/>
          <a:ext cx="11430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18</xdr:row>
      <xdr:rowOff>76200</xdr:rowOff>
    </xdr:from>
    <xdr:to>
      <xdr:col>11</xdr:col>
      <xdr:colOff>114300</xdr:colOff>
      <xdr:row>18</xdr:row>
      <xdr:rowOff>76200</xdr:rowOff>
    </xdr:to>
    <xdr:sp macro="" textlink="">
      <xdr:nvSpPr>
        <xdr:cNvPr id="8248" name="Line 56">
          <a:extLst>
            <a:ext uri="{FF2B5EF4-FFF2-40B4-BE49-F238E27FC236}">
              <a16:creationId xmlns:a16="http://schemas.microsoft.com/office/drawing/2014/main" id="{B8FA2DE5-1C2A-1A56-4035-24CC8C72BBF5}"/>
            </a:ext>
          </a:extLst>
        </xdr:cNvPr>
        <xdr:cNvSpPr>
          <a:spLocks noChangeShapeType="1"/>
        </xdr:cNvSpPr>
      </xdr:nvSpPr>
      <xdr:spPr bwMode="auto">
        <a:xfrm>
          <a:off x="10424160" y="3550920"/>
          <a:ext cx="11430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16</xdr:row>
      <xdr:rowOff>38100</xdr:rowOff>
    </xdr:from>
    <xdr:to>
      <xdr:col>11</xdr:col>
      <xdr:colOff>114300</xdr:colOff>
      <xdr:row>16</xdr:row>
      <xdr:rowOff>38100</xdr:rowOff>
    </xdr:to>
    <xdr:sp macro="" textlink="">
      <xdr:nvSpPr>
        <xdr:cNvPr id="8249" name="Line 57">
          <a:extLst>
            <a:ext uri="{FF2B5EF4-FFF2-40B4-BE49-F238E27FC236}">
              <a16:creationId xmlns:a16="http://schemas.microsoft.com/office/drawing/2014/main" id="{7FA4D6DE-80B2-3EF9-052F-25DA600BB4C9}"/>
            </a:ext>
          </a:extLst>
        </xdr:cNvPr>
        <xdr:cNvSpPr>
          <a:spLocks noChangeShapeType="1"/>
        </xdr:cNvSpPr>
      </xdr:nvSpPr>
      <xdr:spPr bwMode="auto">
        <a:xfrm flipH="1">
          <a:off x="10424160" y="3162300"/>
          <a:ext cx="11430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18</xdr:row>
      <xdr:rowOff>7620</xdr:rowOff>
    </xdr:from>
    <xdr:to>
      <xdr:col>4</xdr:col>
      <xdr:colOff>381000</xdr:colOff>
      <xdr:row>20</xdr:row>
      <xdr:rowOff>76200</xdr:rowOff>
    </xdr:to>
    <xdr:grpSp>
      <xdr:nvGrpSpPr>
        <xdr:cNvPr id="8250" name="Group 58">
          <a:extLst>
            <a:ext uri="{FF2B5EF4-FFF2-40B4-BE49-F238E27FC236}">
              <a16:creationId xmlns:a16="http://schemas.microsoft.com/office/drawing/2014/main" id="{DE58558D-A68B-9EB8-EF09-2411CA02CC28}"/>
            </a:ext>
          </a:extLst>
        </xdr:cNvPr>
        <xdr:cNvGrpSpPr>
          <a:grpSpLocks/>
        </xdr:cNvGrpSpPr>
      </xdr:nvGrpSpPr>
      <xdr:grpSpPr bwMode="auto">
        <a:xfrm>
          <a:off x="2474259" y="3539714"/>
          <a:ext cx="2209800" cy="427168"/>
          <a:chOff x="253" y="472"/>
          <a:chExt cx="227" cy="43"/>
        </a:xfrm>
      </xdr:grpSpPr>
      <xdr:grpSp>
        <xdr:nvGrpSpPr>
          <xdr:cNvPr id="8251" name="Group 59">
            <a:extLst>
              <a:ext uri="{FF2B5EF4-FFF2-40B4-BE49-F238E27FC236}">
                <a16:creationId xmlns:a16="http://schemas.microsoft.com/office/drawing/2014/main" id="{B6F073D4-8F6C-141D-4753-7A5FAE58DCD9}"/>
              </a:ext>
            </a:extLst>
          </xdr:cNvPr>
          <xdr:cNvGrpSpPr>
            <a:grpSpLocks/>
          </xdr:cNvGrpSpPr>
        </xdr:nvGrpSpPr>
        <xdr:grpSpPr bwMode="auto">
          <a:xfrm>
            <a:off x="253" y="478"/>
            <a:ext cx="13" cy="37"/>
            <a:chOff x="268" y="478"/>
            <a:chExt cx="13" cy="37"/>
          </a:xfrm>
        </xdr:grpSpPr>
        <xdr:sp macro="" textlink="">
          <xdr:nvSpPr>
            <xdr:cNvPr id="8252" name="Line 60">
              <a:extLst>
                <a:ext uri="{FF2B5EF4-FFF2-40B4-BE49-F238E27FC236}">
                  <a16:creationId xmlns:a16="http://schemas.microsoft.com/office/drawing/2014/main" id="{B7B977F9-F168-0FC1-5822-2EE3D941520E}"/>
                </a:ext>
              </a:extLst>
            </xdr:cNvPr>
            <xdr:cNvSpPr>
              <a:spLocks noChangeShapeType="1"/>
            </xdr:cNvSpPr>
          </xdr:nvSpPr>
          <xdr:spPr bwMode="auto">
            <a:xfrm flipV="1">
              <a:off x="269" y="479"/>
              <a:ext cx="11"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8253" name="Line 61">
              <a:extLst>
                <a:ext uri="{FF2B5EF4-FFF2-40B4-BE49-F238E27FC236}">
                  <a16:creationId xmlns:a16="http://schemas.microsoft.com/office/drawing/2014/main" id="{9A4BEA04-4225-CAD8-E61B-5910017F2120}"/>
                </a:ext>
              </a:extLst>
            </xdr:cNvPr>
            <xdr:cNvSpPr>
              <a:spLocks noChangeShapeType="1"/>
            </xdr:cNvSpPr>
          </xdr:nvSpPr>
          <xdr:spPr bwMode="auto">
            <a:xfrm flipV="1">
              <a:off x="269" y="497"/>
              <a:ext cx="11"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8254" name="Line 62">
              <a:extLst>
                <a:ext uri="{FF2B5EF4-FFF2-40B4-BE49-F238E27FC236}">
                  <a16:creationId xmlns:a16="http://schemas.microsoft.com/office/drawing/2014/main" id="{A1821F50-79C5-92C6-E9C2-1B78A011306C}"/>
                </a:ext>
              </a:extLst>
            </xdr:cNvPr>
            <xdr:cNvSpPr>
              <a:spLocks noChangeShapeType="1"/>
            </xdr:cNvSpPr>
          </xdr:nvSpPr>
          <xdr:spPr bwMode="auto">
            <a:xfrm>
              <a:off x="268" y="515"/>
              <a:ext cx="13"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8255" name="Line 63">
              <a:extLst>
                <a:ext uri="{FF2B5EF4-FFF2-40B4-BE49-F238E27FC236}">
                  <a16:creationId xmlns:a16="http://schemas.microsoft.com/office/drawing/2014/main" id="{8D5A3E09-5377-0953-6BE5-FF1FB1AC2C54}"/>
                </a:ext>
              </a:extLst>
            </xdr:cNvPr>
            <xdr:cNvSpPr>
              <a:spLocks noChangeShapeType="1"/>
            </xdr:cNvSpPr>
          </xdr:nvSpPr>
          <xdr:spPr bwMode="auto">
            <a:xfrm>
              <a:off x="281" y="478"/>
              <a:ext cx="0" cy="37"/>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8256" name="Group 64">
            <a:extLst>
              <a:ext uri="{FF2B5EF4-FFF2-40B4-BE49-F238E27FC236}">
                <a16:creationId xmlns:a16="http://schemas.microsoft.com/office/drawing/2014/main" id="{E0EEBC08-4016-0809-3CF3-5A1AA66BD04D}"/>
              </a:ext>
            </a:extLst>
          </xdr:cNvPr>
          <xdr:cNvGrpSpPr>
            <a:grpSpLocks/>
          </xdr:cNvGrpSpPr>
        </xdr:nvGrpSpPr>
        <xdr:grpSpPr bwMode="auto">
          <a:xfrm>
            <a:off x="265" y="472"/>
            <a:ext cx="215" cy="15"/>
            <a:chOff x="264" y="559"/>
            <a:chExt cx="215" cy="15"/>
          </a:xfrm>
        </xdr:grpSpPr>
        <xdr:sp macro="" textlink="">
          <xdr:nvSpPr>
            <xdr:cNvPr id="8257" name="Line 65">
              <a:extLst>
                <a:ext uri="{FF2B5EF4-FFF2-40B4-BE49-F238E27FC236}">
                  <a16:creationId xmlns:a16="http://schemas.microsoft.com/office/drawing/2014/main" id="{6AFD6F2A-E6B1-CCCF-C397-64CC6BB9C21A}"/>
                </a:ext>
              </a:extLst>
            </xdr:cNvPr>
            <xdr:cNvSpPr>
              <a:spLocks noChangeShapeType="1"/>
            </xdr:cNvSpPr>
          </xdr:nvSpPr>
          <xdr:spPr bwMode="auto">
            <a:xfrm>
              <a:off x="478" y="559"/>
              <a:ext cx="0" cy="1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8258" name="Line 66">
              <a:extLst>
                <a:ext uri="{FF2B5EF4-FFF2-40B4-BE49-F238E27FC236}">
                  <a16:creationId xmlns:a16="http://schemas.microsoft.com/office/drawing/2014/main" id="{6774E3E4-9D04-1574-8E86-3A8243369BA2}"/>
                </a:ext>
              </a:extLst>
            </xdr:cNvPr>
            <xdr:cNvSpPr>
              <a:spLocks noChangeShapeType="1"/>
            </xdr:cNvSpPr>
          </xdr:nvSpPr>
          <xdr:spPr bwMode="auto">
            <a:xfrm flipH="1" flipV="1">
              <a:off x="264" y="572"/>
              <a:ext cx="215" cy="1"/>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clientData/>
  </xdr:twoCellAnchor>
  <xdr:twoCellAnchor>
    <xdr:from>
      <xdr:col>5</xdr:col>
      <xdr:colOff>0</xdr:colOff>
      <xdr:row>13</xdr:row>
      <xdr:rowOff>106680</xdr:rowOff>
    </xdr:from>
    <xdr:to>
      <xdr:col>5</xdr:col>
      <xdr:colOff>236220</xdr:colOff>
      <xdr:row>34</xdr:row>
      <xdr:rowOff>45720</xdr:rowOff>
    </xdr:to>
    <xdr:sp macro="" textlink="">
      <xdr:nvSpPr>
        <xdr:cNvPr id="8259" name="Freeform 67">
          <a:extLst>
            <a:ext uri="{FF2B5EF4-FFF2-40B4-BE49-F238E27FC236}">
              <a16:creationId xmlns:a16="http://schemas.microsoft.com/office/drawing/2014/main" id="{D968E337-D606-CBBD-E6CF-1466FBD4A442}"/>
            </a:ext>
          </a:extLst>
        </xdr:cNvPr>
        <xdr:cNvSpPr>
          <a:spLocks/>
        </xdr:cNvSpPr>
      </xdr:nvSpPr>
      <xdr:spPr bwMode="auto">
        <a:xfrm>
          <a:off x="4914900" y="2705100"/>
          <a:ext cx="236220" cy="3619500"/>
        </a:xfrm>
        <a:custGeom>
          <a:avLst/>
          <a:gdLst>
            <a:gd name="T0" fmla="*/ 1 w 23"/>
            <a:gd name="T1" fmla="*/ 372 h 372"/>
            <a:gd name="T2" fmla="*/ 23 w 23"/>
            <a:gd name="T3" fmla="*/ 372 h 372"/>
            <a:gd name="T4" fmla="*/ 23 w 23"/>
            <a:gd name="T5" fmla="*/ 0 h 372"/>
            <a:gd name="T6" fmla="*/ 0 w 23"/>
            <a:gd name="T7" fmla="*/ 0 h 372"/>
          </a:gdLst>
          <a:ahLst/>
          <a:cxnLst>
            <a:cxn ang="0">
              <a:pos x="T0" y="T1"/>
            </a:cxn>
            <a:cxn ang="0">
              <a:pos x="T2" y="T3"/>
            </a:cxn>
            <a:cxn ang="0">
              <a:pos x="T4" y="T5"/>
            </a:cxn>
            <a:cxn ang="0">
              <a:pos x="T6" y="T7"/>
            </a:cxn>
          </a:cxnLst>
          <a:rect l="0" t="0" r="r" b="b"/>
          <a:pathLst>
            <a:path w="23" h="372">
              <a:moveTo>
                <a:pt x="1" y="372"/>
              </a:moveTo>
              <a:lnTo>
                <a:pt x="23" y="372"/>
              </a:lnTo>
              <a:lnTo>
                <a:pt x="23" y="0"/>
              </a:lnTo>
              <a:lnTo>
                <a:pt x="0" y="0"/>
              </a:lnTo>
            </a:path>
          </a:pathLst>
        </a:custGeom>
        <a:noFill/>
        <a:ln w="19050" cmpd="sng">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5</xdr:col>
      <xdr:colOff>0</xdr:colOff>
      <xdr:row>31</xdr:row>
      <xdr:rowOff>76200</xdr:rowOff>
    </xdr:from>
    <xdr:to>
      <xdr:col>5</xdr:col>
      <xdr:colOff>243840</xdr:colOff>
      <xdr:row>31</xdr:row>
      <xdr:rowOff>76200</xdr:rowOff>
    </xdr:to>
    <xdr:sp macro="" textlink="">
      <xdr:nvSpPr>
        <xdr:cNvPr id="8260" name="Line 68">
          <a:extLst>
            <a:ext uri="{FF2B5EF4-FFF2-40B4-BE49-F238E27FC236}">
              <a16:creationId xmlns:a16="http://schemas.microsoft.com/office/drawing/2014/main" id="{710906E8-2698-B0AD-DB99-693D023399C1}"/>
            </a:ext>
          </a:extLst>
        </xdr:cNvPr>
        <xdr:cNvSpPr>
          <a:spLocks noChangeShapeType="1"/>
        </xdr:cNvSpPr>
      </xdr:nvSpPr>
      <xdr:spPr bwMode="auto">
        <a:xfrm>
          <a:off x="4914900" y="5829300"/>
          <a:ext cx="24384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26</xdr:row>
      <xdr:rowOff>91440</xdr:rowOff>
    </xdr:from>
    <xdr:to>
      <xdr:col>5</xdr:col>
      <xdr:colOff>243840</xdr:colOff>
      <xdr:row>26</xdr:row>
      <xdr:rowOff>91440</xdr:rowOff>
    </xdr:to>
    <xdr:sp macro="" textlink="">
      <xdr:nvSpPr>
        <xdr:cNvPr id="8261" name="Line 69">
          <a:extLst>
            <a:ext uri="{FF2B5EF4-FFF2-40B4-BE49-F238E27FC236}">
              <a16:creationId xmlns:a16="http://schemas.microsoft.com/office/drawing/2014/main" id="{E4484C2E-2D41-2954-6681-B27BE02B8432}"/>
            </a:ext>
          </a:extLst>
        </xdr:cNvPr>
        <xdr:cNvSpPr>
          <a:spLocks noChangeShapeType="1"/>
        </xdr:cNvSpPr>
      </xdr:nvSpPr>
      <xdr:spPr bwMode="auto">
        <a:xfrm>
          <a:off x="4914900" y="4968240"/>
          <a:ext cx="24384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22</xdr:row>
      <xdr:rowOff>76200</xdr:rowOff>
    </xdr:from>
    <xdr:to>
      <xdr:col>5</xdr:col>
      <xdr:colOff>243840</xdr:colOff>
      <xdr:row>22</xdr:row>
      <xdr:rowOff>76200</xdr:rowOff>
    </xdr:to>
    <xdr:sp macro="" textlink="">
      <xdr:nvSpPr>
        <xdr:cNvPr id="8262" name="Line 70">
          <a:extLst>
            <a:ext uri="{FF2B5EF4-FFF2-40B4-BE49-F238E27FC236}">
              <a16:creationId xmlns:a16="http://schemas.microsoft.com/office/drawing/2014/main" id="{758B6D67-AF3D-613C-955C-5D64C332082F}"/>
            </a:ext>
          </a:extLst>
        </xdr:cNvPr>
        <xdr:cNvSpPr>
          <a:spLocks noChangeShapeType="1"/>
        </xdr:cNvSpPr>
      </xdr:nvSpPr>
      <xdr:spPr bwMode="auto">
        <a:xfrm>
          <a:off x="4914900" y="4251960"/>
          <a:ext cx="24384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17</xdr:row>
      <xdr:rowOff>91440</xdr:rowOff>
    </xdr:from>
    <xdr:to>
      <xdr:col>5</xdr:col>
      <xdr:colOff>213360</xdr:colOff>
      <xdr:row>17</xdr:row>
      <xdr:rowOff>91440</xdr:rowOff>
    </xdr:to>
    <xdr:sp macro="" textlink="">
      <xdr:nvSpPr>
        <xdr:cNvPr id="8263" name="Line 71">
          <a:extLst>
            <a:ext uri="{FF2B5EF4-FFF2-40B4-BE49-F238E27FC236}">
              <a16:creationId xmlns:a16="http://schemas.microsoft.com/office/drawing/2014/main" id="{165B6933-F9A5-762A-8AA4-208A978811F5}"/>
            </a:ext>
          </a:extLst>
        </xdr:cNvPr>
        <xdr:cNvSpPr>
          <a:spLocks noChangeShapeType="1"/>
        </xdr:cNvSpPr>
      </xdr:nvSpPr>
      <xdr:spPr bwMode="auto">
        <a:xfrm>
          <a:off x="4914900" y="3390900"/>
          <a:ext cx="21336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15</xdr:row>
      <xdr:rowOff>91440</xdr:rowOff>
    </xdr:from>
    <xdr:to>
      <xdr:col>5</xdr:col>
      <xdr:colOff>236220</xdr:colOff>
      <xdr:row>15</xdr:row>
      <xdr:rowOff>91440</xdr:rowOff>
    </xdr:to>
    <xdr:sp macro="" textlink="">
      <xdr:nvSpPr>
        <xdr:cNvPr id="8264" name="Line 72">
          <a:extLst>
            <a:ext uri="{FF2B5EF4-FFF2-40B4-BE49-F238E27FC236}">
              <a16:creationId xmlns:a16="http://schemas.microsoft.com/office/drawing/2014/main" id="{82C71D77-8107-8377-77DA-4DC88E969118}"/>
            </a:ext>
          </a:extLst>
        </xdr:cNvPr>
        <xdr:cNvSpPr>
          <a:spLocks noChangeShapeType="1"/>
        </xdr:cNvSpPr>
      </xdr:nvSpPr>
      <xdr:spPr bwMode="auto">
        <a:xfrm>
          <a:off x="4914900" y="3040380"/>
          <a:ext cx="23622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16</xdr:row>
      <xdr:rowOff>114300</xdr:rowOff>
    </xdr:from>
    <xdr:to>
      <xdr:col>8</xdr:col>
      <xdr:colOff>236220</xdr:colOff>
      <xdr:row>20</xdr:row>
      <xdr:rowOff>60960</xdr:rowOff>
    </xdr:to>
    <xdr:sp macro="" textlink="">
      <xdr:nvSpPr>
        <xdr:cNvPr id="8265" name="Freeform 73">
          <a:extLst>
            <a:ext uri="{FF2B5EF4-FFF2-40B4-BE49-F238E27FC236}">
              <a16:creationId xmlns:a16="http://schemas.microsoft.com/office/drawing/2014/main" id="{4B151A2E-2019-ABCF-B7AC-5F9EA7541112}"/>
            </a:ext>
          </a:extLst>
        </xdr:cNvPr>
        <xdr:cNvSpPr>
          <a:spLocks/>
        </xdr:cNvSpPr>
      </xdr:nvSpPr>
      <xdr:spPr bwMode="auto">
        <a:xfrm>
          <a:off x="7993380" y="3238500"/>
          <a:ext cx="236220" cy="647700"/>
        </a:xfrm>
        <a:custGeom>
          <a:avLst/>
          <a:gdLst>
            <a:gd name="T0" fmla="*/ 0 w 24"/>
            <a:gd name="T1" fmla="*/ 66 h 66"/>
            <a:gd name="T2" fmla="*/ 24 w 24"/>
            <a:gd name="T3" fmla="*/ 66 h 66"/>
            <a:gd name="T4" fmla="*/ 24 w 24"/>
            <a:gd name="T5" fmla="*/ 0 h 66"/>
            <a:gd name="T6" fmla="*/ 0 w 24"/>
            <a:gd name="T7" fmla="*/ 0 h 66"/>
          </a:gdLst>
          <a:ahLst/>
          <a:cxnLst>
            <a:cxn ang="0">
              <a:pos x="T0" y="T1"/>
            </a:cxn>
            <a:cxn ang="0">
              <a:pos x="T2" y="T3"/>
            </a:cxn>
            <a:cxn ang="0">
              <a:pos x="T4" y="T5"/>
            </a:cxn>
            <a:cxn ang="0">
              <a:pos x="T6" y="T7"/>
            </a:cxn>
          </a:cxnLst>
          <a:rect l="0" t="0" r="r" b="b"/>
          <a:pathLst>
            <a:path w="24" h="66">
              <a:moveTo>
                <a:pt x="0" y="66"/>
              </a:moveTo>
              <a:lnTo>
                <a:pt x="24" y="66"/>
              </a:lnTo>
              <a:lnTo>
                <a:pt x="24" y="0"/>
              </a:lnTo>
              <a:lnTo>
                <a:pt x="0" y="0"/>
              </a:lnTo>
            </a:path>
          </a:pathLst>
        </a:custGeom>
        <a:noFill/>
        <a:ln w="19050" cmpd="sng">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4</xdr:col>
      <xdr:colOff>304800</xdr:colOff>
      <xdr:row>6</xdr:row>
      <xdr:rowOff>91440</xdr:rowOff>
    </xdr:from>
    <xdr:to>
      <xdr:col>7</xdr:col>
      <xdr:colOff>411480</xdr:colOff>
      <xdr:row>7</xdr:row>
      <xdr:rowOff>152400</xdr:rowOff>
    </xdr:to>
    <xdr:sp macro="" textlink="">
      <xdr:nvSpPr>
        <xdr:cNvPr id="8266" name="Freeform 74">
          <a:extLst>
            <a:ext uri="{FF2B5EF4-FFF2-40B4-BE49-F238E27FC236}">
              <a16:creationId xmlns:a16="http://schemas.microsoft.com/office/drawing/2014/main" id="{9A31DEB9-2DBE-A31C-C537-801E6F13EA09}"/>
            </a:ext>
          </a:extLst>
        </xdr:cNvPr>
        <xdr:cNvSpPr>
          <a:spLocks/>
        </xdr:cNvSpPr>
      </xdr:nvSpPr>
      <xdr:spPr bwMode="auto">
        <a:xfrm>
          <a:off x="4610100" y="1463040"/>
          <a:ext cx="3063240" cy="236220"/>
        </a:xfrm>
        <a:custGeom>
          <a:avLst/>
          <a:gdLst>
            <a:gd name="T0" fmla="*/ 0 w 314"/>
            <a:gd name="T1" fmla="*/ 25 h 25"/>
            <a:gd name="T2" fmla="*/ 0 w 314"/>
            <a:gd name="T3" fmla="*/ 0 h 25"/>
            <a:gd name="T4" fmla="*/ 314 w 314"/>
            <a:gd name="T5" fmla="*/ 0 h 25"/>
            <a:gd name="T6" fmla="*/ 314 w 314"/>
            <a:gd name="T7" fmla="*/ 7 h 25"/>
          </a:gdLst>
          <a:ahLst/>
          <a:cxnLst>
            <a:cxn ang="0">
              <a:pos x="T0" y="T1"/>
            </a:cxn>
            <a:cxn ang="0">
              <a:pos x="T2" y="T3"/>
            </a:cxn>
            <a:cxn ang="0">
              <a:pos x="T4" y="T5"/>
            </a:cxn>
            <a:cxn ang="0">
              <a:pos x="T6" y="T7"/>
            </a:cxn>
          </a:cxnLst>
          <a:rect l="0" t="0" r="r" b="b"/>
          <a:pathLst>
            <a:path w="314" h="25">
              <a:moveTo>
                <a:pt x="0" y="25"/>
              </a:moveTo>
              <a:lnTo>
                <a:pt x="0" y="0"/>
              </a:lnTo>
              <a:lnTo>
                <a:pt x="314" y="0"/>
              </a:lnTo>
              <a:lnTo>
                <a:pt x="314" y="7"/>
              </a:lnTo>
            </a:path>
          </a:pathLst>
        </a:custGeom>
        <a:noFill/>
        <a:ln w="19050" cmpd="sng">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6</xdr:col>
      <xdr:colOff>792480</xdr:colOff>
      <xdr:row>6</xdr:row>
      <xdr:rowOff>0</xdr:rowOff>
    </xdr:from>
    <xdr:to>
      <xdr:col>6</xdr:col>
      <xdr:colOff>792480</xdr:colOff>
      <xdr:row>6</xdr:row>
      <xdr:rowOff>76200</xdr:rowOff>
    </xdr:to>
    <xdr:sp macro="" textlink="">
      <xdr:nvSpPr>
        <xdr:cNvPr id="8267" name="Line 75">
          <a:extLst>
            <a:ext uri="{FF2B5EF4-FFF2-40B4-BE49-F238E27FC236}">
              <a16:creationId xmlns:a16="http://schemas.microsoft.com/office/drawing/2014/main" id="{133696E4-CB71-C5F8-AE1B-46E8F947442D}"/>
            </a:ext>
          </a:extLst>
        </xdr:cNvPr>
        <xdr:cNvSpPr>
          <a:spLocks noChangeShapeType="1"/>
        </xdr:cNvSpPr>
      </xdr:nvSpPr>
      <xdr:spPr bwMode="auto">
        <a:xfrm>
          <a:off x="6469380" y="1371600"/>
          <a:ext cx="0" cy="762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784860</xdr:colOff>
      <xdr:row>3</xdr:row>
      <xdr:rowOff>0</xdr:rowOff>
    </xdr:from>
    <xdr:to>
      <xdr:col>6</xdr:col>
      <xdr:colOff>792480</xdr:colOff>
      <xdr:row>4</xdr:row>
      <xdr:rowOff>45720</xdr:rowOff>
    </xdr:to>
    <xdr:sp macro="" textlink="">
      <xdr:nvSpPr>
        <xdr:cNvPr id="8268" name="Line 76">
          <a:extLst>
            <a:ext uri="{FF2B5EF4-FFF2-40B4-BE49-F238E27FC236}">
              <a16:creationId xmlns:a16="http://schemas.microsoft.com/office/drawing/2014/main" id="{32A1FBC2-41C8-8D44-C27F-2E544304CB24}"/>
            </a:ext>
          </a:extLst>
        </xdr:cNvPr>
        <xdr:cNvSpPr>
          <a:spLocks noChangeShapeType="1"/>
        </xdr:cNvSpPr>
      </xdr:nvSpPr>
      <xdr:spPr bwMode="auto">
        <a:xfrm flipH="1" flipV="1">
          <a:off x="6461760" y="800100"/>
          <a:ext cx="7620" cy="23622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8</xdr:row>
      <xdr:rowOff>91440</xdr:rowOff>
    </xdr:from>
    <xdr:to>
      <xdr:col>11</xdr:col>
      <xdr:colOff>152400</xdr:colOff>
      <xdr:row>12</xdr:row>
      <xdr:rowOff>106680</xdr:rowOff>
    </xdr:to>
    <xdr:grpSp>
      <xdr:nvGrpSpPr>
        <xdr:cNvPr id="8269" name="Group 77">
          <a:extLst>
            <a:ext uri="{FF2B5EF4-FFF2-40B4-BE49-F238E27FC236}">
              <a16:creationId xmlns:a16="http://schemas.microsoft.com/office/drawing/2014/main" id="{58EBC661-931C-3992-4B0F-70E3D0FF9AFB}"/>
            </a:ext>
          </a:extLst>
        </xdr:cNvPr>
        <xdr:cNvGrpSpPr>
          <a:grpSpLocks/>
        </xdr:cNvGrpSpPr>
      </xdr:nvGrpSpPr>
      <xdr:grpSpPr bwMode="auto">
        <a:xfrm>
          <a:off x="7996518" y="1830593"/>
          <a:ext cx="2581835" cy="732416"/>
          <a:chOff x="819" y="201"/>
          <a:chExt cx="266" cy="74"/>
        </a:xfrm>
      </xdr:grpSpPr>
      <xdr:sp macro="" textlink="">
        <xdr:nvSpPr>
          <xdr:cNvPr id="8270" name="Freeform 78">
            <a:extLst>
              <a:ext uri="{FF2B5EF4-FFF2-40B4-BE49-F238E27FC236}">
                <a16:creationId xmlns:a16="http://schemas.microsoft.com/office/drawing/2014/main" id="{6F193AF3-4A01-8028-3223-7108E00E5994}"/>
              </a:ext>
            </a:extLst>
          </xdr:cNvPr>
          <xdr:cNvSpPr>
            <a:spLocks/>
          </xdr:cNvSpPr>
        </xdr:nvSpPr>
        <xdr:spPr bwMode="auto">
          <a:xfrm>
            <a:off x="819" y="201"/>
            <a:ext cx="266" cy="74"/>
          </a:xfrm>
          <a:custGeom>
            <a:avLst/>
            <a:gdLst>
              <a:gd name="T0" fmla="*/ 0 w 207"/>
              <a:gd name="T1" fmla="*/ 126 h 126"/>
              <a:gd name="T2" fmla="*/ 207 w 207"/>
              <a:gd name="T3" fmla="*/ 126 h 126"/>
              <a:gd name="T4" fmla="*/ 207 w 207"/>
              <a:gd name="T5" fmla="*/ 0 h 126"/>
              <a:gd name="T6" fmla="*/ 195 w 207"/>
              <a:gd name="T7" fmla="*/ 0 h 126"/>
            </a:gdLst>
            <a:ahLst/>
            <a:cxnLst>
              <a:cxn ang="0">
                <a:pos x="T0" y="T1"/>
              </a:cxn>
              <a:cxn ang="0">
                <a:pos x="T2" y="T3"/>
              </a:cxn>
              <a:cxn ang="0">
                <a:pos x="T4" y="T5"/>
              </a:cxn>
              <a:cxn ang="0">
                <a:pos x="T6" y="T7"/>
              </a:cxn>
            </a:cxnLst>
            <a:rect l="0" t="0" r="r" b="b"/>
            <a:pathLst>
              <a:path w="207" h="126">
                <a:moveTo>
                  <a:pt x="0" y="126"/>
                </a:moveTo>
                <a:lnTo>
                  <a:pt x="207" y="126"/>
                </a:lnTo>
                <a:lnTo>
                  <a:pt x="207" y="0"/>
                </a:lnTo>
                <a:lnTo>
                  <a:pt x="195" y="0"/>
                </a:lnTo>
              </a:path>
            </a:pathLst>
          </a:custGeom>
          <a:noFill/>
          <a:ln w="19050" cmpd="sng">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8271" name="Line 79">
            <a:extLst>
              <a:ext uri="{FF2B5EF4-FFF2-40B4-BE49-F238E27FC236}">
                <a16:creationId xmlns:a16="http://schemas.microsoft.com/office/drawing/2014/main" id="{3E93D1CC-A813-4598-08FF-A24A02B138DC}"/>
              </a:ext>
            </a:extLst>
          </xdr:cNvPr>
          <xdr:cNvSpPr>
            <a:spLocks noChangeShapeType="1"/>
          </xdr:cNvSpPr>
        </xdr:nvSpPr>
        <xdr:spPr bwMode="auto">
          <a:xfrm>
            <a:off x="1069" y="239"/>
            <a:ext cx="16"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clientData/>
  </xdr:twoCellAnchor>
  <xdr:twoCellAnchor>
    <xdr:from>
      <xdr:col>4</xdr:col>
      <xdr:colOff>594360</xdr:colOff>
      <xdr:row>8</xdr:row>
      <xdr:rowOff>76200</xdr:rowOff>
    </xdr:from>
    <xdr:to>
      <xdr:col>5</xdr:col>
      <xdr:colOff>236220</xdr:colOff>
      <xdr:row>13</xdr:row>
      <xdr:rowOff>45720</xdr:rowOff>
    </xdr:to>
    <xdr:sp macro="" textlink="">
      <xdr:nvSpPr>
        <xdr:cNvPr id="8272" name="Freeform 80">
          <a:extLst>
            <a:ext uri="{FF2B5EF4-FFF2-40B4-BE49-F238E27FC236}">
              <a16:creationId xmlns:a16="http://schemas.microsoft.com/office/drawing/2014/main" id="{A9CAE61C-6A39-B92B-3D8F-5D8FB6CFA4B1}"/>
            </a:ext>
          </a:extLst>
        </xdr:cNvPr>
        <xdr:cNvSpPr>
          <a:spLocks/>
        </xdr:cNvSpPr>
      </xdr:nvSpPr>
      <xdr:spPr bwMode="auto">
        <a:xfrm>
          <a:off x="4899660" y="1798320"/>
          <a:ext cx="251460" cy="845820"/>
        </a:xfrm>
        <a:custGeom>
          <a:avLst/>
          <a:gdLst>
            <a:gd name="T0" fmla="*/ 2 w 24"/>
            <a:gd name="T1" fmla="*/ 88 h 88"/>
            <a:gd name="T2" fmla="*/ 24 w 24"/>
            <a:gd name="T3" fmla="*/ 88 h 88"/>
            <a:gd name="T4" fmla="*/ 24 w 24"/>
            <a:gd name="T5" fmla="*/ 0 h 88"/>
            <a:gd name="T6" fmla="*/ 0 w 24"/>
            <a:gd name="T7" fmla="*/ 0 h 88"/>
          </a:gdLst>
          <a:ahLst/>
          <a:cxnLst>
            <a:cxn ang="0">
              <a:pos x="T0" y="T1"/>
            </a:cxn>
            <a:cxn ang="0">
              <a:pos x="T2" y="T3"/>
            </a:cxn>
            <a:cxn ang="0">
              <a:pos x="T4" y="T5"/>
            </a:cxn>
            <a:cxn ang="0">
              <a:pos x="T6" y="T7"/>
            </a:cxn>
          </a:cxnLst>
          <a:rect l="0" t="0" r="r" b="b"/>
          <a:pathLst>
            <a:path w="24" h="88">
              <a:moveTo>
                <a:pt x="2" y="88"/>
              </a:moveTo>
              <a:lnTo>
                <a:pt x="24" y="88"/>
              </a:lnTo>
              <a:lnTo>
                <a:pt x="24" y="0"/>
              </a:lnTo>
              <a:lnTo>
                <a:pt x="0" y="0"/>
              </a:lnTo>
            </a:path>
          </a:pathLst>
        </a:custGeom>
        <a:noFill/>
        <a:ln w="19050" cmpd="sng">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5</xdr:col>
      <xdr:colOff>0</xdr:colOff>
      <xdr:row>10</xdr:row>
      <xdr:rowOff>91440</xdr:rowOff>
    </xdr:from>
    <xdr:to>
      <xdr:col>5</xdr:col>
      <xdr:colOff>213360</xdr:colOff>
      <xdr:row>10</xdr:row>
      <xdr:rowOff>91440</xdr:rowOff>
    </xdr:to>
    <xdr:sp macro="" textlink="">
      <xdr:nvSpPr>
        <xdr:cNvPr id="8273" name="Line 81">
          <a:extLst>
            <a:ext uri="{FF2B5EF4-FFF2-40B4-BE49-F238E27FC236}">
              <a16:creationId xmlns:a16="http://schemas.microsoft.com/office/drawing/2014/main" id="{81430795-0646-60B2-03C3-F136573A7540}"/>
            </a:ext>
          </a:extLst>
        </xdr:cNvPr>
        <xdr:cNvSpPr>
          <a:spLocks noChangeShapeType="1"/>
        </xdr:cNvSpPr>
      </xdr:nvSpPr>
      <xdr:spPr bwMode="auto">
        <a:xfrm>
          <a:off x="4914900" y="2164080"/>
          <a:ext cx="21336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13</xdr:row>
      <xdr:rowOff>68580</xdr:rowOff>
    </xdr:from>
    <xdr:to>
      <xdr:col>8</xdr:col>
      <xdr:colOff>243840</xdr:colOff>
      <xdr:row>14</xdr:row>
      <xdr:rowOff>137160</xdr:rowOff>
    </xdr:to>
    <xdr:sp macro="" textlink="">
      <xdr:nvSpPr>
        <xdr:cNvPr id="8274" name="Freeform 82">
          <a:extLst>
            <a:ext uri="{FF2B5EF4-FFF2-40B4-BE49-F238E27FC236}">
              <a16:creationId xmlns:a16="http://schemas.microsoft.com/office/drawing/2014/main" id="{9BA18831-E827-CBBA-9CDD-81A0B4A365B6}"/>
            </a:ext>
          </a:extLst>
        </xdr:cNvPr>
        <xdr:cNvSpPr>
          <a:spLocks/>
        </xdr:cNvSpPr>
      </xdr:nvSpPr>
      <xdr:spPr bwMode="auto">
        <a:xfrm>
          <a:off x="7993380" y="2667000"/>
          <a:ext cx="243840" cy="243840"/>
        </a:xfrm>
        <a:custGeom>
          <a:avLst/>
          <a:gdLst>
            <a:gd name="T0" fmla="*/ 24 w 24"/>
            <a:gd name="T1" fmla="*/ 23 h 23"/>
            <a:gd name="T2" fmla="*/ 24 w 24"/>
            <a:gd name="T3" fmla="*/ 0 h 23"/>
            <a:gd name="T4" fmla="*/ 0 w 24"/>
            <a:gd name="T5" fmla="*/ 0 h 23"/>
          </a:gdLst>
          <a:ahLst/>
          <a:cxnLst>
            <a:cxn ang="0">
              <a:pos x="T0" y="T1"/>
            </a:cxn>
            <a:cxn ang="0">
              <a:pos x="T2" y="T3"/>
            </a:cxn>
            <a:cxn ang="0">
              <a:pos x="T4" y="T5"/>
            </a:cxn>
          </a:cxnLst>
          <a:rect l="0" t="0" r="r" b="b"/>
          <a:pathLst>
            <a:path w="24" h="23">
              <a:moveTo>
                <a:pt x="24" y="23"/>
              </a:moveTo>
              <a:lnTo>
                <a:pt x="24" y="0"/>
              </a:lnTo>
              <a:lnTo>
                <a:pt x="0" y="0"/>
              </a:lnTo>
            </a:path>
          </a:pathLst>
        </a:custGeom>
        <a:noFill/>
        <a:ln w="19050" cmpd="sng">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6</xdr:col>
      <xdr:colOff>792480</xdr:colOff>
      <xdr:row>4</xdr:row>
      <xdr:rowOff>45720</xdr:rowOff>
    </xdr:from>
    <xdr:to>
      <xdr:col>10</xdr:col>
      <xdr:colOff>312420</xdr:colOff>
      <xdr:row>7</xdr:row>
      <xdr:rowOff>152400</xdr:rowOff>
    </xdr:to>
    <xdr:sp macro="" textlink="">
      <xdr:nvSpPr>
        <xdr:cNvPr id="8275" name="Freeform 83">
          <a:extLst>
            <a:ext uri="{FF2B5EF4-FFF2-40B4-BE49-F238E27FC236}">
              <a16:creationId xmlns:a16="http://schemas.microsoft.com/office/drawing/2014/main" id="{A0963178-B366-E376-2F53-EC45F66C2292}"/>
            </a:ext>
          </a:extLst>
        </xdr:cNvPr>
        <xdr:cNvSpPr>
          <a:spLocks/>
        </xdr:cNvSpPr>
      </xdr:nvSpPr>
      <xdr:spPr bwMode="auto">
        <a:xfrm>
          <a:off x="6469380" y="1036320"/>
          <a:ext cx="3657600" cy="662940"/>
        </a:xfrm>
        <a:custGeom>
          <a:avLst/>
          <a:gdLst>
            <a:gd name="T0" fmla="*/ 375 w 375"/>
            <a:gd name="T1" fmla="*/ 69 h 69"/>
            <a:gd name="T2" fmla="*/ 375 w 375"/>
            <a:gd name="T3" fmla="*/ 0 h 69"/>
            <a:gd name="T4" fmla="*/ 0 w 375"/>
            <a:gd name="T5" fmla="*/ 0 h 69"/>
            <a:gd name="T6" fmla="*/ 0 w 375"/>
            <a:gd name="T7" fmla="*/ 13 h 69"/>
          </a:gdLst>
          <a:ahLst/>
          <a:cxnLst>
            <a:cxn ang="0">
              <a:pos x="T0" y="T1"/>
            </a:cxn>
            <a:cxn ang="0">
              <a:pos x="T2" y="T3"/>
            </a:cxn>
            <a:cxn ang="0">
              <a:pos x="T4" y="T5"/>
            </a:cxn>
            <a:cxn ang="0">
              <a:pos x="T6" y="T7"/>
            </a:cxn>
          </a:cxnLst>
          <a:rect l="0" t="0" r="r" b="b"/>
          <a:pathLst>
            <a:path w="375" h="69">
              <a:moveTo>
                <a:pt x="375" y="69"/>
              </a:moveTo>
              <a:lnTo>
                <a:pt x="375" y="0"/>
              </a:lnTo>
              <a:lnTo>
                <a:pt x="0" y="0"/>
              </a:lnTo>
              <a:lnTo>
                <a:pt x="0" y="13"/>
              </a:lnTo>
            </a:path>
          </a:pathLst>
        </a:custGeom>
        <a:noFill/>
        <a:ln w="19050" cmpd="sng">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426720</xdr:colOff>
      <xdr:row>8</xdr:row>
      <xdr:rowOff>0</xdr:rowOff>
    </xdr:from>
    <xdr:to>
      <xdr:col>7</xdr:col>
      <xdr:colOff>426720</xdr:colOff>
      <xdr:row>12</xdr:row>
      <xdr:rowOff>0</xdr:rowOff>
    </xdr:to>
    <xdr:sp macro="" textlink="">
      <xdr:nvSpPr>
        <xdr:cNvPr id="9217" name="Line 1">
          <a:extLst>
            <a:ext uri="{FF2B5EF4-FFF2-40B4-BE49-F238E27FC236}">
              <a16:creationId xmlns:a16="http://schemas.microsoft.com/office/drawing/2014/main" id="{E63EE3C0-193D-D900-8CFE-AA3B91E17441}"/>
            </a:ext>
          </a:extLst>
        </xdr:cNvPr>
        <xdr:cNvSpPr>
          <a:spLocks noChangeShapeType="1"/>
        </xdr:cNvSpPr>
      </xdr:nvSpPr>
      <xdr:spPr bwMode="auto">
        <a:xfrm>
          <a:off x="7688580" y="1722120"/>
          <a:ext cx="0" cy="70104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9</xdr:row>
      <xdr:rowOff>106680</xdr:rowOff>
    </xdr:from>
    <xdr:to>
      <xdr:col>7</xdr:col>
      <xdr:colOff>426720</xdr:colOff>
      <xdr:row>42</xdr:row>
      <xdr:rowOff>91440</xdr:rowOff>
    </xdr:to>
    <xdr:sp macro="" textlink="">
      <xdr:nvSpPr>
        <xdr:cNvPr id="9218" name="Freeform 2">
          <a:extLst>
            <a:ext uri="{FF2B5EF4-FFF2-40B4-BE49-F238E27FC236}">
              <a16:creationId xmlns:a16="http://schemas.microsoft.com/office/drawing/2014/main" id="{792D73CD-0E78-89F1-F9A3-ABCDA59A3AEF}"/>
            </a:ext>
          </a:extLst>
        </xdr:cNvPr>
        <xdr:cNvSpPr>
          <a:spLocks/>
        </xdr:cNvSpPr>
      </xdr:nvSpPr>
      <xdr:spPr bwMode="auto">
        <a:xfrm>
          <a:off x="4914900" y="2004060"/>
          <a:ext cx="2773680" cy="5768340"/>
        </a:xfrm>
        <a:custGeom>
          <a:avLst/>
          <a:gdLst>
            <a:gd name="T0" fmla="*/ 0 w 377"/>
            <a:gd name="T1" fmla="*/ 198 h 198"/>
            <a:gd name="T2" fmla="*/ 73 w 377"/>
            <a:gd name="T3" fmla="*/ 198 h 198"/>
            <a:gd name="T4" fmla="*/ 73 w 377"/>
            <a:gd name="T5" fmla="*/ 0 h 198"/>
            <a:gd name="T6" fmla="*/ 377 w 377"/>
            <a:gd name="T7" fmla="*/ 0 h 198"/>
            <a:gd name="T8" fmla="*/ 377 w 377"/>
            <a:gd name="T9" fmla="*/ 9 h 198"/>
          </a:gdLst>
          <a:ahLst/>
          <a:cxnLst>
            <a:cxn ang="0">
              <a:pos x="T0" y="T1"/>
            </a:cxn>
            <a:cxn ang="0">
              <a:pos x="T2" y="T3"/>
            </a:cxn>
            <a:cxn ang="0">
              <a:pos x="T4" y="T5"/>
            </a:cxn>
            <a:cxn ang="0">
              <a:pos x="T6" y="T7"/>
            </a:cxn>
            <a:cxn ang="0">
              <a:pos x="T8" y="T9"/>
            </a:cxn>
          </a:cxnLst>
          <a:rect l="0" t="0" r="r" b="b"/>
          <a:pathLst>
            <a:path w="377" h="198">
              <a:moveTo>
                <a:pt x="0" y="198"/>
              </a:moveTo>
              <a:lnTo>
                <a:pt x="73" y="198"/>
              </a:lnTo>
              <a:lnTo>
                <a:pt x="73" y="0"/>
              </a:lnTo>
              <a:lnTo>
                <a:pt x="377" y="0"/>
              </a:lnTo>
              <a:lnTo>
                <a:pt x="377" y="9"/>
              </a:lnTo>
            </a:path>
          </a:pathLst>
        </a:custGeom>
        <a:noFill/>
        <a:ln w="19050" cmpd="sng">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4</xdr:col>
      <xdr:colOff>342900</xdr:colOff>
      <xdr:row>32</xdr:row>
      <xdr:rowOff>0</xdr:rowOff>
    </xdr:from>
    <xdr:to>
      <xdr:col>4</xdr:col>
      <xdr:colOff>342900</xdr:colOff>
      <xdr:row>32</xdr:row>
      <xdr:rowOff>0</xdr:rowOff>
    </xdr:to>
    <xdr:sp macro="" textlink="">
      <xdr:nvSpPr>
        <xdr:cNvPr id="9219" name="Line 3">
          <a:extLst>
            <a:ext uri="{FF2B5EF4-FFF2-40B4-BE49-F238E27FC236}">
              <a16:creationId xmlns:a16="http://schemas.microsoft.com/office/drawing/2014/main" id="{7EC2DB3F-F04A-08C5-EF15-11D48AD3B6F9}"/>
            </a:ext>
          </a:extLst>
        </xdr:cNvPr>
        <xdr:cNvSpPr>
          <a:spLocks noChangeShapeType="1"/>
        </xdr:cNvSpPr>
      </xdr:nvSpPr>
      <xdr:spPr bwMode="auto">
        <a:xfrm>
          <a:off x="4648200" y="592836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106680</xdr:colOff>
      <xdr:row>32</xdr:row>
      <xdr:rowOff>0</xdr:rowOff>
    </xdr:from>
    <xdr:to>
      <xdr:col>4</xdr:col>
      <xdr:colOff>342900</xdr:colOff>
      <xdr:row>32</xdr:row>
      <xdr:rowOff>129540</xdr:rowOff>
    </xdr:to>
    <xdr:grpSp>
      <xdr:nvGrpSpPr>
        <xdr:cNvPr id="9220" name="Group 4">
          <a:extLst>
            <a:ext uri="{FF2B5EF4-FFF2-40B4-BE49-F238E27FC236}">
              <a16:creationId xmlns:a16="http://schemas.microsoft.com/office/drawing/2014/main" id="{98CC5393-3FEF-582C-7695-B53A658AEFDD}"/>
            </a:ext>
          </a:extLst>
        </xdr:cNvPr>
        <xdr:cNvGrpSpPr>
          <a:grpSpLocks/>
        </xdr:cNvGrpSpPr>
      </xdr:nvGrpSpPr>
      <xdr:grpSpPr bwMode="auto">
        <a:xfrm>
          <a:off x="2580939" y="6042212"/>
          <a:ext cx="2065020" cy="129540"/>
          <a:chOff x="264" y="559"/>
          <a:chExt cx="215" cy="15"/>
        </a:xfrm>
      </xdr:grpSpPr>
      <xdr:sp macro="" textlink="">
        <xdr:nvSpPr>
          <xdr:cNvPr id="9221" name="Line 5">
            <a:extLst>
              <a:ext uri="{FF2B5EF4-FFF2-40B4-BE49-F238E27FC236}">
                <a16:creationId xmlns:a16="http://schemas.microsoft.com/office/drawing/2014/main" id="{AF3E07BE-0B3A-25A9-8203-5F08720456A2}"/>
              </a:ext>
            </a:extLst>
          </xdr:cNvPr>
          <xdr:cNvSpPr>
            <a:spLocks noChangeShapeType="1"/>
          </xdr:cNvSpPr>
        </xdr:nvSpPr>
        <xdr:spPr bwMode="auto">
          <a:xfrm>
            <a:off x="478" y="559"/>
            <a:ext cx="0" cy="1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222" name="Line 6">
            <a:extLst>
              <a:ext uri="{FF2B5EF4-FFF2-40B4-BE49-F238E27FC236}">
                <a16:creationId xmlns:a16="http://schemas.microsoft.com/office/drawing/2014/main" id="{2375EE2A-8749-4E26-7D17-5E710F2FBFB9}"/>
              </a:ext>
            </a:extLst>
          </xdr:cNvPr>
          <xdr:cNvSpPr>
            <a:spLocks noChangeShapeType="1"/>
          </xdr:cNvSpPr>
        </xdr:nvSpPr>
        <xdr:spPr bwMode="auto">
          <a:xfrm flipH="1" flipV="1">
            <a:off x="264" y="572"/>
            <a:ext cx="215" cy="1"/>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0</xdr:colOff>
      <xdr:row>39</xdr:row>
      <xdr:rowOff>106680</xdr:rowOff>
    </xdr:from>
    <xdr:to>
      <xdr:col>3</xdr:col>
      <xdr:colOff>0</xdr:colOff>
      <xdr:row>39</xdr:row>
      <xdr:rowOff>106680</xdr:rowOff>
    </xdr:to>
    <xdr:sp macro="" textlink="">
      <xdr:nvSpPr>
        <xdr:cNvPr id="9223" name="Line 7">
          <a:extLst>
            <a:ext uri="{FF2B5EF4-FFF2-40B4-BE49-F238E27FC236}">
              <a16:creationId xmlns:a16="http://schemas.microsoft.com/office/drawing/2014/main" id="{A5C41BCD-109E-8A03-CFF5-05FBC050C8C9}"/>
            </a:ext>
          </a:extLst>
        </xdr:cNvPr>
        <xdr:cNvSpPr>
          <a:spLocks noChangeShapeType="1"/>
        </xdr:cNvSpPr>
      </xdr:nvSpPr>
      <xdr:spPr bwMode="auto">
        <a:xfrm>
          <a:off x="2476500" y="726186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502920</xdr:colOff>
      <xdr:row>32</xdr:row>
      <xdr:rowOff>68580</xdr:rowOff>
    </xdr:from>
    <xdr:to>
      <xdr:col>3</xdr:col>
      <xdr:colOff>114300</xdr:colOff>
      <xdr:row>36</xdr:row>
      <xdr:rowOff>91440</xdr:rowOff>
    </xdr:to>
    <xdr:grpSp>
      <xdr:nvGrpSpPr>
        <xdr:cNvPr id="9224" name="Group 8">
          <a:extLst>
            <a:ext uri="{FF2B5EF4-FFF2-40B4-BE49-F238E27FC236}">
              <a16:creationId xmlns:a16="http://schemas.microsoft.com/office/drawing/2014/main" id="{027CA6C3-88D3-FF7F-4436-4BDAC320A7BD}"/>
            </a:ext>
          </a:extLst>
        </xdr:cNvPr>
        <xdr:cNvGrpSpPr>
          <a:grpSpLocks/>
        </xdr:cNvGrpSpPr>
      </xdr:nvGrpSpPr>
      <xdr:grpSpPr bwMode="auto">
        <a:xfrm>
          <a:off x="2466191" y="6110792"/>
          <a:ext cx="122368" cy="740036"/>
          <a:chOff x="252" y="568"/>
          <a:chExt cx="13" cy="56"/>
        </a:xfrm>
      </xdr:grpSpPr>
      <xdr:sp macro="" textlink="">
        <xdr:nvSpPr>
          <xdr:cNvPr id="9225" name="Line 9">
            <a:extLst>
              <a:ext uri="{FF2B5EF4-FFF2-40B4-BE49-F238E27FC236}">
                <a16:creationId xmlns:a16="http://schemas.microsoft.com/office/drawing/2014/main" id="{A7D2DBF7-45BE-ECE4-6396-C2F5DCDE1C34}"/>
              </a:ext>
            </a:extLst>
          </xdr:cNvPr>
          <xdr:cNvSpPr>
            <a:spLocks noChangeShapeType="1"/>
          </xdr:cNvSpPr>
        </xdr:nvSpPr>
        <xdr:spPr bwMode="auto">
          <a:xfrm flipV="1">
            <a:off x="253" y="569"/>
            <a:ext cx="11"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226" name="Line 10">
            <a:extLst>
              <a:ext uri="{FF2B5EF4-FFF2-40B4-BE49-F238E27FC236}">
                <a16:creationId xmlns:a16="http://schemas.microsoft.com/office/drawing/2014/main" id="{92FB1C67-E187-B5BE-7ACE-131234675767}"/>
              </a:ext>
            </a:extLst>
          </xdr:cNvPr>
          <xdr:cNvSpPr>
            <a:spLocks noChangeShapeType="1"/>
          </xdr:cNvSpPr>
        </xdr:nvSpPr>
        <xdr:spPr bwMode="auto">
          <a:xfrm flipV="1">
            <a:off x="253" y="587"/>
            <a:ext cx="11"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227" name="Line 11">
            <a:extLst>
              <a:ext uri="{FF2B5EF4-FFF2-40B4-BE49-F238E27FC236}">
                <a16:creationId xmlns:a16="http://schemas.microsoft.com/office/drawing/2014/main" id="{C8D501B3-040E-EBB4-C82A-2985E87C3040}"/>
              </a:ext>
            </a:extLst>
          </xdr:cNvPr>
          <xdr:cNvSpPr>
            <a:spLocks noChangeShapeType="1"/>
          </xdr:cNvSpPr>
        </xdr:nvSpPr>
        <xdr:spPr bwMode="auto">
          <a:xfrm>
            <a:off x="252" y="605"/>
            <a:ext cx="13"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228" name="Line 12">
            <a:extLst>
              <a:ext uri="{FF2B5EF4-FFF2-40B4-BE49-F238E27FC236}">
                <a16:creationId xmlns:a16="http://schemas.microsoft.com/office/drawing/2014/main" id="{28369BAD-B5EB-1C35-83E3-8C15F9CD33C5}"/>
              </a:ext>
            </a:extLst>
          </xdr:cNvPr>
          <xdr:cNvSpPr>
            <a:spLocks noChangeShapeType="1"/>
          </xdr:cNvSpPr>
        </xdr:nvSpPr>
        <xdr:spPr bwMode="auto">
          <a:xfrm flipH="1">
            <a:off x="264" y="568"/>
            <a:ext cx="1" cy="56"/>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229" name="Line 13">
            <a:extLst>
              <a:ext uri="{FF2B5EF4-FFF2-40B4-BE49-F238E27FC236}">
                <a16:creationId xmlns:a16="http://schemas.microsoft.com/office/drawing/2014/main" id="{D2DDCABF-1833-966C-2958-2EBF430E7157}"/>
              </a:ext>
            </a:extLst>
          </xdr:cNvPr>
          <xdr:cNvSpPr>
            <a:spLocks noChangeShapeType="1"/>
          </xdr:cNvSpPr>
        </xdr:nvSpPr>
        <xdr:spPr bwMode="auto">
          <a:xfrm flipV="1">
            <a:off x="252" y="623"/>
            <a:ext cx="13"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0</xdr:colOff>
      <xdr:row>37</xdr:row>
      <xdr:rowOff>7620</xdr:rowOff>
    </xdr:from>
    <xdr:to>
      <xdr:col>4</xdr:col>
      <xdr:colOff>335280</xdr:colOff>
      <xdr:row>39</xdr:row>
      <xdr:rowOff>91440</xdr:rowOff>
    </xdr:to>
    <xdr:grpSp>
      <xdr:nvGrpSpPr>
        <xdr:cNvPr id="9230" name="Group 14">
          <a:extLst>
            <a:ext uri="{FF2B5EF4-FFF2-40B4-BE49-F238E27FC236}">
              <a16:creationId xmlns:a16="http://schemas.microsoft.com/office/drawing/2014/main" id="{C2F277BE-7039-109F-0A8B-725DF3D26408}"/>
            </a:ext>
          </a:extLst>
        </xdr:cNvPr>
        <xdr:cNvGrpSpPr>
          <a:grpSpLocks/>
        </xdr:cNvGrpSpPr>
      </xdr:nvGrpSpPr>
      <xdr:grpSpPr bwMode="auto">
        <a:xfrm>
          <a:off x="2474259" y="6946302"/>
          <a:ext cx="2164080" cy="442409"/>
          <a:chOff x="253" y="667"/>
          <a:chExt cx="222" cy="44"/>
        </a:xfrm>
      </xdr:grpSpPr>
      <xdr:grpSp>
        <xdr:nvGrpSpPr>
          <xdr:cNvPr id="9231" name="Group 15">
            <a:extLst>
              <a:ext uri="{FF2B5EF4-FFF2-40B4-BE49-F238E27FC236}">
                <a16:creationId xmlns:a16="http://schemas.microsoft.com/office/drawing/2014/main" id="{EC24249F-B8F1-2CD5-1D3E-3DDC0F866568}"/>
              </a:ext>
            </a:extLst>
          </xdr:cNvPr>
          <xdr:cNvGrpSpPr>
            <a:grpSpLocks/>
          </xdr:cNvGrpSpPr>
        </xdr:nvGrpSpPr>
        <xdr:grpSpPr bwMode="auto">
          <a:xfrm>
            <a:off x="253" y="693"/>
            <a:ext cx="13" cy="18"/>
            <a:chOff x="301" y="720"/>
            <a:chExt cx="13" cy="18"/>
          </a:xfrm>
        </xdr:grpSpPr>
        <xdr:sp macro="" textlink="">
          <xdr:nvSpPr>
            <xdr:cNvPr id="9232" name="Line 16">
              <a:extLst>
                <a:ext uri="{FF2B5EF4-FFF2-40B4-BE49-F238E27FC236}">
                  <a16:creationId xmlns:a16="http://schemas.microsoft.com/office/drawing/2014/main" id="{C8B81C39-FC9C-50E0-6C87-1A3835DBCA6A}"/>
                </a:ext>
              </a:extLst>
            </xdr:cNvPr>
            <xdr:cNvSpPr>
              <a:spLocks noChangeShapeType="1"/>
            </xdr:cNvSpPr>
          </xdr:nvSpPr>
          <xdr:spPr bwMode="auto">
            <a:xfrm flipV="1">
              <a:off x="301" y="720"/>
              <a:ext cx="12"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233" name="Line 17">
              <a:extLst>
                <a:ext uri="{FF2B5EF4-FFF2-40B4-BE49-F238E27FC236}">
                  <a16:creationId xmlns:a16="http://schemas.microsoft.com/office/drawing/2014/main" id="{55B22E10-79BF-48B7-2B1A-715475B22501}"/>
                </a:ext>
              </a:extLst>
            </xdr:cNvPr>
            <xdr:cNvSpPr>
              <a:spLocks noChangeShapeType="1"/>
            </xdr:cNvSpPr>
          </xdr:nvSpPr>
          <xdr:spPr bwMode="auto">
            <a:xfrm flipV="1">
              <a:off x="302" y="738"/>
              <a:ext cx="12"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234" name="Line 18">
              <a:extLst>
                <a:ext uri="{FF2B5EF4-FFF2-40B4-BE49-F238E27FC236}">
                  <a16:creationId xmlns:a16="http://schemas.microsoft.com/office/drawing/2014/main" id="{E92189EE-7CA7-E005-2CA5-334198B47E8A}"/>
                </a:ext>
              </a:extLst>
            </xdr:cNvPr>
            <xdr:cNvSpPr>
              <a:spLocks noChangeShapeType="1"/>
            </xdr:cNvSpPr>
          </xdr:nvSpPr>
          <xdr:spPr bwMode="auto">
            <a:xfrm>
              <a:off x="313" y="720"/>
              <a:ext cx="0" cy="17"/>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sp macro="" textlink="">
        <xdr:nvSpPr>
          <xdr:cNvPr id="9235" name="Line 19">
            <a:extLst>
              <a:ext uri="{FF2B5EF4-FFF2-40B4-BE49-F238E27FC236}">
                <a16:creationId xmlns:a16="http://schemas.microsoft.com/office/drawing/2014/main" id="{00FBCD51-BBD9-246D-F653-22233456A05B}"/>
              </a:ext>
            </a:extLst>
          </xdr:cNvPr>
          <xdr:cNvSpPr>
            <a:spLocks noChangeShapeType="1"/>
          </xdr:cNvSpPr>
        </xdr:nvSpPr>
        <xdr:spPr bwMode="auto">
          <a:xfrm>
            <a:off x="475" y="667"/>
            <a:ext cx="0" cy="33"/>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236" name="Line 20">
            <a:extLst>
              <a:ext uri="{FF2B5EF4-FFF2-40B4-BE49-F238E27FC236}">
                <a16:creationId xmlns:a16="http://schemas.microsoft.com/office/drawing/2014/main" id="{5673419F-CAB9-EB9F-FB81-1BAC25448AE6}"/>
              </a:ext>
            </a:extLst>
          </xdr:cNvPr>
          <xdr:cNvSpPr>
            <a:spLocks noChangeShapeType="1"/>
          </xdr:cNvSpPr>
        </xdr:nvSpPr>
        <xdr:spPr bwMode="auto">
          <a:xfrm flipH="1">
            <a:off x="264" y="700"/>
            <a:ext cx="211" cy="1"/>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clientData/>
  </xdr:twoCellAnchor>
  <xdr:twoCellAnchor>
    <xdr:from>
      <xdr:col>5</xdr:col>
      <xdr:colOff>0</xdr:colOff>
      <xdr:row>34</xdr:row>
      <xdr:rowOff>106680</xdr:rowOff>
    </xdr:from>
    <xdr:to>
      <xdr:col>5</xdr:col>
      <xdr:colOff>236220</xdr:colOff>
      <xdr:row>41</xdr:row>
      <xdr:rowOff>106680</xdr:rowOff>
    </xdr:to>
    <xdr:sp macro="" textlink="">
      <xdr:nvSpPr>
        <xdr:cNvPr id="9237" name="Freeform 21">
          <a:extLst>
            <a:ext uri="{FF2B5EF4-FFF2-40B4-BE49-F238E27FC236}">
              <a16:creationId xmlns:a16="http://schemas.microsoft.com/office/drawing/2014/main" id="{47E1BEDA-4382-888A-C53F-7CCC109F88D3}"/>
            </a:ext>
          </a:extLst>
        </xdr:cNvPr>
        <xdr:cNvSpPr>
          <a:spLocks/>
        </xdr:cNvSpPr>
      </xdr:nvSpPr>
      <xdr:spPr bwMode="auto">
        <a:xfrm>
          <a:off x="4914900" y="6385560"/>
          <a:ext cx="236220" cy="1226820"/>
        </a:xfrm>
        <a:custGeom>
          <a:avLst/>
          <a:gdLst>
            <a:gd name="T0" fmla="*/ 1 w 26"/>
            <a:gd name="T1" fmla="*/ 62 h 62"/>
            <a:gd name="T2" fmla="*/ 26 w 26"/>
            <a:gd name="T3" fmla="*/ 62 h 62"/>
            <a:gd name="T4" fmla="*/ 26 w 26"/>
            <a:gd name="T5" fmla="*/ 0 h 62"/>
            <a:gd name="T6" fmla="*/ 0 w 26"/>
            <a:gd name="T7" fmla="*/ 0 h 62"/>
          </a:gdLst>
          <a:ahLst/>
          <a:cxnLst>
            <a:cxn ang="0">
              <a:pos x="T0" y="T1"/>
            </a:cxn>
            <a:cxn ang="0">
              <a:pos x="T2" y="T3"/>
            </a:cxn>
            <a:cxn ang="0">
              <a:pos x="T4" y="T5"/>
            </a:cxn>
            <a:cxn ang="0">
              <a:pos x="T6" y="T7"/>
            </a:cxn>
          </a:cxnLst>
          <a:rect l="0" t="0" r="r" b="b"/>
          <a:pathLst>
            <a:path w="26" h="62">
              <a:moveTo>
                <a:pt x="1" y="62"/>
              </a:moveTo>
              <a:lnTo>
                <a:pt x="26" y="62"/>
              </a:lnTo>
              <a:lnTo>
                <a:pt x="26" y="0"/>
              </a:lnTo>
              <a:lnTo>
                <a:pt x="0" y="0"/>
              </a:lnTo>
            </a:path>
          </a:pathLst>
        </a:custGeom>
        <a:noFill/>
        <a:ln w="19050" cmpd="sng">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5</xdr:col>
      <xdr:colOff>0</xdr:colOff>
      <xdr:row>36</xdr:row>
      <xdr:rowOff>76200</xdr:rowOff>
    </xdr:from>
    <xdr:to>
      <xdr:col>5</xdr:col>
      <xdr:colOff>213360</xdr:colOff>
      <xdr:row>36</xdr:row>
      <xdr:rowOff>76200</xdr:rowOff>
    </xdr:to>
    <xdr:sp macro="" textlink="">
      <xdr:nvSpPr>
        <xdr:cNvPr id="9238" name="Line 22">
          <a:extLst>
            <a:ext uri="{FF2B5EF4-FFF2-40B4-BE49-F238E27FC236}">
              <a16:creationId xmlns:a16="http://schemas.microsoft.com/office/drawing/2014/main" id="{491C5524-D647-427E-3E62-033A19B20D62}"/>
            </a:ext>
          </a:extLst>
        </xdr:cNvPr>
        <xdr:cNvSpPr>
          <a:spLocks noChangeShapeType="1"/>
        </xdr:cNvSpPr>
      </xdr:nvSpPr>
      <xdr:spPr bwMode="auto">
        <a:xfrm flipV="1">
          <a:off x="4914900" y="6705600"/>
          <a:ext cx="21336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27</xdr:row>
      <xdr:rowOff>7620</xdr:rowOff>
    </xdr:from>
    <xdr:to>
      <xdr:col>4</xdr:col>
      <xdr:colOff>381000</xdr:colOff>
      <xdr:row>29</xdr:row>
      <xdr:rowOff>76200</xdr:rowOff>
    </xdr:to>
    <xdr:grpSp>
      <xdr:nvGrpSpPr>
        <xdr:cNvPr id="9239" name="Group 23">
          <a:extLst>
            <a:ext uri="{FF2B5EF4-FFF2-40B4-BE49-F238E27FC236}">
              <a16:creationId xmlns:a16="http://schemas.microsoft.com/office/drawing/2014/main" id="{00B6732D-0FC8-E088-E98E-AD4122F9D61F}"/>
            </a:ext>
          </a:extLst>
        </xdr:cNvPr>
        <xdr:cNvGrpSpPr>
          <a:grpSpLocks/>
        </xdr:cNvGrpSpPr>
      </xdr:nvGrpSpPr>
      <xdr:grpSpPr bwMode="auto">
        <a:xfrm>
          <a:off x="2474259" y="5153361"/>
          <a:ext cx="2209800" cy="427168"/>
          <a:chOff x="253" y="472"/>
          <a:chExt cx="227" cy="43"/>
        </a:xfrm>
      </xdr:grpSpPr>
      <xdr:grpSp>
        <xdr:nvGrpSpPr>
          <xdr:cNvPr id="9240" name="Group 24">
            <a:extLst>
              <a:ext uri="{FF2B5EF4-FFF2-40B4-BE49-F238E27FC236}">
                <a16:creationId xmlns:a16="http://schemas.microsoft.com/office/drawing/2014/main" id="{2663B6B8-13EC-2800-9C17-0D97FDE2617E}"/>
              </a:ext>
            </a:extLst>
          </xdr:cNvPr>
          <xdr:cNvGrpSpPr>
            <a:grpSpLocks/>
          </xdr:cNvGrpSpPr>
        </xdr:nvGrpSpPr>
        <xdr:grpSpPr bwMode="auto">
          <a:xfrm>
            <a:off x="253" y="478"/>
            <a:ext cx="13" cy="37"/>
            <a:chOff x="268" y="478"/>
            <a:chExt cx="13" cy="37"/>
          </a:xfrm>
        </xdr:grpSpPr>
        <xdr:sp macro="" textlink="">
          <xdr:nvSpPr>
            <xdr:cNvPr id="9241" name="Line 25">
              <a:extLst>
                <a:ext uri="{FF2B5EF4-FFF2-40B4-BE49-F238E27FC236}">
                  <a16:creationId xmlns:a16="http://schemas.microsoft.com/office/drawing/2014/main" id="{E843B835-F0B5-C559-8F2C-FFE0B377ABEB}"/>
                </a:ext>
              </a:extLst>
            </xdr:cNvPr>
            <xdr:cNvSpPr>
              <a:spLocks noChangeShapeType="1"/>
            </xdr:cNvSpPr>
          </xdr:nvSpPr>
          <xdr:spPr bwMode="auto">
            <a:xfrm flipV="1">
              <a:off x="269" y="479"/>
              <a:ext cx="11"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242" name="Line 26">
              <a:extLst>
                <a:ext uri="{FF2B5EF4-FFF2-40B4-BE49-F238E27FC236}">
                  <a16:creationId xmlns:a16="http://schemas.microsoft.com/office/drawing/2014/main" id="{C280B413-015D-0A85-8664-2BF4775D53AD}"/>
                </a:ext>
              </a:extLst>
            </xdr:cNvPr>
            <xdr:cNvSpPr>
              <a:spLocks noChangeShapeType="1"/>
            </xdr:cNvSpPr>
          </xdr:nvSpPr>
          <xdr:spPr bwMode="auto">
            <a:xfrm flipV="1">
              <a:off x="269" y="497"/>
              <a:ext cx="11"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243" name="Line 27">
              <a:extLst>
                <a:ext uri="{FF2B5EF4-FFF2-40B4-BE49-F238E27FC236}">
                  <a16:creationId xmlns:a16="http://schemas.microsoft.com/office/drawing/2014/main" id="{C1DAE637-F0F4-9134-DA82-19B83FD77FB9}"/>
                </a:ext>
              </a:extLst>
            </xdr:cNvPr>
            <xdr:cNvSpPr>
              <a:spLocks noChangeShapeType="1"/>
            </xdr:cNvSpPr>
          </xdr:nvSpPr>
          <xdr:spPr bwMode="auto">
            <a:xfrm>
              <a:off x="268" y="515"/>
              <a:ext cx="13"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244" name="Line 28">
              <a:extLst>
                <a:ext uri="{FF2B5EF4-FFF2-40B4-BE49-F238E27FC236}">
                  <a16:creationId xmlns:a16="http://schemas.microsoft.com/office/drawing/2014/main" id="{FCE3F29A-9C50-157C-53DA-71E0010FE681}"/>
                </a:ext>
              </a:extLst>
            </xdr:cNvPr>
            <xdr:cNvSpPr>
              <a:spLocks noChangeShapeType="1"/>
            </xdr:cNvSpPr>
          </xdr:nvSpPr>
          <xdr:spPr bwMode="auto">
            <a:xfrm>
              <a:off x="281" y="478"/>
              <a:ext cx="0" cy="37"/>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9245" name="Group 29">
            <a:extLst>
              <a:ext uri="{FF2B5EF4-FFF2-40B4-BE49-F238E27FC236}">
                <a16:creationId xmlns:a16="http://schemas.microsoft.com/office/drawing/2014/main" id="{0BE23F17-4BC0-9895-B695-B73734BE9F64}"/>
              </a:ext>
            </a:extLst>
          </xdr:cNvPr>
          <xdr:cNvGrpSpPr>
            <a:grpSpLocks/>
          </xdr:cNvGrpSpPr>
        </xdr:nvGrpSpPr>
        <xdr:grpSpPr bwMode="auto">
          <a:xfrm>
            <a:off x="265" y="472"/>
            <a:ext cx="215" cy="15"/>
            <a:chOff x="264" y="559"/>
            <a:chExt cx="215" cy="15"/>
          </a:xfrm>
        </xdr:grpSpPr>
        <xdr:sp macro="" textlink="">
          <xdr:nvSpPr>
            <xdr:cNvPr id="9246" name="Line 30">
              <a:extLst>
                <a:ext uri="{FF2B5EF4-FFF2-40B4-BE49-F238E27FC236}">
                  <a16:creationId xmlns:a16="http://schemas.microsoft.com/office/drawing/2014/main" id="{743E90D2-C6EB-214F-662A-D9D4A08B3BA4}"/>
                </a:ext>
              </a:extLst>
            </xdr:cNvPr>
            <xdr:cNvSpPr>
              <a:spLocks noChangeShapeType="1"/>
            </xdr:cNvSpPr>
          </xdr:nvSpPr>
          <xdr:spPr bwMode="auto">
            <a:xfrm>
              <a:off x="478" y="559"/>
              <a:ext cx="0" cy="1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247" name="Line 31">
              <a:extLst>
                <a:ext uri="{FF2B5EF4-FFF2-40B4-BE49-F238E27FC236}">
                  <a16:creationId xmlns:a16="http://schemas.microsoft.com/office/drawing/2014/main" id="{AAC56376-0B99-E34E-1122-71B648F7D669}"/>
                </a:ext>
              </a:extLst>
            </xdr:cNvPr>
            <xdr:cNvSpPr>
              <a:spLocks noChangeShapeType="1"/>
            </xdr:cNvSpPr>
          </xdr:nvSpPr>
          <xdr:spPr bwMode="auto">
            <a:xfrm flipH="1" flipV="1">
              <a:off x="264" y="572"/>
              <a:ext cx="215" cy="1"/>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clientData/>
  </xdr:twoCellAnchor>
  <xdr:twoCellAnchor>
    <xdr:from>
      <xdr:col>7</xdr:col>
      <xdr:colOff>723900</xdr:colOff>
      <xdr:row>24</xdr:row>
      <xdr:rowOff>68580</xdr:rowOff>
    </xdr:from>
    <xdr:to>
      <xdr:col>8</xdr:col>
      <xdr:colOff>144780</xdr:colOff>
      <xdr:row>25</xdr:row>
      <xdr:rowOff>68580</xdr:rowOff>
    </xdr:to>
    <xdr:grpSp>
      <xdr:nvGrpSpPr>
        <xdr:cNvPr id="9248" name="Group 32">
          <a:extLst>
            <a:ext uri="{FF2B5EF4-FFF2-40B4-BE49-F238E27FC236}">
              <a16:creationId xmlns:a16="http://schemas.microsoft.com/office/drawing/2014/main" id="{74CD55B9-E18A-F310-5FBE-80A375EAD3B0}"/>
            </a:ext>
          </a:extLst>
        </xdr:cNvPr>
        <xdr:cNvGrpSpPr>
          <a:grpSpLocks/>
        </xdr:cNvGrpSpPr>
      </xdr:nvGrpSpPr>
      <xdr:grpSpPr bwMode="auto">
        <a:xfrm>
          <a:off x="7985312" y="4676439"/>
          <a:ext cx="155986" cy="179294"/>
          <a:chOff x="301" y="720"/>
          <a:chExt cx="13" cy="18"/>
        </a:xfrm>
      </xdr:grpSpPr>
      <xdr:sp macro="" textlink="">
        <xdr:nvSpPr>
          <xdr:cNvPr id="9249" name="Line 33">
            <a:extLst>
              <a:ext uri="{FF2B5EF4-FFF2-40B4-BE49-F238E27FC236}">
                <a16:creationId xmlns:a16="http://schemas.microsoft.com/office/drawing/2014/main" id="{692716FC-70BB-34E3-7A65-1092D3E34FBD}"/>
              </a:ext>
            </a:extLst>
          </xdr:cNvPr>
          <xdr:cNvSpPr>
            <a:spLocks noChangeShapeType="1"/>
          </xdr:cNvSpPr>
        </xdr:nvSpPr>
        <xdr:spPr bwMode="auto">
          <a:xfrm flipV="1">
            <a:off x="301" y="720"/>
            <a:ext cx="12"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250" name="Line 34">
            <a:extLst>
              <a:ext uri="{FF2B5EF4-FFF2-40B4-BE49-F238E27FC236}">
                <a16:creationId xmlns:a16="http://schemas.microsoft.com/office/drawing/2014/main" id="{0A238BCA-E20D-DEE4-323F-21185EFE1E84}"/>
              </a:ext>
            </a:extLst>
          </xdr:cNvPr>
          <xdr:cNvSpPr>
            <a:spLocks noChangeShapeType="1"/>
          </xdr:cNvSpPr>
        </xdr:nvSpPr>
        <xdr:spPr bwMode="auto">
          <a:xfrm flipV="1">
            <a:off x="302" y="738"/>
            <a:ext cx="12"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251" name="Line 35">
            <a:extLst>
              <a:ext uri="{FF2B5EF4-FFF2-40B4-BE49-F238E27FC236}">
                <a16:creationId xmlns:a16="http://schemas.microsoft.com/office/drawing/2014/main" id="{46DF4319-4DB2-ED96-B4EC-F7B70716EAC1}"/>
              </a:ext>
            </a:extLst>
          </xdr:cNvPr>
          <xdr:cNvSpPr>
            <a:spLocks noChangeShapeType="1"/>
          </xdr:cNvSpPr>
        </xdr:nvSpPr>
        <xdr:spPr bwMode="auto">
          <a:xfrm>
            <a:off x="313" y="720"/>
            <a:ext cx="0" cy="17"/>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clientData/>
  </xdr:twoCellAnchor>
  <xdr:twoCellAnchor>
    <xdr:from>
      <xdr:col>8</xdr:col>
      <xdr:colOff>0</xdr:colOff>
      <xdr:row>27</xdr:row>
      <xdr:rowOff>68580</xdr:rowOff>
    </xdr:from>
    <xdr:to>
      <xdr:col>8</xdr:col>
      <xdr:colOff>160020</xdr:colOff>
      <xdr:row>28</xdr:row>
      <xdr:rowOff>68580</xdr:rowOff>
    </xdr:to>
    <xdr:grpSp>
      <xdr:nvGrpSpPr>
        <xdr:cNvPr id="9252" name="Group 36">
          <a:extLst>
            <a:ext uri="{FF2B5EF4-FFF2-40B4-BE49-F238E27FC236}">
              <a16:creationId xmlns:a16="http://schemas.microsoft.com/office/drawing/2014/main" id="{984DD564-6CC8-D991-8491-CB029EAD12EB}"/>
            </a:ext>
          </a:extLst>
        </xdr:cNvPr>
        <xdr:cNvGrpSpPr>
          <a:grpSpLocks/>
        </xdr:cNvGrpSpPr>
      </xdr:nvGrpSpPr>
      <xdr:grpSpPr bwMode="auto">
        <a:xfrm>
          <a:off x="7996518" y="5214321"/>
          <a:ext cx="160020" cy="179294"/>
          <a:chOff x="301" y="720"/>
          <a:chExt cx="13" cy="18"/>
        </a:xfrm>
      </xdr:grpSpPr>
      <xdr:sp macro="" textlink="">
        <xdr:nvSpPr>
          <xdr:cNvPr id="9253" name="Line 37">
            <a:extLst>
              <a:ext uri="{FF2B5EF4-FFF2-40B4-BE49-F238E27FC236}">
                <a16:creationId xmlns:a16="http://schemas.microsoft.com/office/drawing/2014/main" id="{68A518EB-D1D7-84B7-FE89-B4A218C508EB}"/>
              </a:ext>
            </a:extLst>
          </xdr:cNvPr>
          <xdr:cNvSpPr>
            <a:spLocks noChangeShapeType="1"/>
          </xdr:cNvSpPr>
        </xdr:nvSpPr>
        <xdr:spPr bwMode="auto">
          <a:xfrm flipV="1">
            <a:off x="301" y="720"/>
            <a:ext cx="12"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254" name="Line 38">
            <a:extLst>
              <a:ext uri="{FF2B5EF4-FFF2-40B4-BE49-F238E27FC236}">
                <a16:creationId xmlns:a16="http://schemas.microsoft.com/office/drawing/2014/main" id="{D39829E3-9C86-F1AE-BB8C-9BB440CAA87D}"/>
              </a:ext>
            </a:extLst>
          </xdr:cNvPr>
          <xdr:cNvSpPr>
            <a:spLocks noChangeShapeType="1"/>
          </xdr:cNvSpPr>
        </xdr:nvSpPr>
        <xdr:spPr bwMode="auto">
          <a:xfrm flipV="1">
            <a:off x="302" y="738"/>
            <a:ext cx="12"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255" name="Line 39">
            <a:extLst>
              <a:ext uri="{FF2B5EF4-FFF2-40B4-BE49-F238E27FC236}">
                <a16:creationId xmlns:a16="http://schemas.microsoft.com/office/drawing/2014/main" id="{CA88440F-AFCB-C4A6-820F-462093D4E21E}"/>
              </a:ext>
            </a:extLst>
          </xdr:cNvPr>
          <xdr:cNvSpPr>
            <a:spLocks noChangeShapeType="1"/>
          </xdr:cNvSpPr>
        </xdr:nvSpPr>
        <xdr:spPr bwMode="auto">
          <a:xfrm>
            <a:off x="313" y="720"/>
            <a:ext cx="0" cy="17"/>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clientData/>
  </xdr:twoCellAnchor>
  <xdr:twoCellAnchor>
    <xdr:from>
      <xdr:col>2</xdr:col>
      <xdr:colOff>502920</xdr:colOff>
      <xdr:row>23</xdr:row>
      <xdr:rowOff>0</xdr:rowOff>
    </xdr:from>
    <xdr:to>
      <xdr:col>4</xdr:col>
      <xdr:colOff>365760</xdr:colOff>
      <xdr:row>24</xdr:row>
      <xdr:rowOff>99060</xdr:rowOff>
    </xdr:to>
    <xdr:grpSp>
      <xdr:nvGrpSpPr>
        <xdr:cNvPr id="9256" name="Group 40">
          <a:extLst>
            <a:ext uri="{FF2B5EF4-FFF2-40B4-BE49-F238E27FC236}">
              <a16:creationId xmlns:a16="http://schemas.microsoft.com/office/drawing/2014/main" id="{863F71D7-674C-E998-E00F-54304CD7A981}"/>
            </a:ext>
          </a:extLst>
        </xdr:cNvPr>
        <xdr:cNvGrpSpPr>
          <a:grpSpLocks/>
        </xdr:cNvGrpSpPr>
      </xdr:nvGrpSpPr>
      <xdr:grpSpPr bwMode="auto">
        <a:xfrm>
          <a:off x="2466191" y="4428565"/>
          <a:ext cx="2202628" cy="278354"/>
          <a:chOff x="252" y="652"/>
          <a:chExt cx="223" cy="28"/>
        </a:xfrm>
      </xdr:grpSpPr>
      <xdr:grpSp>
        <xdr:nvGrpSpPr>
          <xdr:cNvPr id="9257" name="Group 41">
            <a:extLst>
              <a:ext uri="{FF2B5EF4-FFF2-40B4-BE49-F238E27FC236}">
                <a16:creationId xmlns:a16="http://schemas.microsoft.com/office/drawing/2014/main" id="{F4E9E362-FD9B-DBEC-8FE7-1298193039EE}"/>
              </a:ext>
            </a:extLst>
          </xdr:cNvPr>
          <xdr:cNvGrpSpPr>
            <a:grpSpLocks/>
          </xdr:cNvGrpSpPr>
        </xdr:nvGrpSpPr>
        <xdr:grpSpPr bwMode="auto">
          <a:xfrm>
            <a:off x="252" y="662"/>
            <a:ext cx="13" cy="18"/>
            <a:chOff x="301" y="720"/>
            <a:chExt cx="13" cy="18"/>
          </a:xfrm>
        </xdr:grpSpPr>
        <xdr:sp macro="" textlink="">
          <xdr:nvSpPr>
            <xdr:cNvPr id="9258" name="Line 42">
              <a:extLst>
                <a:ext uri="{FF2B5EF4-FFF2-40B4-BE49-F238E27FC236}">
                  <a16:creationId xmlns:a16="http://schemas.microsoft.com/office/drawing/2014/main" id="{0D986396-6B2B-6F7B-4C98-D25A22655213}"/>
                </a:ext>
              </a:extLst>
            </xdr:cNvPr>
            <xdr:cNvSpPr>
              <a:spLocks noChangeShapeType="1"/>
            </xdr:cNvSpPr>
          </xdr:nvSpPr>
          <xdr:spPr bwMode="auto">
            <a:xfrm flipV="1">
              <a:off x="301" y="720"/>
              <a:ext cx="12"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259" name="Line 43">
              <a:extLst>
                <a:ext uri="{FF2B5EF4-FFF2-40B4-BE49-F238E27FC236}">
                  <a16:creationId xmlns:a16="http://schemas.microsoft.com/office/drawing/2014/main" id="{8F872704-3C09-8931-4AEC-EE1F544BA7D9}"/>
                </a:ext>
              </a:extLst>
            </xdr:cNvPr>
            <xdr:cNvSpPr>
              <a:spLocks noChangeShapeType="1"/>
            </xdr:cNvSpPr>
          </xdr:nvSpPr>
          <xdr:spPr bwMode="auto">
            <a:xfrm flipV="1">
              <a:off x="302" y="738"/>
              <a:ext cx="12"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260" name="Line 44">
              <a:extLst>
                <a:ext uri="{FF2B5EF4-FFF2-40B4-BE49-F238E27FC236}">
                  <a16:creationId xmlns:a16="http://schemas.microsoft.com/office/drawing/2014/main" id="{7ABE707C-90E8-CC65-21DF-F4F2954E4E38}"/>
                </a:ext>
              </a:extLst>
            </xdr:cNvPr>
            <xdr:cNvSpPr>
              <a:spLocks noChangeShapeType="1"/>
            </xdr:cNvSpPr>
          </xdr:nvSpPr>
          <xdr:spPr bwMode="auto">
            <a:xfrm>
              <a:off x="313" y="720"/>
              <a:ext cx="0" cy="17"/>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sp macro="" textlink="">
        <xdr:nvSpPr>
          <xdr:cNvPr id="9261" name="Line 45">
            <a:extLst>
              <a:ext uri="{FF2B5EF4-FFF2-40B4-BE49-F238E27FC236}">
                <a16:creationId xmlns:a16="http://schemas.microsoft.com/office/drawing/2014/main" id="{4198730D-8CF7-034F-8D37-155880CCF4E7}"/>
              </a:ext>
            </a:extLst>
          </xdr:cNvPr>
          <xdr:cNvSpPr>
            <a:spLocks noChangeShapeType="1"/>
          </xdr:cNvSpPr>
        </xdr:nvSpPr>
        <xdr:spPr bwMode="auto">
          <a:xfrm>
            <a:off x="475" y="652"/>
            <a:ext cx="0" cy="1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262" name="Line 46">
            <a:extLst>
              <a:ext uri="{FF2B5EF4-FFF2-40B4-BE49-F238E27FC236}">
                <a16:creationId xmlns:a16="http://schemas.microsoft.com/office/drawing/2014/main" id="{925A10BD-A994-9B4F-DD9A-1729734B52DE}"/>
              </a:ext>
            </a:extLst>
          </xdr:cNvPr>
          <xdr:cNvSpPr>
            <a:spLocks noChangeShapeType="1"/>
          </xdr:cNvSpPr>
        </xdr:nvSpPr>
        <xdr:spPr bwMode="auto">
          <a:xfrm flipH="1">
            <a:off x="264" y="666"/>
            <a:ext cx="211" cy="1"/>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clientData/>
  </xdr:twoCellAnchor>
  <xdr:twoCellAnchor>
    <xdr:from>
      <xdr:col>8</xdr:col>
      <xdr:colOff>144780</xdr:colOff>
      <xdr:row>27</xdr:row>
      <xdr:rowOff>114300</xdr:rowOff>
    </xdr:from>
    <xdr:to>
      <xdr:col>8</xdr:col>
      <xdr:colOff>251460</xdr:colOff>
      <xdr:row>27</xdr:row>
      <xdr:rowOff>114300</xdr:rowOff>
    </xdr:to>
    <xdr:sp macro="" textlink="">
      <xdr:nvSpPr>
        <xdr:cNvPr id="9263" name="Line 47">
          <a:extLst>
            <a:ext uri="{FF2B5EF4-FFF2-40B4-BE49-F238E27FC236}">
              <a16:creationId xmlns:a16="http://schemas.microsoft.com/office/drawing/2014/main" id="{A5DAED83-299D-1EE1-C666-5431856B6BAA}"/>
            </a:ext>
          </a:extLst>
        </xdr:cNvPr>
        <xdr:cNvSpPr>
          <a:spLocks noChangeShapeType="1"/>
        </xdr:cNvSpPr>
      </xdr:nvSpPr>
      <xdr:spPr bwMode="auto">
        <a:xfrm>
          <a:off x="8138160" y="5166360"/>
          <a:ext cx="10668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137160</xdr:colOff>
      <xdr:row>24</xdr:row>
      <xdr:rowOff>137160</xdr:rowOff>
    </xdr:from>
    <xdr:to>
      <xdr:col>8</xdr:col>
      <xdr:colOff>243840</xdr:colOff>
      <xdr:row>24</xdr:row>
      <xdr:rowOff>137160</xdr:rowOff>
    </xdr:to>
    <xdr:sp macro="" textlink="">
      <xdr:nvSpPr>
        <xdr:cNvPr id="9264" name="Line 48">
          <a:extLst>
            <a:ext uri="{FF2B5EF4-FFF2-40B4-BE49-F238E27FC236}">
              <a16:creationId xmlns:a16="http://schemas.microsoft.com/office/drawing/2014/main" id="{714182A2-C107-A390-2082-07BB97D4E290}"/>
            </a:ext>
          </a:extLst>
        </xdr:cNvPr>
        <xdr:cNvSpPr>
          <a:spLocks noChangeShapeType="1"/>
        </xdr:cNvSpPr>
      </xdr:nvSpPr>
      <xdr:spPr bwMode="auto">
        <a:xfrm>
          <a:off x="8130540" y="4663440"/>
          <a:ext cx="10668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18</xdr:row>
      <xdr:rowOff>76200</xdr:rowOff>
    </xdr:from>
    <xdr:to>
      <xdr:col>8</xdr:col>
      <xdr:colOff>243840</xdr:colOff>
      <xdr:row>18</xdr:row>
      <xdr:rowOff>76200</xdr:rowOff>
    </xdr:to>
    <xdr:sp macro="" textlink="">
      <xdr:nvSpPr>
        <xdr:cNvPr id="9265" name="Line 49">
          <a:extLst>
            <a:ext uri="{FF2B5EF4-FFF2-40B4-BE49-F238E27FC236}">
              <a16:creationId xmlns:a16="http://schemas.microsoft.com/office/drawing/2014/main" id="{3B9FA4D6-6030-E4AD-7D59-0F4C8A94873D}"/>
            </a:ext>
          </a:extLst>
        </xdr:cNvPr>
        <xdr:cNvSpPr>
          <a:spLocks noChangeShapeType="1"/>
        </xdr:cNvSpPr>
      </xdr:nvSpPr>
      <xdr:spPr bwMode="auto">
        <a:xfrm>
          <a:off x="7993380" y="3550920"/>
          <a:ext cx="24384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7620</xdr:colOff>
      <xdr:row>16</xdr:row>
      <xdr:rowOff>60960</xdr:rowOff>
    </xdr:from>
    <xdr:to>
      <xdr:col>8</xdr:col>
      <xdr:colOff>243840</xdr:colOff>
      <xdr:row>16</xdr:row>
      <xdr:rowOff>60960</xdr:rowOff>
    </xdr:to>
    <xdr:sp macro="" textlink="">
      <xdr:nvSpPr>
        <xdr:cNvPr id="9266" name="Line 50">
          <a:extLst>
            <a:ext uri="{FF2B5EF4-FFF2-40B4-BE49-F238E27FC236}">
              <a16:creationId xmlns:a16="http://schemas.microsoft.com/office/drawing/2014/main" id="{633B45D0-0EC4-B3E5-BBD5-24C81393834F}"/>
            </a:ext>
          </a:extLst>
        </xdr:cNvPr>
        <xdr:cNvSpPr>
          <a:spLocks noChangeShapeType="1"/>
        </xdr:cNvSpPr>
      </xdr:nvSpPr>
      <xdr:spPr bwMode="auto">
        <a:xfrm>
          <a:off x="8001000" y="3185160"/>
          <a:ext cx="23622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243840</xdr:colOff>
      <xdr:row>14</xdr:row>
      <xdr:rowOff>137160</xdr:rowOff>
    </xdr:from>
    <xdr:to>
      <xdr:col>11</xdr:col>
      <xdr:colOff>114300</xdr:colOff>
      <xdr:row>16</xdr:row>
      <xdr:rowOff>68580</xdr:rowOff>
    </xdr:to>
    <xdr:sp macro="" textlink="">
      <xdr:nvSpPr>
        <xdr:cNvPr id="9267" name="Freeform 51">
          <a:extLst>
            <a:ext uri="{FF2B5EF4-FFF2-40B4-BE49-F238E27FC236}">
              <a16:creationId xmlns:a16="http://schemas.microsoft.com/office/drawing/2014/main" id="{C84086B8-85AD-945D-F39C-BF0260C33C11}"/>
            </a:ext>
          </a:extLst>
        </xdr:cNvPr>
        <xdr:cNvSpPr>
          <a:spLocks/>
        </xdr:cNvSpPr>
      </xdr:nvSpPr>
      <xdr:spPr bwMode="auto">
        <a:xfrm>
          <a:off x="8237220" y="2910840"/>
          <a:ext cx="2301240" cy="281940"/>
        </a:xfrm>
        <a:custGeom>
          <a:avLst/>
          <a:gdLst>
            <a:gd name="T0" fmla="*/ 0 w 239"/>
            <a:gd name="T1" fmla="*/ 28 h 28"/>
            <a:gd name="T2" fmla="*/ 0 w 239"/>
            <a:gd name="T3" fmla="*/ 0 h 28"/>
            <a:gd name="T4" fmla="*/ 239 w 239"/>
            <a:gd name="T5" fmla="*/ 0 h 28"/>
            <a:gd name="T6" fmla="*/ 239 w 239"/>
            <a:gd name="T7" fmla="*/ 26 h 28"/>
          </a:gdLst>
          <a:ahLst/>
          <a:cxnLst>
            <a:cxn ang="0">
              <a:pos x="T0" y="T1"/>
            </a:cxn>
            <a:cxn ang="0">
              <a:pos x="T2" y="T3"/>
            </a:cxn>
            <a:cxn ang="0">
              <a:pos x="T4" y="T5"/>
            </a:cxn>
            <a:cxn ang="0">
              <a:pos x="T6" y="T7"/>
            </a:cxn>
          </a:cxnLst>
          <a:rect l="0" t="0" r="r" b="b"/>
          <a:pathLst>
            <a:path w="239" h="28">
              <a:moveTo>
                <a:pt x="0" y="28"/>
              </a:moveTo>
              <a:lnTo>
                <a:pt x="0" y="0"/>
              </a:lnTo>
              <a:lnTo>
                <a:pt x="239" y="0"/>
              </a:lnTo>
              <a:lnTo>
                <a:pt x="239" y="26"/>
              </a:lnTo>
            </a:path>
          </a:pathLst>
        </a:custGeom>
        <a:noFill/>
        <a:ln w="19050" cmpd="sng">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8</xdr:col>
      <xdr:colOff>0</xdr:colOff>
      <xdr:row>20</xdr:row>
      <xdr:rowOff>114300</xdr:rowOff>
    </xdr:from>
    <xdr:to>
      <xdr:col>8</xdr:col>
      <xdr:colOff>243840</xdr:colOff>
      <xdr:row>27</xdr:row>
      <xdr:rowOff>106680</xdr:rowOff>
    </xdr:to>
    <xdr:sp macro="" textlink="">
      <xdr:nvSpPr>
        <xdr:cNvPr id="9268" name="Freeform 52">
          <a:extLst>
            <a:ext uri="{FF2B5EF4-FFF2-40B4-BE49-F238E27FC236}">
              <a16:creationId xmlns:a16="http://schemas.microsoft.com/office/drawing/2014/main" id="{53ACBCA0-41C7-332E-7C55-4DC837489E56}"/>
            </a:ext>
          </a:extLst>
        </xdr:cNvPr>
        <xdr:cNvSpPr>
          <a:spLocks/>
        </xdr:cNvSpPr>
      </xdr:nvSpPr>
      <xdr:spPr bwMode="auto">
        <a:xfrm>
          <a:off x="7993380" y="3939540"/>
          <a:ext cx="243840" cy="1219200"/>
        </a:xfrm>
        <a:custGeom>
          <a:avLst/>
          <a:gdLst>
            <a:gd name="T0" fmla="*/ 25 w 25"/>
            <a:gd name="T1" fmla="*/ 197 h 197"/>
            <a:gd name="T2" fmla="*/ 25 w 25"/>
            <a:gd name="T3" fmla="*/ 0 h 197"/>
            <a:gd name="T4" fmla="*/ 0 w 25"/>
            <a:gd name="T5" fmla="*/ 0 h 197"/>
          </a:gdLst>
          <a:ahLst/>
          <a:cxnLst>
            <a:cxn ang="0">
              <a:pos x="T0" y="T1"/>
            </a:cxn>
            <a:cxn ang="0">
              <a:pos x="T2" y="T3"/>
            </a:cxn>
            <a:cxn ang="0">
              <a:pos x="T4" y="T5"/>
            </a:cxn>
          </a:cxnLst>
          <a:rect l="0" t="0" r="r" b="b"/>
          <a:pathLst>
            <a:path w="25" h="197">
              <a:moveTo>
                <a:pt x="25" y="197"/>
              </a:moveTo>
              <a:lnTo>
                <a:pt x="25" y="0"/>
              </a:lnTo>
              <a:lnTo>
                <a:pt x="0" y="0"/>
              </a:lnTo>
            </a:path>
          </a:pathLst>
        </a:custGeom>
        <a:noFill/>
        <a:ln w="19050" cmpd="sng">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11</xdr:col>
      <xdr:colOff>7620</xdr:colOff>
      <xdr:row>16</xdr:row>
      <xdr:rowOff>114300</xdr:rowOff>
    </xdr:from>
    <xdr:to>
      <xdr:col>11</xdr:col>
      <xdr:colOff>114300</xdr:colOff>
      <xdr:row>24</xdr:row>
      <xdr:rowOff>76200</xdr:rowOff>
    </xdr:to>
    <xdr:sp macro="" textlink="">
      <xdr:nvSpPr>
        <xdr:cNvPr id="9269" name="Freeform 53">
          <a:extLst>
            <a:ext uri="{FF2B5EF4-FFF2-40B4-BE49-F238E27FC236}">
              <a16:creationId xmlns:a16="http://schemas.microsoft.com/office/drawing/2014/main" id="{79F9D551-B610-A9BA-9FC5-71DAD32E2077}"/>
            </a:ext>
          </a:extLst>
        </xdr:cNvPr>
        <xdr:cNvSpPr>
          <a:spLocks/>
        </xdr:cNvSpPr>
      </xdr:nvSpPr>
      <xdr:spPr bwMode="auto">
        <a:xfrm>
          <a:off x="10431780" y="3238500"/>
          <a:ext cx="106680" cy="1363980"/>
        </a:xfrm>
        <a:custGeom>
          <a:avLst/>
          <a:gdLst>
            <a:gd name="T0" fmla="*/ 0 w 11"/>
            <a:gd name="T1" fmla="*/ 140 h 140"/>
            <a:gd name="T2" fmla="*/ 11 w 11"/>
            <a:gd name="T3" fmla="*/ 140 h 140"/>
            <a:gd name="T4" fmla="*/ 11 w 11"/>
            <a:gd name="T5" fmla="*/ 0 h 140"/>
            <a:gd name="T6" fmla="*/ 0 w 11"/>
            <a:gd name="T7" fmla="*/ 0 h 140"/>
          </a:gdLst>
          <a:ahLst/>
          <a:cxnLst>
            <a:cxn ang="0">
              <a:pos x="T0" y="T1"/>
            </a:cxn>
            <a:cxn ang="0">
              <a:pos x="T2" y="T3"/>
            </a:cxn>
            <a:cxn ang="0">
              <a:pos x="T4" y="T5"/>
            </a:cxn>
            <a:cxn ang="0">
              <a:pos x="T6" y="T7"/>
            </a:cxn>
          </a:cxnLst>
          <a:rect l="0" t="0" r="r" b="b"/>
          <a:pathLst>
            <a:path w="11" h="140">
              <a:moveTo>
                <a:pt x="0" y="140"/>
              </a:moveTo>
              <a:lnTo>
                <a:pt x="11" y="140"/>
              </a:lnTo>
              <a:lnTo>
                <a:pt x="11" y="0"/>
              </a:lnTo>
              <a:lnTo>
                <a:pt x="0" y="0"/>
              </a:lnTo>
            </a:path>
          </a:pathLst>
        </a:custGeom>
        <a:noFill/>
        <a:ln w="19050" cmpd="sng">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11</xdr:col>
      <xdr:colOff>0</xdr:colOff>
      <xdr:row>22</xdr:row>
      <xdr:rowOff>91440</xdr:rowOff>
    </xdr:from>
    <xdr:to>
      <xdr:col>11</xdr:col>
      <xdr:colOff>114300</xdr:colOff>
      <xdr:row>22</xdr:row>
      <xdr:rowOff>91440</xdr:rowOff>
    </xdr:to>
    <xdr:sp macro="" textlink="">
      <xdr:nvSpPr>
        <xdr:cNvPr id="9270" name="Line 54">
          <a:extLst>
            <a:ext uri="{FF2B5EF4-FFF2-40B4-BE49-F238E27FC236}">
              <a16:creationId xmlns:a16="http://schemas.microsoft.com/office/drawing/2014/main" id="{2A783DE7-3BEB-54D5-7E0F-EC767C22337B}"/>
            </a:ext>
          </a:extLst>
        </xdr:cNvPr>
        <xdr:cNvSpPr>
          <a:spLocks noChangeShapeType="1"/>
        </xdr:cNvSpPr>
      </xdr:nvSpPr>
      <xdr:spPr bwMode="auto">
        <a:xfrm>
          <a:off x="10424160" y="4267200"/>
          <a:ext cx="11430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20</xdr:row>
      <xdr:rowOff>76200</xdr:rowOff>
    </xdr:from>
    <xdr:to>
      <xdr:col>11</xdr:col>
      <xdr:colOff>114300</xdr:colOff>
      <xdr:row>20</xdr:row>
      <xdr:rowOff>76200</xdr:rowOff>
    </xdr:to>
    <xdr:sp macro="" textlink="">
      <xdr:nvSpPr>
        <xdr:cNvPr id="9271" name="Line 55">
          <a:extLst>
            <a:ext uri="{FF2B5EF4-FFF2-40B4-BE49-F238E27FC236}">
              <a16:creationId xmlns:a16="http://schemas.microsoft.com/office/drawing/2014/main" id="{86D7DF93-B1BE-2B7B-9FD0-438857F4D4A3}"/>
            </a:ext>
          </a:extLst>
        </xdr:cNvPr>
        <xdr:cNvSpPr>
          <a:spLocks noChangeShapeType="1"/>
        </xdr:cNvSpPr>
      </xdr:nvSpPr>
      <xdr:spPr bwMode="auto">
        <a:xfrm>
          <a:off x="10424160" y="3901440"/>
          <a:ext cx="11430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18</xdr:row>
      <xdr:rowOff>76200</xdr:rowOff>
    </xdr:from>
    <xdr:to>
      <xdr:col>11</xdr:col>
      <xdr:colOff>114300</xdr:colOff>
      <xdr:row>18</xdr:row>
      <xdr:rowOff>76200</xdr:rowOff>
    </xdr:to>
    <xdr:sp macro="" textlink="">
      <xdr:nvSpPr>
        <xdr:cNvPr id="9272" name="Line 56">
          <a:extLst>
            <a:ext uri="{FF2B5EF4-FFF2-40B4-BE49-F238E27FC236}">
              <a16:creationId xmlns:a16="http://schemas.microsoft.com/office/drawing/2014/main" id="{C68276D5-C708-E2F8-E881-44EF0C2F72A9}"/>
            </a:ext>
          </a:extLst>
        </xdr:cNvPr>
        <xdr:cNvSpPr>
          <a:spLocks noChangeShapeType="1"/>
        </xdr:cNvSpPr>
      </xdr:nvSpPr>
      <xdr:spPr bwMode="auto">
        <a:xfrm>
          <a:off x="10424160" y="3550920"/>
          <a:ext cx="11430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16</xdr:row>
      <xdr:rowOff>38100</xdr:rowOff>
    </xdr:from>
    <xdr:to>
      <xdr:col>11</xdr:col>
      <xdr:colOff>114300</xdr:colOff>
      <xdr:row>16</xdr:row>
      <xdr:rowOff>38100</xdr:rowOff>
    </xdr:to>
    <xdr:sp macro="" textlink="">
      <xdr:nvSpPr>
        <xdr:cNvPr id="9273" name="Line 57">
          <a:extLst>
            <a:ext uri="{FF2B5EF4-FFF2-40B4-BE49-F238E27FC236}">
              <a16:creationId xmlns:a16="http://schemas.microsoft.com/office/drawing/2014/main" id="{B41725B9-2950-D583-09B6-70082238B0C0}"/>
            </a:ext>
          </a:extLst>
        </xdr:cNvPr>
        <xdr:cNvSpPr>
          <a:spLocks noChangeShapeType="1"/>
        </xdr:cNvSpPr>
      </xdr:nvSpPr>
      <xdr:spPr bwMode="auto">
        <a:xfrm flipH="1">
          <a:off x="10424160" y="3162300"/>
          <a:ext cx="11430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18</xdr:row>
      <xdr:rowOff>7620</xdr:rowOff>
    </xdr:from>
    <xdr:to>
      <xdr:col>4</xdr:col>
      <xdr:colOff>381000</xdr:colOff>
      <xdr:row>20</xdr:row>
      <xdr:rowOff>76200</xdr:rowOff>
    </xdr:to>
    <xdr:grpSp>
      <xdr:nvGrpSpPr>
        <xdr:cNvPr id="9274" name="Group 58">
          <a:extLst>
            <a:ext uri="{FF2B5EF4-FFF2-40B4-BE49-F238E27FC236}">
              <a16:creationId xmlns:a16="http://schemas.microsoft.com/office/drawing/2014/main" id="{348951C9-6FDC-5960-DE5D-823FF20582F7}"/>
            </a:ext>
          </a:extLst>
        </xdr:cNvPr>
        <xdr:cNvGrpSpPr>
          <a:grpSpLocks/>
        </xdr:cNvGrpSpPr>
      </xdr:nvGrpSpPr>
      <xdr:grpSpPr bwMode="auto">
        <a:xfrm>
          <a:off x="2474259" y="3539714"/>
          <a:ext cx="2209800" cy="427168"/>
          <a:chOff x="253" y="472"/>
          <a:chExt cx="227" cy="43"/>
        </a:xfrm>
      </xdr:grpSpPr>
      <xdr:grpSp>
        <xdr:nvGrpSpPr>
          <xdr:cNvPr id="9275" name="Group 59">
            <a:extLst>
              <a:ext uri="{FF2B5EF4-FFF2-40B4-BE49-F238E27FC236}">
                <a16:creationId xmlns:a16="http://schemas.microsoft.com/office/drawing/2014/main" id="{04D4CC21-655B-C2C3-87A2-0A976D6FC1A2}"/>
              </a:ext>
            </a:extLst>
          </xdr:cNvPr>
          <xdr:cNvGrpSpPr>
            <a:grpSpLocks/>
          </xdr:cNvGrpSpPr>
        </xdr:nvGrpSpPr>
        <xdr:grpSpPr bwMode="auto">
          <a:xfrm>
            <a:off x="253" y="478"/>
            <a:ext cx="13" cy="37"/>
            <a:chOff x="268" y="478"/>
            <a:chExt cx="13" cy="37"/>
          </a:xfrm>
        </xdr:grpSpPr>
        <xdr:sp macro="" textlink="">
          <xdr:nvSpPr>
            <xdr:cNvPr id="9276" name="Line 60">
              <a:extLst>
                <a:ext uri="{FF2B5EF4-FFF2-40B4-BE49-F238E27FC236}">
                  <a16:creationId xmlns:a16="http://schemas.microsoft.com/office/drawing/2014/main" id="{06E3185C-0C1D-46F0-A094-F1033BE1B294}"/>
                </a:ext>
              </a:extLst>
            </xdr:cNvPr>
            <xdr:cNvSpPr>
              <a:spLocks noChangeShapeType="1"/>
            </xdr:cNvSpPr>
          </xdr:nvSpPr>
          <xdr:spPr bwMode="auto">
            <a:xfrm flipV="1">
              <a:off x="269" y="479"/>
              <a:ext cx="11"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277" name="Line 61">
              <a:extLst>
                <a:ext uri="{FF2B5EF4-FFF2-40B4-BE49-F238E27FC236}">
                  <a16:creationId xmlns:a16="http://schemas.microsoft.com/office/drawing/2014/main" id="{8971F68C-F8E4-F3BB-8D2C-D33C4816CA49}"/>
                </a:ext>
              </a:extLst>
            </xdr:cNvPr>
            <xdr:cNvSpPr>
              <a:spLocks noChangeShapeType="1"/>
            </xdr:cNvSpPr>
          </xdr:nvSpPr>
          <xdr:spPr bwMode="auto">
            <a:xfrm flipV="1">
              <a:off x="269" y="497"/>
              <a:ext cx="11"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278" name="Line 62">
              <a:extLst>
                <a:ext uri="{FF2B5EF4-FFF2-40B4-BE49-F238E27FC236}">
                  <a16:creationId xmlns:a16="http://schemas.microsoft.com/office/drawing/2014/main" id="{E953E101-E796-A989-3746-608409585B31}"/>
                </a:ext>
              </a:extLst>
            </xdr:cNvPr>
            <xdr:cNvSpPr>
              <a:spLocks noChangeShapeType="1"/>
            </xdr:cNvSpPr>
          </xdr:nvSpPr>
          <xdr:spPr bwMode="auto">
            <a:xfrm>
              <a:off x="268" y="515"/>
              <a:ext cx="13"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279" name="Line 63">
              <a:extLst>
                <a:ext uri="{FF2B5EF4-FFF2-40B4-BE49-F238E27FC236}">
                  <a16:creationId xmlns:a16="http://schemas.microsoft.com/office/drawing/2014/main" id="{417E172F-6254-F686-349D-1D1C397CB896}"/>
                </a:ext>
              </a:extLst>
            </xdr:cNvPr>
            <xdr:cNvSpPr>
              <a:spLocks noChangeShapeType="1"/>
            </xdr:cNvSpPr>
          </xdr:nvSpPr>
          <xdr:spPr bwMode="auto">
            <a:xfrm>
              <a:off x="281" y="478"/>
              <a:ext cx="0" cy="37"/>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9280" name="Group 64">
            <a:extLst>
              <a:ext uri="{FF2B5EF4-FFF2-40B4-BE49-F238E27FC236}">
                <a16:creationId xmlns:a16="http://schemas.microsoft.com/office/drawing/2014/main" id="{FC2D0284-B380-9709-D477-0D33022A9E6E}"/>
              </a:ext>
            </a:extLst>
          </xdr:cNvPr>
          <xdr:cNvGrpSpPr>
            <a:grpSpLocks/>
          </xdr:cNvGrpSpPr>
        </xdr:nvGrpSpPr>
        <xdr:grpSpPr bwMode="auto">
          <a:xfrm>
            <a:off x="265" y="472"/>
            <a:ext cx="215" cy="15"/>
            <a:chOff x="264" y="559"/>
            <a:chExt cx="215" cy="15"/>
          </a:xfrm>
        </xdr:grpSpPr>
        <xdr:sp macro="" textlink="">
          <xdr:nvSpPr>
            <xdr:cNvPr id="9281" name="Line 65">
              <a:extLst>
                <a:ext uri="{FF2B5EF4-FFF2-40B4-BE49-F238E27FC236}">
                  <a16:creationId xmlns:a16="http://schemas.microsoft.com/office/drawing/2014/main" id="{E25F75EF-C80F-FB24-D870-330BF7DC4A3F}"/>
                </a:ext>
              </a:extLst>
            </xdr:cNvPr>
            <xdr:cNvSpPr>
              <a:spLocks noChangeShapeType="1"/>
            </xdr:cNvSpPr>
          </xdr:nvSpPr>
          <xdr:spPr bwMode="auto">
            <a:xfrm>
              <a:off x="478" y="559"/>
              <a:ext cx="0" cy="1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282" name="Line 66">
              <a:extLst>
                <a:ext uri="{FF2B5EF4-FFF2-40B4-BE49-F238E27FC236}">
                  <a16:creationId xmlns:a16="http://schemas.microsoft.com/office/drawing/2014/main" id="{9A321B0B-3A44-6B1B-86A2-92071D2CB3AE}"/>
                </a:ext>
              </a:extLst>
            </xdr:cNvPr>
            <xdr:cNvSpPr>
              <a:spLocks noChangeShapeType="1"/>
            </xdr:cNvSpPr>
          </xdr:nvSpPr>
          <xdr:spPr bwMode="auto">
            <a:xfrm flipH="1" flipV="1">
              <a:off x="264" y="572"/>
              <a:ext cx="215" cy="1"/>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clientData/>
  </xdr:twoCellAnchor>
  <xdr:twoCellAnchor>
    <xdr:from>
      <xdr:col>5</xdr:col>
      <xdr:colOff>0</xdr:colOff>
      <xdr:row>13</xdr:row>
      <xdr:rowOff>106680</xdr:rowOff>
    </xdr:from>
    <xdr:to>
      <xdr:col>5</xdr:col>
      <xdr:colOff>236220</xdr:colOff>
      <xdr:row>34</xdr:row>
      <xdr:rowOff>45720</xdr:rowOff>
    </xdr:to>
    <xdr:sp macro="" textlink="">
      <xdr:nvSpPr>
        <xdr:cNvPr id="9283" name="Freeform 67">
          <a:extLst>
            <a:ext uri="{FF2B5EF4-FFF2-40B4-BE49-F238E27FC236}">
              <a16:creationId xmlns:a16="http://schemas.microsoft.com/office/drawing/2014/main" id="{5F13D8CB-21C8-F2E7-32F4-64905B017B2B}"/>
            </a:ext>
          </a:extLst>
        </xdr:cNvPr>
        <xdr:cNvSpPr>
          <a:spLocks/>
        </xdr:cNvSpPr>
      </xdr:nvSpPr>
      <xdr:spPr bwMode="auto">
        <a:xfrm>
          <a:off x="4914900" y="2705100"/>
          <a:ext cx="236220" cy="3619500"/>
        </a:xfrm>
        <a:custGeom>
          <a:avLst/>
          <a:gdLst>
            <a:gd name="T0" fmla="*/ 1 w 23"/>
            <a:gd name="T1" fmla="*/ 372 h 372"/>
            <a:gd name="T2" fmla="*/ 23 w 23"/>
            <a:gd name="T3" fmla="*/ 372 h 372"/>
            <a:gd name="T4" fmla="*/ 23 w 23"/>
            <a:gd name="T5" fmla="*/ 0 h 372"/>
            <a:gd name="T6" fmla="*/ 0 w 23"/>
            <a:gd name="T7" fmla="*/ 0 h 372"/>
          </a:gdLst>
          <a:ahLst/>
          <a:cxnLst>
            <a:cxn ang="0">
              <a:pos x="T0" y="T1"/>
            </a:cxn>
            <a:cxn ang="0">
              <a:pos x="T2" y="T3"/>
            </a:cxn>
            <a:cxn ang="0">
              <a:pos x="T4" y="T5"/>
            </a:cxn>
            <a:cxn ang="0">
              <a:pos x="T6" y="T7"/>
            </a:cxn>
          </a:cxnLst>
          <a:rect l="0" t="0" r="r" b="b"/>
          <a:pathLst>
            <a:path w="23" h="372">
              <a:moveTo>
                <a:pt x="1" y="372"/>
              </a:moveTo>
              <a:lnTo>
                <a:pt x="23" y="372"/>
              </a:lnTo>
              <a:lnTo>
                <a:pt x="23" y="0"/>
              </a:lnTo>
              <a:lnTo>
                <a:pt x="0" y="0"/>
              </a:lnTo>
            </a:path>
          </a:pathLst>
        </a:custGeom>
        <a:noFill/>
        <a:ln w="19050" cmpd="sng">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5</xdr:col>
      <xdr:colOff>0</xdr:colOff>
      <xdr:row>31</xdr:row>
      <xdr:rowOff>76200</xdr:rowOff>
    </xdr:from>
    <xdr:to>
      <xdr:col>5</xdr:col>
      <xdr:colOff>243840</xdr:colOff>
      <xdr:row>31</xdr:row>
      <xdr:rowOff>76200</xdr:rowOff>
    </xdr:to>
    <xdr:sp macro="" textlink="">
      <xdr:nvSpPr>
        <xdr:cNvPr id="9284" name="Line 68">
          <a:extLst>
            <a:ext uri="{FF2B5EF4-FFF2-40B4-BE49-F238E27FC236}">
              <a16:creationId xmlns:a16="http://schemas.microsoft.com/office/drawing/2014/main" id="{C702E15A-A702-1061-1C6E-BCB98FD2F74B}"/>
            </a:ext>
          </a:extLst>
        </xdr:cNvPr>
        <xdr:cNvSpPr>
          <a:spLocks noChangeShapeType="1"/>
        </xdr:cNvSpPr>
      </xdr:nvSpPr>
      <xdr:spPr bwMode="auto">
        <a:xfrm>
          <a:off x="4914900" y="5829300"/>
          <a:ext cx="24384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26</xdr:row>
      <xdr:rowOff>91440</xdr:rowOff>
    </xdr:from>
    <xdr:to>
      <xdr:col>5</xdr:col>
      <xdr:colOff>243840</xdr:colOff>
      <xdr:row>26</xdr:row>
      <xdr:rowOff>91440</xdr:rowOff>
    </xdr:to>
    <xdr:sp macro="" textlink="">
      <xdr:nvSpPr>
        <xdr:cNvPr id="9285" name="Line 69">
          <a:extLst>
            <a:ext uri="{FF2B5EF4-FFF2-40B4-BE49-F238E27FC236}">
              <a16:creationId xmlns:a16="http://schemas.microsoft.com/office/drawing/2014/main" id="{B0C8CC56-013E-0C04-5E13-D41AC9A3CBB1}"/>
            </a:ext>
          </a:extLst>
        </xdr:cNvPr>
        <xdr:cNvSpPr>
          <a:spLocks noChangeShapeType="1"/>
        </xdr:cNvSpPr>
      </xdr:nvSpPr>
      <xdr:spPr bwMode="auto">
        <a:xfrm>
          <a:off x="4914900" y="4968240"/>
          <a:ext cx="24384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22</xdr:row>
      <xdr:rowOff>76200</xdr:rowOff>
    </xdr:from>
    <xdr:to>
      <xdr:col>5</xdr:col>
      <xdr:colOff>243840</xdr:colOff>
      <xdr:row>22</xdr:row>
      <xdr:rowOff>76200</xdr:rowOff>
    </xdr:to>
    <xdr:sp macro="" textlink="">
      <xdr:nvSpPr>
        <xdr:cNvPr id="9286" name="Line 70">
          <a:extLst>
            <a:ext uri="{FF2B5EF4-FFF2-40B4-BE49-F238E27FC236}">
              <a16:creationId xmlns:a16="http://schemas.microsoft.com/office/drawing/2014/main" id="{0D0243DC-ECE1-2820-7BBD-DA8EA2CF59C7}"/>
            </a:ext>
          </a:extLst>
        </xdr:cNvPr>
        <xdr:cNvSpPr>
          <a:spLocks noChangeShapeType="1"/>
        </xdr:cNvSpPr>
      </xdr:nvSpPr>
      <xdr:spPr bwMode="auto">
        <a:xfrm>
          <a:off x="4914900" y="4251960"/>
          <a:ext cx="24384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17</xdr:row>
      <xdr:rowOff>91440</xdr:rowOff>
    </xdr:from>
    <xdr:to>
      <xdr:col>5</xdr:col>
      <xdr:colOff>213360</xdr:colOff>
      <xdr:row>17</xdr:row>
      <xdr:rowOff>91440</xdr:rowOff>
    </xdr:to>
    <xdr:sp macro="" textlink="">
      <xdr:nvSpPr>
        <xdr:cNvPr id="9287" name="Line 71">
          <a:extLst>
            <a:ext uri="{FF2B5EF4-FFF2-40B4-BE49-F238E27FC236}">
              <a16:creationId xmlns:a16="http://schemas.microsoft.com/office/drawing/2014/main" id="{B0AFB27E-B7C8-47B7-F648-B2F03E0EC3D4}"/>
            </a:ext>
          </a:extLst>
        </xdr:cNvPr>
        <xdr:cNvSpPr>
          <a:spLocks noChangeShapeType="1"/>
        </xdr:cNvSpPr>
      </xdr:nvSpPr>
      <xdr:spPr bwMode="auto">
        <a:xfrm>
          <a:off x="4914900" y="3390900"/>
          <a:ext cx="21336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15</xdr:row>
      <xdr:rowOff>91440</xdr:rowOff>
    </xdr:from>
    <xdr:to>
      <xdr:col>5</xdr:col>
      <xdr:colOff>236220</xdr:colOff>
      <xdr:row>15</xdr:row>
      <xdr:rowOff>91440</xdr:rowOff>
    </xdr:to>
    <xdr:sp macro="" textlink="">
      <xdr:nvSpPr>
        <xdr:cNvPr id="9288" name="Line 72">
          <a:extLst>
            <a:ext uri="{FF2B5EF4-FFF2-40B4-BE49-F238E27FC236}">
              <a16:creationId xmlns:a16="http://schemas.microsoft.com/office/drawing/2014/main" id="{A2DCEE4C-D863-ED3D-5244-88DDDAC5C0DE}"/>
            </a:ext>
          </a:extLst>
        </xdr:cNvPr>
        <xdr:cNvSpPr>
          <a:spLocks noChangeShapeType="1"/>
        </xdr:cNvSpPr>
      </xdr:nvSpPr>
      <xdr:spPr bwMode="auto">
        <a:xfrm>
          <a:off x="4914900" y="3040380"/>
          <a:ext cx="23622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16</xdr:row>
      <xdr:rowOff>114300</xdr:rowOff>
    </xdr:from>
    <xdr:to>
      <xdr:col>8</xdr:col>
      <xdr:colOff>236220</xdr:colOff>
      <xdr:row>20</xdr:row>
      <xdr:rowOff>60960</xdr:rowOff>
    </xdr:to>
    <xdr:sp macro="" textlink="">
      <xdr:nvSpPr>
        <xdr:cNvPr id="9289" name="Freeform 73">
          <a:extLst>
            <a:ext uri="{FF2B5EF4-FFF2-40B4-BE49-F238E27FC236}">
              <a16:creationId xmlns:a16="http://schemas.microsoft.com/office/drawing/2014/main" id="{C6817221-E4EE-BDC9-8225-2C668AAA7F84}"/>
            </a:ext>
          </a:extLst>
        </xdr:cNvPr>
        <xdr:cNvSpPr>
          <a:spLocks/>
        </xdr:cNvSpPr>
      </xdr:nvSpPr>
      <xdr:spPr bwMode="auto">
        <a:xfrm>
          <a:off x="7993380" y="3238500"/>
          <a:ext cx="236220" cy="647700"/>
        </a:xfrm>
        <a:custGeom>
          <a:avLst/>
          <a:gdLst>
            <a:gd name="T0" fmla="*/ 0 w 24"/>
            <a:gd name="T1" fmla="*/ 66 h 66"/>
            <a:gd name="T2" fmla="*/ 24 w 24"/>
            <a:gd name="T3" fmla="*/ 66 h 66"/>
            <a:gd name="T4" fmla="*/ 24 w 24"/>
            <a:gd name="T5" fmla="*/ 0 h 66"/>
            <a:gd name="T6" fmla="*/ 0 w 24"/>
            <a:gd name="T7" fmla="*/ 0 h 66"/>
          </a:gdLst>
          <a:ahLst/>
          <a:cxnLst>
            <a:cxn ang="0">
              <a:pos x="T0" y="T1"/>
            </a:cxn>
            <a:cxn ang="0">
              <a:pos x="T2" y="T3"/>
            </a:cxn>
            <a:cxn ang="0">
              <a:pos x="T4" y="T5"/>
            </a:cxn>
            <a:cxn ang="0">
              <a:pos x="T6" y="T7"/>
            </a:cxn>
          </a:cxnLst>
          <a:rect l="0" t="0" r="r" b="b"/>
          <a:pathLst>
            <a:path w="24" h="66">
              <a:moveTo>
                <a:pt x="0" y="66"/>
              </a:moveTo>
              <a:lnTo>
                <a:pt x="24" y="66"/>
              </a:lnTo>
              <a:lnTo>
                <a:pt x="24" y="0"/>
              </a:lnTo>
              <a:lnTo>
                <a:pt x="0" y="0"/>
              </a:lnTo>
            </a:path>
          </a:pathLst>
        </a:custGeom>
        <a:noFill/>
        <a:ln w="19050" cmpd="sng">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4</xdr:col>
      <xdr:colOff>304800</xdr:colOff>
      <xdr:row>6</xdr:row>
      <xdr:rowOff>91440</xdr:rowOff>
    </xdr:from>
    <xdr:to>
      <xdr:col>7</xdr:col>
      <xdr:colOff>411480</xdr:colOff>
      <xdr:row>7</xdr:row>
      <xdr:rowOff>152400</xdr:rowOff>
    </xdr:to>
    <xdr:sp macro="" textlink="">
      <xdr:nvSpPr>
        <xdr:cNvPr id="9290" name="Freeform 74">
          <a:extLst>
            <a:ext uri="{FF2B5EF4-FFF2-40B4-BE49-F238E27FC236}">
              <a16:creationId xmlns:a16="http://schemas.microsoft.com/office/drawing/2014/main" id="{01C8E6C8-FBC7-1C85-C70D-3088CE0786ED}"/>
            </a:ext>
          </a:extLst>
        </xdr:cNvPr>
        <xdr:cNvSpPr>
          <a:spLocks/>
        </xdr:cNvSpPr>
      </xdr:nvSpPr>
      <xdr:spPr bwMode="auto">
        <a:xfrm>
          <a:off x="4610100" y="1463040"/>
          <a:ext cx="3063240" cy="236220"/>
        </a:xfrm>
        <a:custGeom>
          <a:avLst/>
          <a:gdLst>
            <a:gd name="T0" fmla="*/ 0 w 314"/>
            <a:gd name="T1" fmla="*/ 25 h 25"/>
            <a:gd name="T2" fmla="*/ 0 w 314"/>
            <a:gd name="T3" fmla="*/ 0 h 25"/>
            <a:gd name="T4" fmla="*/ 314 w 314"/>
            <a:gd name="T5" fmla="*/ 0 h 25"/>
            <a:gd name="T6" fmla="*/ 314 w 314"/>
            <a:gd name="T7" fmla="*/ 7 h 25"/>
          </a:gdLst>
          <a:ahLst/>
          <a:cxnLst>
            <a:cxn ang="0">
              <a:pos x="T0" y="T1"/>
            </a:cxn>
            <a:cxn ang="0">
              <a:pos x="T2" y="T3"/>
            </a:cxn>
            <a:cxn ang="0">
              <a:pos x="T4" y="T5"/>
            </a:cxn>
            <a:cxn ang="0">
              <a:pos x="T6" y="T7"/>
            </a:cxn>
          </a:cxnLst>
          <a:rect l="0" t="0" r="r" b="b"/>
          <a:pathLst>
            <a:path w="314" h="25">
              <a:moveTo>
                <a:pt x="0" y="25"/>
              </a:moveTo>
              <a:lnTo>
                <a:pt x="0" y="0"/>
              </a:lnTo>
              <a:lnTo>
                <a:pt x="314" y="0"/>
              </a:lnTo>
              <a:lnTo>
                <a:pt x="314" y="7"/>
              </a:lnTo>
            </a:path>
          </a:pathLst>
        </a:custGeom>
        <a:noFill/>
        <a:ln w="19050" cmpd="sng">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6</xdr:col>
      <xdr:colOff>792480</xdr:colOff>
      <xdr:row>6</xdr:row>
      <xdr:rowOff>0</xdr:rowOff>
    </xdr:from>
    <xdr:to>
      <xdr:col>6</xdr:col>
      <xdr:colOff>792480</xdr:colOff>
      <xdr:row>6</xdr:row>
      <xdr:rowOff>76200</xdr:rowOff>
    </xdr:to>
    <xdr:sp macro="" textlink="">
      <xdr:nvSpPr>
        <xdr:cNvPr id="9291" name="Line 75">
          <a:extLst>
            <a:ext uri="{FF2B5EF4-FFF2-40B4-BE49-F238E27FC236}">
              <a16:creationId xmlns:a16="http://schemas.microsoft.com/office/drawing/2014/main" id="{B6E8DB5F-0AAA-AA20-03ED-E02E9E90F821}"/>
            </a:ext>
          </a:extLst>
        </xdr:cNvPr>
        <xdr:cNvSpPr>
          <a:spLocks noChangeShapeType="1"/>
        </xdr:cNvSpPr>
      </xdr:nvSpPr>
      <xdr:spPr bwMode="auto">
        <a:xfrm>
          <a:off x="6469380" y="1371600"/>
          <a:ext cx="0" cy="762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784860</xdr:colOff>
      <xdr:row>3</xdr:row>
      <xdr:rowOff>0</xdr:rowOff>
    </xdr:from>
    <xdr:to>
      <xdr:col>6</xdr:col>
      <xdr:colOff>792480</xdr:colOff>
      <xdr:row>4</xdr:row>
      <xdr:rowOff>45720</xdr:rowOff>
    </xdr:to>
    <xdr:sp macro="" textlink="">
      <xdr:nvSpPr>
        <xdr:cNvPr id="9292" name="Line 76">
          <a:extLst>
            <a:ext uri="{FF2B5EF4-FFF2-40B4-BE49-F238E27FC236}">
              <a16:creationId xmlns:a16="http://schemas.microsoft.com/office/drawing/2014/main" id="{4D491279-A9EF-C399-7AEE-0A5FB14E31B8}"/>
            </a:ext>
          </a:extLst>
        </xdr:cNvPr>
        <xdr:cNvSpPr>
          <a:spLocks noChangeShapeType="1"/>
        </xdr:cNvSpPr>
      </xdr:nvSpPr>
      <xdr:spPr bwMode="auto">
        <a:xfrm flipH="1" flipV="1">
          <a:off x="6461760" y="800100"/>
          <a:ext cx="7620" cy="23622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8</xdr:row>
      <xdr:rowOff>91440</xdr:rowOff>
    </xdr:from>
    <xdr:to>
      <xdr:col>11</xdr:col>
      <xdr:colOff>152400</xdr:colOff>
      <xdr:row>12</xdr:row>
      <xdr:rowOff>106680</xdr:rowOff>
    </xdr:to>
    <xdr:grpSp>
      <xdr:nvGrpSpPr>
        <xdr:cNvPr id="9293" name="Group 77">
          <a:extLst>
            <a:ext uri="{FF2B5EF4-FFF2-40B4-BE49-F238E27FC236}">
              <a16:creationId xmlns:a16="http://schemas.microsoft.com/office/drawing/2014/main" id="{ABC13509-04D2-8066-7BC3-A0D5610E09E6}"/>
            </a:ext>
          </a:extLst>
        </xdr:cNvPr>
        <xdr:cNvGrpSpPr>
          <a:grpSpLocks/>
        </xdr:cNvGrpSpPr>
      </xdr:nvGrpSpPr>
      <xdr:grpSpPr bwMode="auto">
        <a:xfrm>
          <a:off x="7996518" y="1830593"/>
          <a:ext cx="2581835" cy="732416"/>
          <a:chOff x="819" y="201"/>
          <a:chExt cx="266" cy="74"/>
        </a:xfrm>
      </xdr:grpSpPr>
      <xdr:sp macro="" textlink="">
        <xdr:nvSpPr>
          <xdr:cNvPr id="9294" name="Freeform 78">
            <a:extLst>
              <a:ext uri="{FF2B5EF4-FFF2-40B4-BE49-F238E27FC236}">
                <a16:creationId xmlns:a16="http://schemas.microsoft.com/office/drawing/2014/main" id="{14671DA1-8E4B-C5B5-1FC8-BA231CB22FD5}"/>
              </a:ext>
            </a:extLst>
          </xdr:cNvPr>
          <xdr:cNvSpPr>
            <a:spLocks/>
          </xdr:cNvSpPr>
        </xdr:nvSpPr>
        <xdr:spPr bwMode="auto">
          <a:xfrm>
            <a:off x="819" y="201"/>
            <a:ext cx="266" cy="74"/>
          </a:xfrm>
          <a:custGeom>
            <a:avLst/>
            <a:gdLst>
              <a:gd name="T0" fmla="*/ 0 w 207"/>
              <a:gd name="T1" fmla="*/ 126 h 126"/>
              <a:gd name="T2" fmla="*/ 207 w 207"/>
              <a:gd name="T3" fmla="*/ 126 h 126"/>
              <a:gd name="T4" fmla="*/ 207 w 207"/>
              <a:gd name="T5" fmla="*/ 0 h 126"/>
              <a:gd name="T6" fmla="*/ 195 w 207"/>
              <a:gd name="T7" fmla="*/ 0 h 126"/>
            </a:gdLst>
            <a:ahLst/>
            <a:cxnLst>
              <a:cxn ang="0">
                <a:pos x="T0" y="T1"/>
              </a:cxn>
              <a:cxn ang="0">
                <a:pos x="T2" y="T3"/>
              </a:cxn>
              <a:cxn ang="0">
                <a:pos x="T4" y="T5"/>
              </a:cxn>
              <a:cxn ang="0">
                <a:pos x="T6" y="T7"/>
              </a:cxn>
            </a:cxnLst>
            <a:rect l="0" t="0" r="r" b="b"/>
            <a:pathLst>
              <a:path w="207" h="126">
                <a:moveTo>
                  <a:pt x="0" y="126"/>
                </a:moveTo>
                <a:lnTo>
                  <a:pt x="207" y="126"/>
                </a:lnTo>
                <a:lnTo>
                  <a:pt x="207" y="0"/>
                </a:lnTo>
                <a:lnTo>
                  <a:pt x="195" y="0"/>
                </a:lnTo>
              </a:path>
            </a:pathLst>
          </a:custGeom>
          <a:noFill/>
          <a:ln w="19050" cmpd="sng">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9295" name="Line 79">
            <a:extLst>
              <a:ext uri="{FF2B5EF4-FFF2-40B4-BE49-F238E27FC236}">
                <a16:creationId xmlns:a16="http://schemas.microsoft.com/office/drawing/2014/main" id="{E194AE4C-341C-88E8-339D-774879871BAD}"/>
              </a:ext>
            </a:extLst>
          </xdr:cNvPr>
          <xdr:cNvSpPr>
            <a:spLocks noChangeShapeType="1"/>
          </xdr:cNvSpPr>
        </xdr:nvSpPr>
        <xdr:spPr bwMode="auto">
          <a:xfrm>
            <a:off x="1069" y="239"/>
            <a:ext cx="16"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clientData/>
  </xdr:twoCellAnchor>
  <xdr:twoCellAnchor>
    <xdr:from>
      <xdr:col>4</xdr:col>
      <xdr:colOff>594360</xdr:colOff>
      <xdr:row>8</xdr:row>
      <xdr:rowOff>76200</xdr:rowOff>
    </xdr:from>
    <xdr:to>
      <xdr:col>5</xdr:col>
      <xdr:colOff>236220</xdr:colOff>
      <xdr:row>13</xdr:row>
      <xdr:rowOff>45720</xdr:rowOff>
    </xdr:to>
    <xdr:sp macro="" textlink="">
      <xdr:nvSpPr>
        <xdr:cNvPr id="9296" name="Freeform 80">
          <a:extLst>
            <a:ext uri="{FF2B5EF4-FFF2-40B4-BE49-F238E27FC236}">
              <a16:creationId xmlns:a16="http://schemas.microsoft.com/office/drawing/2014/main" id="{91258AEE-A001-B725-1727-52D8A23DEF3C}"/>
            </a:ext>
          </a:extLst>
        </xdr:cNvPr>
        <xdr:cNvSpPr>
          <a:spLocks/>
        </xdr:cNvSpPr>
      </xdr:nvSpPr>
      <xdr:spPr bwMode="auto">
        <a:xfrm>
          <a:off x="4899660" y="1798320"/>
          <a:ext cx="251460" cy="845820"/>
        </a:xfrm>
        <a:custGeom>
          <a:avLst/>
          <a:gdLst>
            <a:gd name="T0" fmla="*/ 2 w 24"/>
            <a:gd name="T1" fmla="*/ 88 h 88"/>
            <a:gd name="T2" fmla="*/ 24 w 24"/>
            <a:gd name="T3" fmla="*/ 88 h 88"/>
            <a:gd name="T4" fmla="*/ 24 w 24"/>
            <a:gd name="T5" fmla="*/ 0 h 88"/>
            <a:gd name="T6" fmla="*/ 0 w 24"/>
            <a:gd name="T7" fmla="*/ 0 h 88"/>
          </a:gdLst>
          <a:ahLst/>
          <a:cxnLst>
            <a:cxn ang="0">
              <a:pos x="T0" y="T1"/>
            </a:cxn>
            <a:cxn ang="0">
              <a:pos x="T2" y="T3"/>
            </a:cxn>
            <a:cxn ang="0">
              <a:pos x="T4" y="T5"/>
            </a:cxn>
            <a:cxn ang="0">
              <a:pos x="T6" y="T7"/>
            </a:cxn>
          </a:cxnLst>
          <a:rect l="0" t="0" r="r" b="b"/>
          <a:pathLst>
            <a:path w="24" h="88">
              <a:moveTo>
                <a:pt x="2" y="88"/>
              </a:moveTo>
              <a:lnTo>
                <a:pt x="24" y="88"/>
              </a:lnTo>
              <a:lnTo>
                <a:pt x="24" y="0"/>
              </a:lnTo>
              <a:lnTo>
                <a:pt x="0" y="0"/>
              </a:lnTo>
            </a:path>
          </a:pathLst>
        </a:custGeom>
        <a:noFill/>
        <a:ln w="19050" cmpd="sng">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5</xdr:col>
      <xdr:colOff>0</xdr:colOff>
      <xdr:row>10</xdr:row>
      <xdr:rowOff>91440</xdr:rowOff>
    </xdr:from>
    <xdr:to>
      <xdr:col>5</xdr:col>
      <xdr:colOff>213360</xdr:colOff>
      <xdr:row>10</xdr:row>
      <xdr:rowOff>91440</xdr:rowOff>
    </xdr:to>
    <xdr:sp macro="" textlink="">
      <xdr:nvSpPr>
        <xdr:cNvPr id="9297" name="Line 81">
          <a:extLst>
            <a:ext uri="{FF2B5EF4-FFF2-40B4-BE49-F238E27FC236}">
              <a16:creationId xmlns:a16="http://schemas.microsoft.com/office/drawing/2014/main" id="{91FC0A8C-B410-AF80-B651-87A67F01E0DD}"/>
            </a:ext>
          </a:extLst>
        </xdr:cNvPr>
        <xdr:cNvSpPr>
          <a:spLocks noChangeShapeType="1"/>
        </xdr:cNvSpPr>
      </xdr:nvSpPr>
      <xdr:spPr bwMode="auto">
        <a:xfrm>
          <a:off x="4914900" y="2164080"/>
          <a:ext cx="21336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13</xdr:row>
      <xdr:rowOff>68580</xdr:rowOff>
    </xdr:from>
    <xdr:to>
      <xdr:col>8</xdr:col>
      <xdr:colOff>243840</xdr:colOff>
      <xdr:row>14</xdr:row>
      <xdr:rowOff>137160</xdr:rowOff>
    </xdr:to>
    <xdr:sp macro="" textlink="">
      <xdr:nvSpPr>
        <xdr:cNvPr id="9298" name="Freeform 82">
          <a:extLst>
            <a:ext uri="{FF2B5EF4-FFF2-40B4-BE49-F238E27FC236}">
              <a16:creationId xmlns:a16="http://schemas.microsoft.com/office/drawing/2014/main" id="{E2C67385-4F9A-F825-EF64-1BFD447D7CC3}"/>
            </a:ext>
          </a:extLst>
        </xdr:cNvPr>
        <xdr:cNvSpPr>
          <a:spLocks/>
        </xdr:cNvSpPr>
      </xdr:nvSpPr>
      <xdr:spPr bwMode="auto">
        <a:xfrm>
          <a:off x="7993380" y="2667000"/>
          <a:ext cx="243840" cy="243840"/>
        </a:xfrm>
        <a:custGeom>
          <a:avLst/>
          <a:gdLst>
            <a:gd name="T0" fmla="*/ 24 w 24"/>
            <a:gd name="T1" fmla="*/ 23 h 23"/>
            <a:gd name="T2" fmla="*/ 24 w 24"/>
            <a:gd name="T3" fmla="*/ 0 h 23"/>
            <a:gd name="T4" fmla="*/ 0 w 24"/>
            <a:gd name="T5" fmla="*/ 0 h 23"/>
          </a:gdLst>
          <a:ahLst/>
          <a:cxnLst>
            <a:cxn ang="0">
              <a:pos x="T0" y="T1"/>
            </a:cxn>
            <a:cxn ang="0">
              <a:pos x="T2" y="T3"/>
            </a:cxn>
            <a:cxn ang="0">
              <a:pos x="T4" y="T5"/>
            </a:cxn>
          </a:cxnLst>
          <a:rect l="0" t="0" r="r" b="b"/>
          <a:pathLst>
            <a:path w="24" h="23">
              <a:moveTo>
                <a:pt x="24" y="23"/>
              </a:moveTo>
              <a:lnTo>
                <a:pt x="24" y="0"/>
              </a:lnTo>
              <a:lnTo>
                <a:pt x="0" y="0"/>
              </a:lnTo>
            </a:path>
          </a:pathLst>
        </a:custGeom>
        <a:noFill/>
        <a:ln w="19050" cmpd="sng">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6</xdr:col>
      <xdr:colOff>792480</xdr:colOff>
      <xdr:row>4</xdr:row>
      <xdr:rowOff>45720</xdr:rowOff>
    </xdr:from>
    <xdr:to>
      <xdr:col>10</xdr:col>
      <xdr:colOff>312420</xdr:colOff>
      <xdr:row>7</xdr:row>
      <xdr:rowOff>152400</xdr:rowOff>
    </xdr:to>
    <xdr:sp macro="" textlink="">
      <xdr:nvSpPr>
        <xdr:cNvPr id="9299" name="Freeform 83">
          <a:extLst>
            <a:ext uri="{FF2B5EF4-FFF2-40B4-BE49-F238E27FC236}">
              <a16:creationId xmlns:a16="http://schemas.microsoft.com/office/drawing/2014/main" id="{D9163307-2D8E-A92A-C47B-D3DA359C29BF}"/>
            </a:ext>
          </a:extLst>
        </xdr:cNvPr>
        <xdr:cNvSpPr>
          <a:spLocks/>
        </xdr:cNvSpPr>
      </xdr:nvSpPr>
      <xdr:spPr bwMode="auto">
        <a:xfrm>
          <a:off x="6469380" y="1036320"/>
          <a:ext cx="3657600" cy="662940"/>
        </a:xfrm>
        <a:custGeom>
          <a:avLst/>
          <a:gdLst>
            <a:gd name="T0" fmla="*/ 375 w 375"/>
            <a:gd name="T1" fmla="*/ 69 h 69"/>
            <a:gd name="T2" fmla="*/ 375 w 375"/>
            <a:gd name="T3" fmla="*/ 0 h 69"/>
            <a:gd name="T4" fmla="*/ 0 w 375"/>
            <a:gd name="T5" fmla="*/ 0 h 69"/>
            <a:gd name="T6" fmla="*/ 0 w 375"/>
            <a:gd name="T7" fmla="*/ 13 h 69"/>
          </a:gdLst>
          <a:ahLst/>
          <a:cxnLst>
            <a:cxn ang="0">
              <a:pos x="T0" y="T1"/>
            </a:cxn>
            <a:cxn ang="0">
              <a:pos x="T2" y="T3"/>
            </a:cxn>
            <a:cxn ang="0">
              <a:pos x="T4" y="T5"/>
            </a:cxn>
            <a:cxn ang="0">
              <a:pos x="T6" y="T7"/>
            </a:cxn>
          </a:cxnLst>
          <a:rect l="0" t="0" r="r" b="b"/>
          <a:pathLst>
            <a:path w="375" h="69">
              <a:moveTo>
                <a:pt x="375" y="69"/>
              </a:moveTo>
              <a:lnTo>
                <a:pt x="375" y="0"/>
              </a:lnTo>
              <a:lnTo>
                <a:pt x="0" y="0"/>
              </a:lnTo>
              <a:lnTo>
                <a:pt x="0" y="13"/>
              </a:lnTo>
            </a:path>
          </a:pathLst>
        </a:custGeom>
        <a:noFill/>
        <a:ln w="19050" cmpd="sng">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426720</xdr:colOff>
      <xdr:row>8</xdr:row>
      <xdr:rowOff>0</xdr:rowOff>
    </xdr:from>
    <xdr:to>
      <xdr:col>7</xdr:col>
      <xdr:colOff>426720</xdr:colOff>
      <xdr:row>12</xdr:row>
      <xdr:rowOff>0</xdr:rowOff>
    </xdr:to>
    <xdr:sp macro="" textlink="">
      <xdr:nvSpPr>
        <xdr:cNvPr id="10241" name="Line 1">
          <a:extLst>
            <a:ext uri="{FF2B5EF4-FFF2-40B4-BE49-F238E27FC236}">
              <a16:creationId xmlns:a16="http://schemas.microsoft.com/office/drawing/2014/main" id="{2ED895A7-B542-69F6-3085-4FC12ED2CF76}"/>
            </a:ext>
          </a:extLst>
        </xdr:cNvPr>
        <xdr:cNvSpPr>
          <a:spLocks noChangeShapeType="1"/>
        </xdr:cNvSpPr>
      </xdr:nvSpPr>
      <xdr:spPr bwMode="auto">
        <a:xfrm>
          <a:off x="7688580" y="1722120"/>
          <a:ext cx="0" cy="70104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9</xdr:row>
      <xdr:rowOff>106680</xdr:rowOff>
    </xdr:from>
    <xdr:to>
      <xdr:col>7</xdr:col>
      <xdr:colOff>426720</xdr:colOff>
      <xdr:row>42</xdr:row>
      <xdr:rowOff>91440</xdr:rowOff>
    </xdr:to>
    <xdr:sp macro="" textlink="">
      <xdr:nvSpPr>
        <xdr:cNvPr id="10242" name="Freeform 2">
          <a:extLst>
            <a:ext uri="{FF2B5EF4-FFF2-40B4-BE49-F238E27FC236}">
              <a16:creationId xmlns:a16="http://schemas.microsoft.com/office/drawing/2014/main" id="{1062CB61-26E5-B4ED-9871-8BBB6C942762}"/>
            </a:ext>
          </a:extLst>
        </xdr:cNvPr>
        <xdr:cNvSpPr>
          <a:spLocks/>
        </xdr:cNvSpPr>
      </xdr:nvSpPr>
      <xdr:spPr bwMode="auto">
        <a:xfrm>
          <a:off x="4914900" y="2004060"/>
          <a:ext cx="2773680" cy="5768340"/>
        </a:xfrm>
        <a:custGeom>
          <a:avLst/>
          <a:gdLst>
            <a:gd name="T0" fmla="*/ 0 w 377"/>
            <a:gd name="T1" fmla="*/ 198 h 198"/>
            <a:gd name="T2" fmla="*/ 73 w 377"/>
            <a:gd name="T3" fmla="*/ 198 h 198"/>
            <a:gd name="T4" fmla="*/ 73 w 377"/>
            <a:gd name="T5" fmla="*/ 0 h 198"/>
            <a:gd name="T6" fmla="*/ 377 w 377"/>
            <a:gd name="T7" fmla="*/ 0 h 198"/>
            <a:gd name="T8" fmla="*/ 377 w 377"/>
            <a:gd name="T9" fmla="*/ 9 h 198"/>
          </a:gdLst>
          <a:ahLst/>
          <a:cxnLst>
            <a:cxn ang="0">
              <a:pos x="T0" y="T1"/>
            </a:cxn>
            <a:cxn ang="0">
              <a:pos x="T2" y="T3"/>
            </a:cxn>
            <a:cxn ang="0">
              <a:pos x="T4" y="T5"/>
            </a:cxn>
            <a:cxn ang="0">
              <a:pos x="T6" y="T7"/>
            </a:cxn>
            <a:cxn ang="0">
              <a:pos x="T8" y="T9"/>
            </a:cxn>
          </a:cxnLst>
          <a:rect l="0" t="0" r="r" b="b"/>
          <a:pathLst>
            <a:path w="377" h="198">
              <a:moveTo>
                <a:pt x="0" y="198"/>
              </a:moveTo>
              <a:lnTo>
                <a:pt x="73" y="198"/>
              </a:lnTo>
              <a:lnTo>
                <a:pt x="73" y="0"/>
              </a:lnTo>
              <a:lnTo>
                <a:pt x="377" y="0"/>
              </a:lnTo>
              <a:lnTo>
                <a:pt x="377" y="9"/>
              </a:lnTo>
            </a:path>
          </a:pathLst>
        </a:custGeom>
        <a:noFill/>
        <a:ln w="19050" cmpd="sng">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4</xdr:col>
      <xdr:colOff>342900</xdr:colOff>
      <xdr:row>32</xdr:row>
      <xdr:rowOff>0</xdr:rowOff>
    </xdr:from>
    <xdr:to>
      <xdr:col>4</xdr:col>
      <xdr:colOff>342900</xdr:colOff>
      <xdr:row>32</xdr:row>
      <xdr:rowOff>0</xdr:rowOff>
    </xdr:to>
    <xdr:sp macro="" textlink="">
      <xdr:nvSpPr>
        <xdr:cNvPr id="10243" name="Line 3">
          <a:extLst>
            <a:ext uri="{FF2B5EF4-FFF2-40B4-BE49-F238E27FC236}">
              <a16:creationId xmlns:a16="http://schemas.microsoft.com/office/drawing/2014/main" id="{6800CB4C-565B-966E-EAE0-DBF9E967A804}"/>
            </a:ext>
          </a:extLst>
        </xdr:cNvPr>
        <xdr:cNvSpPr>
          <a:spLocks noChangeShapeType="1"/>
        </xdr:cNvSpPr>
      </xdr:nvSpPr>
      <xdr:spPr bwMode="auto">
        <a:xfrm>
          <a:off x="4648200" y="592836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106680</xdr:colOff>
      <xdr:row>32</xdr:row>
      <xdr:rowOff>0</xdr:rowOff>
    </xdr:from>
    <xdr:to>
      <xdr:col>4</xdr:col>
      <xdr:colOff>342900</xdr:colOff>
      <xdr:row>32</xdr:row>
      <xdr:rowOff>129540</xdr:rowOff>
    </xdr:to>
    <xdr:grpSp>
      <xdr:nvGrpSpPr>
        <xdr:cNvPr id="10244" name="Group 4">
          <a:extLst>
            <a:ext uri="{FF2B5EF4-FFF2-40B4-BE49-F238E27FC236}">
              <a16:creationId xmlns:a16="http://schemas.microsoft.com/office/drawing/2014/main" id="{84C972C7-7B10-C784-B8B1-D740BB5F7570}"/>
            </a:ext>
          </a:extLst>
        </xdr:cNvPr>
        <xdr:cNvGrpSpPr>
          <a:grpSpLocks/>
        </xdr:cNvGrpSpPr>
      </xdr:nvGrpSpPr>
      <xdr:grpSpPr bwMode="auto">
        <a:xfrm>
          <a:off x="2580939" y="6042212"/>
          <a:ext cx="2065020" cy="129540"/>
          <a:chOff x="264" y="559"/>
          <a:chExt cx="215" cy="15"/>
        </a:xfrm>
      </xdr:grpSpPr>
      <xdr:sp macro="" textlink="">
        <xdr:nvSpPr>
          <xdr:cNvPr id="10245" name="Line 5">
            <a:extLst>
              <a:ext uri="{FF2B5EF4-FFF2-40B4-BE49-F238E27FC236}">
                <a16:creationId xmlns:a16="http://schemas.microsoft.com/office/drawing/2014/main" id="{B5A66212-DE9E-83E1-F88C-60A33261399A}"/>
              </a:ext>
            </a:extLst>
          </xdr:cNvPr>
          <xdr:cNvSpPr>
            <a:spLocks noChangeShapeType="1"/>
          </xdr:cNvSpPr>
        </xdr:nvSpPr>
        <xdr:spPr bwMode="auto">
          <a:xfrm>
            <a:off x="478" y="559"/>
            <a:ext cx="0" cy="1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246" name="Line 6">
            <a:extLst>
              <a:ext uri="{FF2B5EF4-FFF2-40B4-BE49-F238E27FC236}">
                <a16:creationId xmlns:a16="http://schemas.microsoft.com/office/drawing/2014/main" id="{3A973BD2-A907-59EB-367A-094E55FD15F9}"/>
              </a:ext>
            </a:extLst>
          </xdr:cNvPr>
          <xdr:cNvSpPr>
            <a:spLocks noChangeShapeType="1"/>
          </xdr:cNvSpPr>
        </xdr:nvSpPr>
        <xdr:spPr bwMode="auto">
          <a:xfrm flipH="1" flipV="1">
            <a:off x="264" y="572"/>
            <a:ext cx="215" cy="1"/>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0</xdr:colOff>
      <xdr:row>39</xdr:row>
      <xdr:rowOff>106680</xdr:rowOff>
    </xdr:from>
    <xdr:to>
      <xdr:col>3</xdr:col>
      <xdr:colOff>0</xdr:colOff>
      <xdr:row>39</xdr:row>
      <xdr:rowOff>106680</xdr:rowOff>
    </xdr:to>
    <xdr:sp macro="" textlink="">
      <xdr:nvSpPr>
        <xdr:cNvPr id="10247" name="Line 7">
          <a:extLst>
            <a:ext uri="{FF2B5EF4-FFF2-40B4-BE49-F238E27FC236}">
              <a16:creationId xmlns:a16="http://schemas.microsoft.com/office/drawing/2014/main" id="{5F007626-D3A0-2601-6628-6C2CBBB633F2}"/>
            </a:ext>
          </a:extLst>
        </xdr:cNvPr>
        <xdr:cNvSpPr>
          <a:spLocks noChangeShapeType="1"/>
        </xdr:cNvSpPr>
      </xdr:nvSpPr>
      <xdr:spPr bwMode="auto">
        <a:xfrm>
          <a:off x="2476500" y="726186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502920</xdr:colOff>
      <xdr:row>32</xdr:row>
      <xdr:rowOff>68580</xdr:rowOff>
    </xdr:from>
    <xdr:to>
      <xdr:col>3</xdr:col>
      <xdr:colOff>114300</xdr:colOff>
      <xdr:row>36</xdr:row>
      <xdr:rowOff>91440</xdr:rowOff>
    </xdr:to>
    <xdr:grpSp>
      <xdr:nvGrpSpPr>
        <xdr:cNvPr id="10248" name="Group 8">
          <a:extLst>
            <a:ext uri="{FF2B5EF4-FFF2-40B4-BE49-F238E27FC236}">
              <a16:creationId xmlns:a16="http://schemas.microsoft.com/office/drawing/2014/main" id="{CBD673E4-58A8-173C-7861-A4162D4A1437}"/>
            </a:ext>
          </a:extLst>
        </xdr:cNvPr>
        <xdr:cNvGrpSpPr>
          <a:grpSpLocks/>
        </xdr:cNvGrpSpPr>
      </xdr:nvGrpSpPr>
      <xdr:grpSpPr bwMode="auto">
        <a:xfrm>
          <a:off x="2466191" y="6110792"/>
          <a:ext cx="122368" cy="740036"/>
          <a:chOff x="252" y="568"/>
          <a:chExt cx="13" cy="56"/>
        </a:xfrm>
      </xdr:grpSpPr>
      <xdr:sp macro="" textlink="">
        <xdr:nvSpPr>
          <xdr:cNvPr id="10249" name="Line 9">
            <a:extLst>
              <a:ext uri="{FF2B5EF4-FFF2-40B4-BE49-F238E27FC236}">
                <a16:creationId xmlns:a16="http://schemas.microsoft.com/office/drawing/2014/main" id="{CB81D11D-F4F8-3D86-D545-8A4E2B0F827D}"/>
              </a:ext>
            </a:extLst>
          </xdr:cNvPr>
          <xdr:cNvSpPr>
            <a:spLocks noChangeShapeType="1"/>
          </xdr:cNvSpPr>
        </xdr:nvSpPr>
        <xdr:spPr bwMode="auto">
          <a:xfrm flipV="1">
            <a:off x="253" y="569"/>
            <a:ext cx="11"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250" name="Line 10">
            <a:extLst>
              <a:ext uri="{FF2B5EF4-FFF2-40B4-BE49-F238E27FC236}">
                <a16:creationId xmlns:a16="http://schemas.microsoft.com/office/drawing/2014/main" id="{AD8D58C5-D180-3A12-0635-6CF5949D8DF1}"/>
              </a:ext>
            </a:extLst>
          </xdr:cNvPr>
          <xdr:cNvSpPr>
            <a:spLocks noChangeShapeType="1"/>
          </xdr:cNvSpPr>
        </xdr:nvSpPr>
        <xdr:spPr bwMode="auto">
          <a:xfrm flipV="1">
            <a:off x="253" y="587"/>
            <a:ext cx="11"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251" name="Line 11">
            <a:extLst>
              <a:ext uri="{FF2B5EF4-FFF2-40B4-BE49-F238E27FC236}">
                <a16:creationId xmlns:a16="http://schemas.microsoft.com/office/drawing/2014/main" id="{0A65CD52-2F51-4CC7-F257-EF0681AF2A7A}"/>
              </a:ext>
            </a:extLst>
          </xdr:cNvPr>
          <xdr:cNvSpPr>
            <a:spLocks noChangeShapeType="1"/>
          </xdr:cNvSpPr>
        </xdr:nvSpPr>
        <xdr:spPr bwMode="auto">
          <a:xfrm>
            <a:off x="252" y="605"/>
            <a:ext cx="13"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252" name="Line 12">
            <a:extLst>
              <a:ext uri="{FF2B5EF4-FFF2-40B4-BE49-F238E27FC236}">
                <a16:creationId xmlns:a16="http://schemas.microsoft.com/office/drawing/2014/main" id="{5E98C1BF-09E6-A5AF-9DEA-245087736B2E}"/>
              </a:ext>
            </a:extLst>
          </xdr:cNvPr>
          <xdr:cNvSpPr>
            <a:spLocks noChangeShapeType="1"/>
          </xdr:cNvSpPr>
        </xdr:nvSpPr>
        <xdr:spPr bwMode="auto">
          <a:xfrm flipH="1">
            <a:off x="264" y="568"/>
            <a:ext cx="1" cy="56"/>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253" name="Line 13">
            <a:extLst>
              <a:ext uri="{FF2B5EF4-FFF2-40B4-BE49-F238E27FC236}">
                <a16:creationId xmlns:a16="http://schemas.microsoft.com/office/drawing/2014/main" id="{10708AE7-8980-C127-56D7-3062FAF63D90}"/>
              </a:ext>
            </a:extLst>
          </xdr:cNvPr>
          <xdr:cNvSpPr>
            <a:spLocks noChangeShapeType="1"/>
          </xdr:cNvSpPr>
        </xdr:nvSpPr>
        <xdr:spPr bwMode="auto">
          <a:xfrm flipV="1">
            <a:off x="252" y="623"/>
            <a:ext cx="13"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0</xdr:colOff>
      <xdr:row>37</xdr:row>
      <xdr:rowOff>7620</xdr:rowOff>
    </xdr:from>
    <xdr:to>
      <xdr:col>4</xdr:col>
      <xdr:colOff>335280</xdr:colOff>
      <xdr:row>39</xdr:row>
      <xdr:rowOff>91440</xdr:rowOff>
    </xdr:to>
    <xdr:grpSp>
      <xdr:nvGrpSpPr>
        <xdr:cNvPr id="10254" name="Group 14">
          <a:extLst>
            <a:ext uri="{FF2B5EF4-FFF2-40B4-BE49-F238E27FC236}">
              <a16:creationId xmlns:a16="http://schemas.microsoft.com/office/drawing/2014/main" id="{677EF0BC-BF3B-63D5-D70F-3B173FA44311}"/>
            </a:ext>
          </a:extLst>
        </xdr:cNvPr>
        <xdr:cNvGrpSpPr>
          <a:grpSpLocks/>
        </xdr:cNvGrpSpPr>
      </xdr:nvGrpSpPr>
      <xdr:grpSpPr bwMode="auto">
        <a:xfrm>
          <a:off x="2474259" y="6946302"/>
          <a:ext cx="2164080" cy="442409"/>
          <a:chOff x="253" y="667"/>
          <a:chExt cx="222" cy="44"/>
        </a:xfrm>
      </xdr:grpSpPr>
      <xdr:grpSp>
        <xdr:nvGrpSpPr>
          <xdr:cNvPr id="10255" name="Group 15">
            <a:extLst>
              <a:ext uri="{FF2B5EF4-FFF2-40B4-BE49-F238E27FC236}">
                <a16:creationId xmlns:a16="http://schemas.microsoft.com/office/drawing/2014/main" id="{06B51C96-B08F-760E-A4B5-AF511EFBA160}"/>
              </a:ext>
            </a:extLst>
          </xdr:cNvPr>
          <xdr:cNvGrpSpPr>
            <a:grpSpLocks/>
          </xdr:cNvGrpSpPr>
        </xdr:nvGrpSpPr>
        <xdr:grpSpPr bwMode="auto">
          <a:xfrm>
            <a:off x="253" y="693"/>
            <a:ext cx="13" cy="18"/>
            <a:chOff x="301" y="720"/>
            <a:chExt cx="13" cy="18"/>
          </a:xfrm>
        </xdr:grpSpPr>
        <xdr:sp macro="" textlink="">
          <xdr:nvSpPr>
            <xdr:cNvPr id="10256" name="Line 16">
              <a:extLst>
                <a:ext uri="{FF2B5EF4-FFF2-40B4-BE49-F238E27FC236}">
                  <a16:creationId xmlns:a16="http://schemas.microsoft.com/office/drawing/2014/main" id="{4D946155-5723-91AE-CB56-C518D717F924}"/>
                </a:ext>
              </a:extLst>
            </xdr:cNvPr>
            <xdr:cNvSpPr>
              <a:spLocks noChangeShapeType="1"/>
            </xdr:cNvSpPr>
          </xdr:nvSpPr>
          <xdr:spPr bwMode="auto">
            <a:xfrm flipV="1">
              <a:off x="301" y="720"/>
              <a:ext cx="12"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257" name="Line 17">
              <a:extLst>
                <a:ext uri="{FF2B5EF4-FFF2-40B4-BE49-F238E27FC236}">
                  <a16:creationId xmlns:a16="http://schemas.microsoft.com/office/drawing/2014/main" id="{EA0C9EDF-667D-53E2-EA75-1A69A1FB6D40}"/>
                </a:ext>
              </a:extLst>
            </xdr:cNvPr>
            <xdr:cNvSpPr>
              <a:spLocks noChangeShapeType="1"/>
            </xdr:cNvSpPr>
          </xdr:nvSpPr>
          <xdr:spPr bwMode="auto">
            <a:xfrm flipV="1">
              <a:off x="302" y="738"/>
              <a:ext cx="12"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258" name="Line 18">
              <a:extLst>
                <a:ext uri="{FF2B5EF4-FFF2-40B4-BE49-F238E27FC236}">
                  <a16:creationId xmlns:a16="http://schemas.microsoft.com/office/drawing/2014/main" id="{A1A827B1-1CBF-509C-E781-70647F6B262A}"/>
                </a:ext>
              </a:extLst>
            </xdr:cNvPr>
            <xdr:cNvSpPr>
              <a:spLocks noChangeShapeType="1"/>
            </xdr:cNvSpPr>
          </xdr:nvSpPr>
          <xdr:spPr bwMode="auto">
            <a:xfrm>
              <a:off x="313" y="720"/>
              <a:ext cx="0" cy="17"/>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sp macro="" textlink="">
        <xdr:nvSpPr>
          <xdr:cNvPr id="10259" name="Line 19">
            <a:extLst>
              <a:ext uri="{FF2B5EF4-FFF2-40B4-BE49-F238E27FC236}">
                <a16:creationId xmlns:a16="http://schemas.microsoft.com/office/drawing/2014/main" id="{90AC7138-40AC-5336-7AA8-3F6E3FA135B3}"/>
              </a:ext>
            </a:extLst>
          </xdr:cNvPr>
          <xdr:cNvSpPr>
            <a:spLocks noChangeShapeType="1"/>
          </xdr:cNvSpPr>
        </xdr:nvSpPr>
        <xdr:spPr bwMode="auto">
          <a:xfrm>
            <a:off x="475" y="667"/>
            <a:ext cx="0" cy="33"/>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260" name="Line 20">
            <a:extLst>
              <a:ext uri="{FF2B5EF4-FFF2-40B4-BE49-F238E27FC236}">
                <a16:creationId xmlns:a16="http://schemas.microsoft.com/office/drawing/2014/main" id="{150405BF-742A-4598-1FA9-AFEDB38A76A9}"/>
              </a:ext>
            </a:extLst>
          </xdr:cNvPr>
          <xdr:cNvSpPr>
            <a:spLocks noChangeShapeType="1"/>
          </xdr:cNvSpPr>
        </xdr:nvSpPr>
        <xdr:spPr bwMode="auto">
          <a:xfrm flipH="1">
            <a:off x="264" y="700"/>
            <a:ext cx="211" cy="1"/>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clientData/>
  </xdr:twoCellAnchor>
  <xdr:twoCellAnchor>
    <xdr:from>
      <xdr:col>5</xdr:col>
      <xdr:colOff>0</xdr:colOff>
      <xdr:row>34</xdr:row>
      <xdr:rowOff>106680</xdr:rowOff>
    </xdr:from>
    <xdr:to>
      <xdr:col>5</xdr:col>
      <xdr:colOff>236220</xdr:colOff>
      <xdr:row>41</xdr:row>
      <xdr:rowOff>106680</xdr:rowOff>
    </xdr:to>
    <xdr:sp macro="" textlink="">
      <xdr:nvSpPr>
        <xdr:cNvPr id="10261" name="Freeform 21">
          <a:extLst>
            <a:ext uri="{FF2B5EF4-FFF2-40B4-BE49-F238E27FC236}">
              <a16:creationId xmlns:a16="http://schemas.microsoft.com/office/drawing/2014/main" id="{87F8E6CD-61D7-60AC-04A6-667E36D0CB43}"/>
            </a:ext>
          </a:extLst>
        </xdr:cNvPr>
        <xdr:cNvSpPr>
          <a:spLocks/>
        </xdr:cNvSpPr>
      </xdr:nvSpPr>
      <xdr:spPr bwMode="auto">
        <a:xfrm>
          <a:off x="4914900" y="6385560"/>
          <a:ext cx="236220" cy="1226820"/>
        </a:xfrm>
        <a:custGeom>
          <a:avLst/>
          <a:gdLst>
            <a:gd name="T0" fmla="*/ 1 w 26"/>
            <a:gd name="T1" fmla="*/ 62 h 62"/>
            <a:gd name="T2" fmla="*/ 26 w 26"/>
            <a:gd name="T3" fmla="*/ 62 h 62"/>
            <a:gd name="T4" fmla="*/ 26 w 26"/>
            <a:gd name="T5" fmla="*/ 0 h 62"/>
            <a:gd name="T6" fmla="*/ 0 w 26"/>
            <a:gd name="T7" fmla="*/ 0 h 62"/>
          </a:gdLst>
          <a:ahLst/>
          <a:cxnLst>
            <a:cxn ang="0">
              <a:pos x="T0" y="T1"/>
            </a:cxn>
            <a:cxn ang="0">
              <a:pos x="T2" y="T3"/>
            </a:cxn>
            <a:cxn ang="0">
              <a:pos x="T4" y="T5"/>
            </a:cxn>
            <a:cxn ang="0">
              <a:pos x="T6" y="T7"/>
            </a:cxn>
          </a:cxnLst>
          <a:rect l="0" t="0" r="r" b="b"/>
          <a:pathLst>
            <a:path w="26" h="62">
              <a:moveTo>
                <a:pt x="1" y="62"/>
              </a:moveTo>
              <a:lnTo>
                <a:pt x="26" y="62"/>
              </a:lnTo>
              <a:lnTo>
                <a:pt x="26" y="0"/>
              </a:lnTo>
              <a:lnTo>
                <a:pt x="0" y="0"/>
              </a:lnTo>
            </a:path>
          </a:pathLst>
        </a:custGeom>
        <a:noFill/>
        <a:ln w="19050" cmpd="sng">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5</xdr:col>
      <xdr:colOff>0</xdr:colOff>
      <xdr:row>36</xdr:row>
      <xdr:rowOff>76200</xdr:rowOff>
    </xdr:from>
    <xdr:to>
      <xdr:col>5</xdr:col>
      <xdr:colOff>213360</xdr:colOff>
      <xdr:row>36</xdr:row>
      <xdr:rowOff>76200</xdr:rowOff>
    </xdr:to>
    <xdr:sp macro="" textlink="">
      <xdr:nvSpPr>
        <xdr:cNvPr id="10262" name="Line 22">
          <a:extLst>
            <a:ext uri="{FF2B5EF4-FFF2-40B4-BE49-F238E27FC236}">
              <a16:creationId xmlns:a16="http://schemas.microsoft.com/office/drawing/2014/main" id="{1B215EFC-C372-1C32-B669-1F5CF6F87A93}"/>
            </a:ext>
          </a:extLst>
        </xdr:cNvPr>
        <xdr:cNvSpPr>
          <a:spLocks noChangeShapeType="1"/>
        </xdr:cNvSpPr>
      </xdr:nvSpPr>
      <xdr:spPr bwMode="auto">
        <a:xfrm flipV="1">
          <a:off x="4914900" y="6705600"/>
          <a:ext cx="21336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27</xdr:row>
      <xdr:rowOff>7620</xdr:rowOff>
    </xdr:from>
    <xdr:to>
      <xdr:col>4</xdr:col>
      <xdr:colOff>381000</xdr:colOff>
      <xdr:row>29</xdr:row>
      <xdr:rowOff>76200</xdr:rowOff>
    </xdr:to>
    <xdr:grpSp>
      <xdr:nvGrpSpPr>
        <xdr:cNvPr id="10263" name="Group 23">
          <a:extLst>
            <a:ext uri="{FF2B5EF4-FFF2-40B4-BE49-F238E27FC236}">
              <a16:creationId xmlns:a16="http://schemas.microsoft.com/office/drawing/2014/main" id="{339D1131-0092-D3C7-226B-F444D7362992}"/>
            </a:ext>
          </a:extLst>
        </xdr:cNvPr>
        <xdr:cNvGrpSpPr>
          <a:grpSpLocks/>
        </xdr:cNvGrpSpPr>
      </xdr:nvGrpSpPr>
      <xdr:grpSpPr bwMode="auto">
        <a:xfrm>
          <a:off x="2474259" y="5153361"/>
          <a:ext cx="2209800" cy="427168"/>
          <a:chOff x="253" y="472"/>
          <a:chExt cx="227" cy="43"/>
        </a:xfrm>
      </xdr:grpSpPr>
      <xdr:grpSp>
        <xdr:nvGrpSpPr>
          <xdr:cNvPr id="10264" name="Group 24">
            <a:extLst>
              <a:ext uri="{FF2B5EF4-FFF2-40B4-BE49-F238E27FC236}">
                <a16:creationId xmlns:a16="http://schemas.microsoft.com/office/drawing/2014/main" id="{92A2730F-FAFF-758E-5990-4B6E18E03326}"/>
              </a:ext>
            </a:extLst>
          </xdr:cNvPr>
          <xdr:cNvGrpSpPr>
            <a:grpSpLocks/>
          </xdr:cNvGrpSpPr>
        </xdr:nvGrpSpPr>
        <xdr:grpSpPr bwMode="auto">
          <a:xfrm>
            <a:off x="253" y="478"/>
            <a:ext cx="13" cy="37"/>
            <a:chOff x="268" y="478"/>
            <a:chExt cx="13" cy="37"/>
          </a:xfrm>
        </xdr:grpSpPr>
        <xdr:sp macro="" textlink="">
          <xdr:nvSpPr>
            <xdr:cNvPr id="10265" name="Line 25">
              <a:extLst>
                <a:ext uri="{FF2B5EF4-FFF2-40B4-BE49-F238E27FC236}">
                  <a16:creationId xmlns:a16="http://schemas.microsoft.com/office/drawing/2014/main" id="{0888EC82-7A20-EB2B-2FA5-81D010A3667C}"/>
                </a:ext>
              </a:extLst>
            </xdr:cNvPr>
            <xdr:cNvSpPr>
              <a:spLocks noChangeShapeType="1"/>
            </xdr:cNvSpPr>
          </xdr:nvSpPr>
          <xdr:spPr bwMode="auto">
            <a:xfrm flipV="1">
              <a:off x="269" y="479"/>
              <a:ext cx="11"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266" name="Line 26">
              <a:extLst>
                <a:ext uri="{FF2B5EF4-FFF2-40B4-BE49-F238E27FC236}">
                  <a16:creationId xmlns:a16="http://schemas.microsoft.com/office/drawing/2014/main" id="{2AA658E9-1F9D-4D76-CD16-A9C5B1C25FAC}"/>
                </a:ext>
              </a:extLst>
            </xdr:cNvPr>
            <xdr:cNvSpPr>
              <a:spLocks noChangeShapeType="1"/>
            </xdr:cNvSpPr>
          </xdr:nvSpPr>
          <xdr:spPr bwMode="auto">
            <a:xfrm flipV="1">
              <a:off x="269" y="497"/>
              <a:ext cx="11"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267" name="Line 27">
              <a:extLst>
                <a:ext uri="{FF2B5EF4-FFF2-40B4-BE49-F238E27FC236}">
                  <a16:creationId xmlns:a16="http://schemas.microsoft.com/office/drawing/2014/main" id="{A7AA379F-954A-4B1F-72ED-213A0CDFCE6B}"/>
                </a:ext>
              </a:extLst>
            </xdr:cNvPr>
            <xdr:cNvSpPr>
              <a:spLocks noChangeShapeType="1"/>
            </xdr:cNvSpPr>
          </xdr:nvSpPr>
          <xdr:spPr bwMode="auto">
            <a:xfrm>
              <a:off x="268" y="515"/>
              <a:ext cx="13"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268" name="Line 28">
              <a:extLst>
                <a:ext uri="{FF2B5EF4-FFF2-40B4-BE49-F238E27FC236}">
                  <a16:creationId xmlns:a16="http://schemas.microsoft.com/office/drawing/2014/main" id="{D7CB40A0-87C3-7259-2CD2-0947A5EC0522}"/>
                </a:ext>
              </a:extLst>
            </xdr:cNvPr>
            <xdr:cNvSpPr>
              <a:spLocks noChangeShapeType="1"/>
            </xdr:cNvSpPr>
          </xdr:nvSpPr>
          <xdr:spPr bwMode="auto">
            <a:xfrm>
              <a:off x="281" y="478"/>
              <a:ext cx="0" cy="37"/>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0269" name="Group 29">
            <a:extLst>
              <a:ext uri="{FF2B5EF4-FFF2-40B4-BE49-F238E27FC236}">
                <a16:creationId xmlns:a16="http://schemas.microsoft.com/office/drawing/2014/main" id="{5D47A57F-8291-0948-6386-E3685D7B4972}"/>
              </a:ext>
            </a:extLst>
          </xdr:cNvPr>
          <xdr:cNvGrpSpPr>
            <a:grpSpLocks/>
          </xdr:cNvGrpSpPr>
        </xdr:nvGrpSpPr>
        <xdr:grpSpPr bwMode="auto">
          <a:xfrm>
            <a:off x="265" y="472"/>
            <a:ext cx="215" cy="15"/>
            <a:chOff x="264" y="559"/>
            <a:chExt cx="215" cy="15"/>
          </a:xfrm>
        </xdr:grpSpPr>
        <xdr:sp macro="" textlink="">
          <xdr:nvSpPr>
            <xdr:cNvPr id="10270" name="Line 30">
              <a:extLst>
                <a:ext uri="{FF2B5EF4-FFF2-40B4-BE49-F238E27FC236}">
                  <a16:creationId xmlns:a16="http://schemas.microsoft.com/office/drawing/2014/main" id="{49876399-7F16-F9C6-7ED0-52B8D4A99987}"/>
                </a:ext>
              </a:extLst>
            </xdr:cNvPr>
            <xdr:cNvSpPr>
              <a:spLocks noChangeShapeType="1"/>
            </xdr:cNvSpPr>
          </xdr:nvSpPr>
          <xdr:spPr bwMode="auto">
            <a:xfrm>
              <a:off x="478" y="559"/>
              <a:ext cx="0" cy="1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271" name="Line 31">
              <a:extLst>
                <a:ext uri="{FF2B5EF4-FFF2-40B4-BE49-F238E27FC236}">
                  <a16:creationId xmlns:a16="http://schemas.microsoft.com/office/drawing/2014/main" id="{EC5ED0DE-7AA5-B847-A72F-64D9984A2399}"/>
                </a:ext>
              </a:extLst>
            </xdr:cNvPr>
            <xdr:cNvSpPr>
              <a:spLocks noChangeShapeType="1"/>
            </xdr:cNvSpPr>
          </xdr:nvSpPr>
          <xdr:spPr bwMode="auto">
            <a:xfrm flipH="1" flipV="1">
              <a:off x="264" y="572"/>
              <a:ext cx="215" cy="1"/>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clientData/>
  </xdr:twoCellAnchor>
  <xdr:twoCellAnchor>
    <xdr:from>
      <xdr:col>7</xdr:col>
      <xdr:colOff>723900</xdr:colOff>
      <xdr:row>24</xdr:row>
      <xdr:rowOff>68580</xdr:rowOff>
    </xdr:from>
    <xdr:to>
      <xdr:col>8</xdr:col>
      <xdr:colOff>144780</xdr:colOff>
      <xdr:row>25</xdr:row>
      <xdr:rowOff>68580</xdr:rowOff>
    </xdr:to>
    <xdr:grpSp>
      <xdr:nvGrpSpPr>
        <xdr:cNvPr id="10272" name="Group 32">
          <a:extLst>
            <a:ext uri="{FF2B5EF4-FFF2-40B4-BE49-F238E27FC236}">
              <a16:creationId xmlns:a16="http://schemas.microsoft.com/office/drawing/2014/main" id="{9C31DC7B-92CC-ADBE-F66F-A92BB7D44EEC}"/>
            </a:ext>
          </a:extLst>
        </xdr:cNvPr>
        <xdr:cNvGrpSpPr>
          <a:grpSpLocks/>
        </xdr:cNvGrpSpPr>
      </xdr:nvGrpSpPr>
      <xdr:grpSpPr bwMode="auto">
        <a:xfrm>
          <a:off x="7985312" y="4676439"/>
          <a:ext cx="155986" cy="179294"/>
          <a:chOff x="301" y="720"/>
          <a:chExt cx="13" cy="18"/>
        </a:xfrm>
      </xdr:grpSpPr>
      <xdr:sp macro="" textlink="">
        <xdr:nvSpPr>
          <xdr:cNvPr id="10273" name="Line 33">
            <a:extLst>
              <a:ext uri="{FF2B5EF4-FFF2-40B4-BE49-F238E27FC236}">
                <a16:creationId xmlns:a16="http://schemas.microsoft.com/office/drawing/2014/main" id="{9B75199B-AC31-AF30-0521-7BA7D4083739}"/>
              </a:ext>
            </a:extLst>
          </xdr:cNvPr>
          <xdr:cNvSpPr>
            <a:spLocks noChangeShapeType="1"/>
          </xdr:cNvSpPr>
        </xdr:nvSpPr>
        <xdr:spPr bwMode="auto">
          <a:xfrm flipV="1">
            <a:off x="301" y="720"/>
            <a:ext cx="12"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274" name="Line 34">
            <a:extLst>
              <a:ext uri="{FF2B5EF4-FFF2-40B4-BE49-F238E27FC236}">
                <a16:creationId xmlns:a16="http://schemas.microsoft.com/office/drawing/2014/main" id="{482790D6-1CBA-5AC0-C2E9-981E80C6F3BF}"/>
              </a:ext>
            </a:extLst>
          </xdr:cNvPr>
          <xdr:cNvSpPr>
            <a:spLocks noChangeShapeType="1"/>
          </xdr:cNvSpPr>
        </xdr:nvSpPr>
        <xdr:spPr bwMode="auto">
          <a:xfrm flipV="1">
            <a:off x="302" y="738"/>
            <a:ext cx="12"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275" name="Line 35">
            <a:extLst>
              <a:ext uri="{FF2B5EF4-FFF2-40B4-BE49-F238E27FC236}">
                <a16:creationId xmlns:a16="http://schemas.microsoft.com/office/drawing/2014/main" id="{CA79A05E-4B39-0FAB-88FB-13070F4806DF}"/>
              </a:ext>
            </a:extLst>
          </xdr:cNvPr>
          <xdr:cNvSpPr>
            <a:spLocks noChangeShapeType="1"/>
          </xdr:cNvSpPr>
        </xdr:nvSpPr>
        <xdr:spPr bwMode="auto">
          <a:xfrm>
            <a:off x="313" y="720"/>
            <a:ext cx="0" cy="17"/>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clientData/>
  </xdr:twoCellAnchor>
  <xdr:twoCellAnchor>
    <xdr:from>
      <xdr:col>8</xdr:col>
      <xdr:colOff>0</xdr:colOff>
      <xdr:row>27</xdr:row>
      <xdr:rowOff>68580</xdr:rowOff>
    </xdr:from>
    <xdr:to>
      <xdr:col>8</xdr:col>
      <xdr:colOff>160020</xdr:colOff>
      <xdr:row>28</xdr:row>
      <xdr:rowOff>68580</xdr:rowOff>
    </xdr:to>
    <xdr:grpSp>
      <xdr:nvGrpSpPr>
        <xdr:cNvPr id="10276" name="Group 36">
          <a:extLst>
            <a:ext uri="{FF2B5EF4-FFF2-40B4-BE49-F238E27FC236}">
              <a16:creationId xmlns:a16="http://schemas.microsoft.com/office/drawing/2014/main" id="{17C15556-A6AE-B308-0ADF-D4181F22B82A}"/>
            </a:ext>
          </a:extLst>
        </xdr:cNvPr>
        <xdr:cNvGrpSpPr>
          <a:grpSpLocks/>
        </xdr:cNvGrpSpPr>
      </xdr:nvGrpSpPr>
      <xdr:grpSpPr bwMode="auto">
        <a:xfrm>
          <a:off x="7996518" y="5214321"/>
          <a:ext cx="160020" cy="179294"/>
          <a:chOff x="301" y="720"/>
          <a:chExt cx="13" cy="18"/>
        </a:xfrm>
      </xdr:grpSpPr>
      <xdr:sp macro="" textlink="">
        <xdr:nvSpPr>
          <xdr:cNvPr id="10277" name="Line 37">
            <a:extLst>
              <a:ext uri="{FF2B5EF4-FFF2-40B4-BE49-F238E27FC236}">
                <a16:creationId xmlns:a16="http://schemas.microsoft.com/office/drawing/2014/main" id="{3AD8C250-2F5A-EDF2-CBDF-1FF31B890569}"/>
              </a:ext>
            </a:extLst>
          </xdr:cNvPr>
          <xdr:cNvSpPr>
            <a:spLocks noChangeShapeType="1"/>
          </xdr:cNvSpPr>
        </xdr:nvSpPr>
        <xdr:spPr bwMode="auto">
          <a:xfrm flipV="1">
            <a:off x="301" y="720"/>
            <a:ext cx="12"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278" name="Line 38">
            <a:extLst>
              <a:ext uri="{FF2B5EF4-FFF2-40B4-BE49-F238E27FC236}">
                <a16:creationId xmlns:a16="http://schemas.microsoft.com/office/drawing/2014/main" id="{20602A3C-4366-DEC5-C519-CD88D81CB1AC}"/>
              </a:ext>
            </a:extLst>
          </xdr:cNvPr>
          <xdr:cNvSpPr>
            <a:spLocks noChangeShapeType="1"/>
          </xdr:cNvSpPr>
        </xdr:nvSpPr>
        <xdr:spPr bwMode="auto">
          <a:xfrm flipV="1">
            <a:off x="302" y="738"/>
            <a:ext cx="12"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279" name="Line 39">
            <a:extLst>
              <a:ext uri="{FF2B5EF4-FFF2-40B4-BE49-F238E27FC236}">
                <a16:creationId xmlns:a16="http://schemas.microsoft.com/office/drawing/2014/main" id="{4831DDC3-A669-DAAA-88C6-F06C108EC3C9}"/>
              </a:ext>
            </a:extLst>
          </xdr:cNvPr>
          <xdr:cNvSpPr>
            <a:spLocks noChangeShapeType="1"/>
          </xdr:cNvSpPr>
        </xdr:nvSpPr>
        <xdr:spPr bwMode="auto">
          <a:xfrm>
            <a:off x="313" y="720"/>
            <a:ext cx="0" cy="17"/>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clientData/>
  </xdr:twoCellAnchor>
  <xdr:twoCellAnchor>
    <xdr:from>
      <xdr:col>2</xdr:col>
      <xdr:colOff>502920</xdr:colOff>
      <xdr:row>23</xdr:row>
      <xdr:rowOff>0</xdr:rowOff>
    </xdr:from>
    <xdr:to>
      <xdr:col>4</xdr:col>
      <xdr:colOff>365760</xdr:colOff>
      <xdr:row>24</xdr:row>
      <xdr:rowOff>99060</xdr:rowOff>
    </xdr:to>
    <xdr:grpSp>
      <xdr:nvGrpSpPr>
        <xdr:cNvPr id="10280" name="Group 40">
          <a:extLst>
            <a:ext uri="{FF2B5EF4-FFF2-40B4-BE49-F238E27FC236}">
              <a16:creationId xmlns:a16="http://schemas.microsoft.com/office/drawing/2014/main" id="{C954507E-2019-DE5B-DD6C-8AB84EDFB561}"/>
            </a:ext>
          </a:extLst>
        </xdr:cNvPr>
        <xdr:cNvGrpSpPr>
          <a:grpSpLocks/>
        </xdr:cNvGrpSpPr>
      </xdr:nvGrpSpPr>
      <xdr:grpSpPr bwMode="auto">
        <a:xfrm>
          <a:off x="2466191" y="4428565"/>
          <a:ext cx="2202628" cy="278354"/>
          <a:chOff x="252" y="652"/>
          <a:chExt cx="223" cy="28"/>
        </a:xfrm>
      </xdr:grpSpPr>
      <xdr:grpSp>
        <xdr:nvGrpSpPr>
          <xdr:cNvPr id="10281" name="Group 41">
            <a:extLst>
              <a:ext uri="{FF2B5EF4-FFF2-40B4-BE49-F238E27FC236}">
                <a16:creationId xmlns:a16="http://schemas.microsoft.com/office/drawing/2014/main" id="{87D40E50-0DE8-B87D-B23A-F86AE09F5229}"/>
              </a:ext>
            </a:extLst>
          </xdr:cNvPr>
          <xdr:cNvGrpSpPr>
            <a:grpSpLocks/>
          </xdr:cNvGrpSpPr>
        </xdr:nvGrpSpPr>
        <xdr:grpSpPr bwMode="auto">
          <a:xfrm>
            <a:off x="252" y="662"/>
            <a:ext cx="13" cy="18"/>
            <a:chOff x="301" y="720"/>
            <a:chExt cx="13" cy="18"/>
          </a:xfrm>
        </xdr:grpSpPr>
        <xdr:sp macro="" textlink="">
          <xdr:nvSpPr>
            <xdr:cNvPr id="10282" name="Line 42">
              <a:extLst>
                <a:ext uri="{FF2B5EF4-FFF2-40B4-BE49-F238E27FC236}">
                  <a16:creationId xmlns:a16="http://schemas.microsoft.com/office/drawing/2014/main" id="{EE8043F2-02FC-34D7-1005-06D42907FCC7}"/>
                </a:ext>
              </a:extLst>
            </xdr:cNvPr>
            <xdr:cNvSpPr>
              <a:spLocks noChangeShapeType="1"/>
            </xdr:cNvSpPr>
          </xdr:nvSpPr>
          <xdr:spPr bwMode="auto">
            <a:xfrm flipV="1">
              <a:off x="301" y="720"/>
              <a:ext cx="12"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283" name="Line 43">
              <a:extLst>
                <a:ext uri="{FF2B5EF4-FFF2-40B4-BE49-F238E27FC236}">
                  <a16:creationId xmlns:a16="http://schemas.microsoft.com/office/drawing/2014/main" id="{152EAC5A-EB0D-0FE3-F047-9B414BCEEC7B}"/>
                </a:ext>
              </a:extLst>
            </xdr:cNvPr>
            <xdr:cNvSpPr>
              <a:spLocks noChangeShapeType="1"/>
            </xdr:cNvSpPr>
          </xdr:nvSpPr>
          <xdr:spPr bwMode="auto">
            <a:xfrm flipV="1">
              <a:off x="302" y="738"/>
              <a:ext cx="12"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284" name="Line 44">
              <a:extLst>
                <a:ext uri="{FF2B5EF4-FFF2-40B4-BE49-F238E27FC236}">
                  <a16:creationId xmlns:a16="http://schemas.microsoft.com/office/drawing/2014/main" id="{91622FC9-B17E-8CEF-A75E-E4BF3315FD8A}"/>
                </a:ext>
              </a:extLst>
            </xdr:cNvPr>
            <xdr:cNvSpPr>
              <a:spLocks noChangeShapeType="1"/>
            </xdr:cNvSpPr>
          </xdr:nvSpPr>
          <xdr:spPr bwMode="auto">
            <a:xfrm>
              <a:off x="313" y="720"/>
              <a:ext cx="0" cy="17"/>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sp macro="" textlink="">
        <xdr:nvSpPr>
          <xdr:cNvPr id="10285" name="Line 45">
            <a:extLst>
              <a:ext uri="{FF2B5EF4-FFF2-40B4-BE49-F238E27FC236}">
                <a16:creationId xmlns:a16="http://schemas.microsoft.com/office/drawing/2014/main" id="{1C5F687E-DBA3-11EE-B949-31AD13588907}"/>
              </a:ext>
            </a:extLst>
          </xdr:cNvPr>
          <xdr:cNvSpPr>
            <a:spLocks noChangeShapeType="1"/>
          </xdr:cNvSpPr>
        </xdr:nvSpPr>
        <xdr:spPr bwMode="auto">
          <a:xfrm>
            <a:off x="475" y="652"/>
            <a:ext cx="0" cy="1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286" name="Line 46">
            <a:extLst>
              <a:ext uri="{FF2B5EF4-FFF2-40B4-BE49-F238E27FC236}">
                <a16:creationId xmlns:a16="http://schemas.microsoft.com/office/drawing/2014/main" id="{335B9FDE-3F5B-061C-E7A9-064CB9A22518}"/>
              </a:ext>
            </a:extLst>
          </xdr:cNvPr>
          <xdr:cNvSpPr>
            <a:spLocks noChangeShapeType="1"/>
          </xdr:cNvSpPr>
        </xdr:nvSpPr>
        <xdr:spPr bwMode="auto">
          <a:xfrm flipH="1">
            <a:off x="264" y="666"/>
            <a:ext cx="211" cy="1"/>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clientData/>
  </xdr:twoCellAnchor>
  <xdr:twoCellAnchor>
    <xdr:from>
      <xdr:col>8</xdr:col>
      <xdr:colOff>144780</xdr:colOff>
      <xdr:row>27</xdr:row>
      <xdr:rowOff>114300</xdr:rowOff>
    </xdr:from>
    <xdr:to>
      <xdr:col>8</xdr:col>
      <xdr:colOff>251460</xdr:colOff>
      <xdr:row>27</xdr:row>
      <xdr:rowOff>114300</xdr:rowOff>
    </xdr:to>
    <xdr:sp macro="" textlink="">
      <xdr:nvSpPr>
        <xdr:cNvPr id="10287" name="Line 47">
          <a:extLst>
            <a:ext uri="{FF2B5EF4-FFF2-40B4-BE49-F238E27FC236}">
              <a16:creationId xmlns:a16="http://schemas.microsoft.com/office/drawing/2014/main" id="{09744954-5F72-C635-F1EA-AE7694C0CCDE}"/>
            </a:ext>
          </a:extLst>
        </xdr:cNvPr>
        <xdr:cNvSpPr>
          <a:spLocks noChangeShapeType="1"/>
        </xdr:cNvSpPr>
      </xdr:nvSpPr>
      <xdr:spPr bwMode="auto">
        <a:xfrm>
          <a:off x="8138160" y="5166360"/>
          <a:ext cx="10668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137160</xdr:colOff>
      <xdr:row>24</xdr:row>
      <xdr:rowOff>137160</xdr:rowOff>
    </xdr:from>
    <xdr:to>
      <xdr:col>8</xdr:col>
      <xdr:colOff>243840</xdr:colOff>
      <xdr:row>24</xdr:row>
      <xdr:rowOff>137160</xdr:rowOff>
    </xdr:to>
    <xdr:sp macro="" textlink="">
      <xdr:nvSpPr>
        <xdr:cNvPr id="10288" name="Line 48">
          <a:extLst>
            <a:ext uri="{FF2B5EF4-FFF2-40B4-BE49-F238E27FC236}">
              <a16:creationId xmlns:a16="http://schemas.microsoft.com/office/drawing/2014/main" id="{0449C115-D2BB-4BF2-F30F-03C42F841E7F}"/>
            </a:ext>
          </a:extLst>
        </xdr:cNvPr>
        <xdr:cNvSpPr>
          <a:spLocks noChangeShapeType="1"/>
        </xdr:cNvSpPr>
      </xdr:nvSpPr>
      <xdr:spPr bwMode="auto">
        <a:xfrm>
          <a:off x="8130540" y="4663440"/>
          <a:ext cx="10668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18</xdr:row>
      <xdr:rowOff>76200</xdr:rowOff>
    </xdr:from>
    <xdr:to>
      <xdr:col>8</xdr:col>
      <xdr:colOff>243840</xdr:colOff>
      <xdr:row>18</xdr:row>
      <xdr:rowOff>76200</xdr:rowOff>
    </xdr:to>
    <xdr:sp macro="" textlink="">
      <xdr:nvSpPr>
        <xdr:cNvPr id="10289" name="Line 49">
          <a:extLst>
            <a:ext uri="{FF2B5EF4-FFF2-40B4-BE49-F238E27FC236}">
              <a16:creationId xmlns:a16="http://schemas.microsoft.com/office/drawing/2014/main" id="{73EC6A32-716B-7856-D4D4-68E1D6CB896D}"/>
            </a:ext>
          </a:extLst>
        </xdr:cNvPr>
        <xdr:cNvSpPr>
          <a:spLocks noChangeShapeType="1"/>
        </xdr:cNvSpPr>
      </xdr:nvSpPr>
      <xdr:spPr bwMode="auto">
        <a:xfrm>
          <a:off x="7993380" y="3550920"/>
          <a:ext cx="24384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7620</xdr:colOff>
      <xdr:row>16</xdr:row>
      <xdr:rowOff>60960</xdr:rowOff>
    </xdr:from>
    <xdr:to>
      <xdr:col>8</xdr:col>
      <xdr:colOff>243840</xdr:colOff>
      <xdr:row>16</xdr:row>
      <xdr:rowOff>60960</xdr:rowOff>
    </xdr:to>
    <xdr:sp macro="" textlink="">
      <xdr:nvSpPr>
        <xdr:cNvPr id="10290" name="Line 50">
          <a:extLst>
            <a:ext uri="{FF2B5EF4-FFF2-40B4-BE49-F238E27FC236}">
              <a16:creationId xmlns:a16="http://schemas.microsoft.com/office/drawing/2014/main" id="{110961C8-650C-CDAF-BFCF-3EB37BCE0474}"/>
            </a:ext>
          </a:extLst>
        </xdr:cNvPr>
        <xdr:cNvSpPr>
          <a:spLocks noChangeShapeType="1"/>
        </xdr:cNvSpPr>
      </xdr:nvSpPr>
      <xdr:spPr bwMode="auto">
        <a:xfrm>
          <a:off x="8001000" y="3185160"/>
          <a:ext cx="23622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243840</xdr:colOff>
      <xdr:row>14</xdr:row>
      <xdr:rowOff>137160</xdr:rowOff>
    </xdr:from>
    <xdr:to>
      <xdr:col>11</xdr:col>
      <xdr:colOff>114300</xdr:colOff>
      <xdr:row>16</xdr:row>
      <xdr:rowOff>68580</xdr:rowOff>
    </xdr:to>
    <xdr:sp macro="" textlink="">
      <xdr:nvSpPr>
        <xdr:cNvPr id="10291" name="Freeform 51">
          <a:extLst>
            <a:ext uri="{FF2B5EF4-FFF2-40B4-BE49-F238E27FC236}">
              <a16:creationId xmlns:a16="http://schemas.microsoft.com/office/drawing/2014/main" id="{6547F823-8C8B-6B5B-210A-E09C785B97E2}"/>
            </a:ext>
          </a:extLst>
        </xdr:cNvPr>
        <xdr:cNvSpPr>
          <a:spLocks/>
        </xdr:cNvSpPr>
      </xdr:nvSpPr>
      <xdr:spPr bwMode="auto">
        <a:xfrm>
          <a:off x="8237220" y="2910840"/>
          <a:ext cx="2301240" cy="281940"/>
        </a:xfrm>
        <a:custGeom>
          <a:avLst/>
          <a:gdLst>
            <a:gd name="T0" fmla="*/ 0 w 239"/>
            <a:gd name="T1" fmla="*/ 28 h 28"/>
            <a:gd name="T2" fmla="*/ 0 w 239"/>
            <a:gd name="T3" fmla="*/ 0 h 28"/>
            <a:gd name="T4" fmla="*/ 239 w 239"/>
            <a:gd name="T5" fmla="*/ 0 h 28"/>
            <a:gd name="T6" fmla="*/ 239 w 239"/>
            <a:gd name="T7" fmla="*/ 26 h 28"/>
          </a:gdLst>
          <a:ahLst/>
          <a:cxnLst>
            <a:cxn ang="0">
              <a:pos x="T0" y="T1"/>
            </a:cxn>
            <a:cxn ang="0">
              <a:pos x="T2" y="T3"/>
            </a:cxn>
            <a:cxn ang="0">
              <a:pos x="T4" y="T5"/>
            </a:cxn>
            <a:cxn ang="0">
              <a:pos x="T6" y="T7"/>
            </a:cxn>
          </a:cxnLst>
          <a:rect l="0" t="0" r="r" b="b"/>
          <a:pathLst>
            <a:path w="239" h="28">
              <a:moveTo>
                <a:pt x="0" y="28"/>
              </a:moveTo>
              <a:lnTo>
                <a:pt x="0" y="0"/>
              </a:lnTo>
              <a:lnTo>
                <a:pt x="239" y="0"/>
              </a:lnTo>
              <a:lnTo>
                <a:pt x="239" y="26"/>
              </a:lnTo>
            </a:path>
          </a:pathLst>
        </a:custGeom>
        <a:noFill/>
        <a:ln w="19050" cmpd="sng">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8</xdr:col>
      <xdr:colOff>0</xdr:colOff>
      <xdr:row>20</xdr:row>
      <xdr:rowOff>114300</xdr:rowOff>
    </xdr:from>
    <xdr:to>
      <xdr:col>8</xdr:col>
      <xdr:colOff>243840</xdr:colOff>
      <xdr:row>27</xdr:row>
      <xdr:rowOff>106680</xdr:rowOff>
    </xdr:to>
    <xdr:sp macro="" textlink="">
      <xdr:nvSpPr>
        <xdr:cNvPr id="10292" name="Freeform 52">
          <a:extLst>
            <a:ext uri="{FF2B5EF4-FFF2-40B4-BE49-F238E27FC236}">
              <a16:creationId xmlns:a16="http://schemas.microsoft.com/office/drawing/2014/main" id="{DB094F66-38E1-96EA-897F-DE475DAEEE8B}"/>
            </a:ext>
          </a:extLst>
        </xdr:cNvPr>
        <xdr:cNvSpPr>
          <a:spLocks/>
        </xdr:cNvSpPr>
      </xdr:nvSpPr>
      <xdr:spPr bwMode="auto">
        <a:xfrm>
          <a:off x="7993380" y="3939540"/>
          <a:ext cx="243840" cy="1219200"/>
        </a:xfrm>
        <a:custGeom>
          <a:avLst/>
          <a:gdLst>
            <a:gd name="T0" fmla="*/ 25 w 25"/>
            <a:gd name="T1" fmla="*/ 197 h 197"/>
            <a:gd name="T2" fmla="*/ 25 w 25"/>
            <a:gd name="T3" fmla="*/ 0 h 197"/>
            <a:gd name="T4" fmla="*/ 0 w 25"/>
            <a:gd name="T5" fmla="*/ 0 h 197"/>
          </a:gdLst>
          <a:ahLst/>
          <a:cxnLst>
            <a:cxn ang="0">
              <a:pos x="T0" y="T1"/>
            </a:cxn>
            <a:cxn ang="0">
              <a:pos x="T2" y="T3"/>
            </a:cxn>
            <a:cxn ang="0">
              <a:pos x="T4" y="T5"/>
            </a:cxn>
          </a:cxnLst>
          <a:rect l="0" t="0" r="r" b="b"/>
          <a:pathLst>
            <a:path w="25" h="197">
              <a:moveTo>
                <a:pt x="25" y="197"/>
              </a:moveTo>
              <a:lnTo>
                <a:pt x="25" y="0"/>
              </a:lnTo>
              <a:lnTo>
                <a:pt x="0" y="0"/>
              </a:lnTo>
            </a:path>
          </a:pathLst>
        </a:custGeom>
        <a:noFill/>
        <a:ln w="19050" cmpd="sng">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11</xdr:col>
      <xdr:colOff>7620</xdr:colOff>
      <xdr:row>16</xdr:row>
      <xdr:rowOff>114300</xdr:rowOff>
    </xdr:from>
    <xdr:to>
      <xdr:col>11</xdr:col>
      <xdr:colOff>114300</xdr:colOff>
      <xdr:row>24</xdr:row>
      <xdr:rowOff>76200</xdr:rowOff>
    </xdr:to>
    <xdr:sp macro="" textlink="">
      <xdr:nvSpPr>
        <xdr:cNvPr id="10293" name="Freeform 53">
          <a:extLst>
            <a:ext uri="{FF2B5EF4-FFF2-40B4-BE49-F238E27FC236}">
              <a16:creationId xmlns:a16="http://schemas.microsoft.com/office/drawing/2014/main" id="{9CCD43F8-D083-0C05-C017-5D28135C9D98}"/>
            </a:ext>
          </a:extLst>
        </xdr:cNvPr>
        <xdr:cNvSpPr>
          <a:spLocks/>
        </xdr:cNvSpPr>
      </xdr:nvSpPr>
      <xdr:spPr bwMode="auto">
        <a:xfrm>
          <a:off x="10431780" y="3238500"/>
          <a:ext cx="106680" cy="1363980"/>
        </a:xfrm>
        <a:custGeom>
          <a:avLst/>
          <a:gdLst>
            <a:gd name="T0" fmla="*/ 0 w 11"/>
            <a:gd name="T1" fmla="*/ 140 h 140"/>
            <a:gd name="T2" fmla="*/ 11 w 11"/>
            <a:gd name="T3" fmla="*/ 140 h 140"/>
            <a:gd name="T4" fmla="*/ 11 w 11"/>
            <a:gd name="T5" fmla="*/ 0 h 140"/>
            <a:gd name="T6" fmla="*/ 0 w 11"/>
            <a:gd name="T7" fmla="*/ 0 h 140"/>
          </a:gdLst>
          <a:ahLst/>
          <a:cxnLst>
            <a:cxn ang="0">
              <a:pos x="T0" y="T1"/>
            </a:cxn>
            <a:cxn ang="0">
              <a:pos x="T2" y="T3"/>
            </a:cxn>
            <a:cxn ang="0">
              <a:pos x="T4" y="T5"/>
            </a:cxn>
            <a:cxn ang="0">
              <a:pos x="T6" y="T7"/>
            </a:cxn>
          </a:cxnLst>
          <a:rect l="0" t="0" r="r" b="b"/>
          <a:pathLst>
            <a:path w="11" h="140">
              <a:moveTo>
                <a:pt x="0" y="140"/>
              </a:moveTo>
              <a:lnTo>
                <a:pt x="11" y="140"/>
              </a:lnTo>
              <a:lnTo>
                <a:pt x="11" y="0"/>
              </a:lnTo>
              <a:lnTo>
                <a:pt x="0" y="0"/>
              </a:lnTo>
            </a:path>
          </a:pathLst>
        </a:custGeom>
        <a:noFill/>
        <a:ln w="19050" cmpd="sng">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11</xdr:col>
      <xdr:colOff>0</xdr:colOff>
      <xdr:row>22</xdr:row>
      <xdr:rowOff>91440</xdr:rowOff>
    </xdr:from>
    <xdr:to>
      <xdr:col>11</xdr:col>
      <xdr:colOff>114300</xdr:colOff>
      <xdr:row>22</xdr:row>
      <xdr:rowOff>91440</xdr:rowOff>
    </xdr:to>
    <xdr:sp macro="" textlink="">
      <xdr:nvSpPr>
        <xdr:cNvPr id="10294" name="Line 54">
          <a:extLst>
            <a:ext uri="{FF2B5EF4-FFF2-40B4-BE49-F238E27FC236}">
              <a16:creationId xmlns:a16="http://schemas.microsoft.com/office/drawing/2014/main" id="{A4AF9144-2E82-2EA1-23C3-E9E7B9000CB3}"/>
            </a:ext>
          </a:extLst>
        </xdr:cNvPr>
        <xdr:cNvSpPr>
          <a:spLocks noChangeShapeType="1"/>
        </xdr:cNvSpPr>
      </xdr:nvSpPr>
      <xdr:spPr bwMode="auto">
        <a:xfrm>
          <a:off x="10424160" y="4267200"/>
          <a:ext cx="11430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20</xdr:row>
      <xdr:rowOff>76200</xdr:rowOff>
    </xdr:from>
    <xdr:to>
      <xdr:col>11</xdr:col>
      <xdr:colOff>114300</xdr:colOff>
      <xdr:row>20</xdr:row>
      <xdr:rowOff>76200</xdr:rowOff>
    </xdr:to>
    <xdr:sp macro="" textlink="">
      <xdr:nvSpPr>
        <xdr:cNvPr id="10295" name="Line 55">
          <a:extLst>
            <a:ext uri="{FF2B5EF4-FFF2-40B4-BE49-F238E27FC236}">
              <a16:creationId xmlns:a16="http://schemas.microsoft.com/office/drawing/2014/main" id="{31020426-A4A1-6B43-B747-1021BBADEF26}"/>
            </a:ext>
          </a:extLst>
        </xdr:cNvPr>
        <xdr:cNvSpPr>
          <a:spLocks noChangeShapeType="1"/>
        </xdr:cNvSpPr>
      </xdr:nvSpPr>
      <xdr:spPr bwMode="auto">
        <a:xfrm>
          <a:off x="10424160" y="3901440"/>
          <a:ext cx="11430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18</xdr:row>
      <xdr:rowOff>76200</xdr:rowOff>
    </xdr:from>
    <xdr:to>
      <xdr:col>11</xdr:col>
      <xdr:colOff>114300</xdr:colOff>
      <xdr:row>18</xdr:row>
      <xdr:rowOff>76200</xdr:rowOff>
    </xdr:to>
    <xdr:sp macro="" textlink="">
      <xdr:nvSpPr>
        <xdr:cNvPr id="10296" name="Line 56">
          <a:extLst>
            <a:ext uri="{FF2B5EF4-FFF2-40B4-BE49-F238E27FC236}">
              <a16:creationId xmlns:a16="http://schemas.microsoft.com/office/drawing/2014/main" id="{C1F8C021-30A1-991B-2037-E47C20FBFDE2}"/>
            </a:ext>
          </a:extLst>
        </xdr:cNvPr>
        <xdr:cNvSpPr>
          <a:spLocks noChangeShapeType="1"/>
        </xdr:cNvSpPr>
      </xdr:nvSpPr>
      <xdr:spPr bwMode="auto">
        <a:xfrm>
          <a:off x="10424160" y="3550920"/>
          <a:ext cx="11430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16</xdr:row>
      <xdr:rowOff>38100</xdr:rowOff>
    </xdr:from>
    <xdr:to>
      <xdr:col>11</xdr:col>
      <xdr:colOff>114300</xdr:colOff>
      <xdr:row>16</xdr:row>
      <xdr:rowOff>38100</xdr:rowOff>
    </xdr:to>
    <xdr:sp macro="" textlink="">
      <xdr:nvSpPr>
        <xdr:cNvPr id="10297" name="Line 57">
          <a:extLst>
            <a:ext uri="{FF2B5EF4-FFF2-40B4-BE49-F238E27FC236}">
              <a16:creationId xmlns:a16="http://schemas.microsoft.com/office/drawing/2014/main" id="{5B78B8CA-F6AB-A8B5-211E-9F742ADCE366}"/>
            </a:ext>
          </a:extLst>
        </xdr:cNvPr>
        <xdr:cNvSpPr>
          <a:spLocks noChangeShapeType="1"/>
        </xdr:cNvSpPr>
      </xdr:nvSpPr>
      <xdr:spPr bwMode="auto">
        <a:xfrm flipH="1">
          <a:off x="10424160" y="3162300"/>
          <a:ext cx="11430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18</xdr:row>
      <xdr:rowOff>7620</xdr:rowOff>
    </xdr:from>
    <xdr:to>
      <xdr:col>4</xdr:col>
      <xdr:colOff>381000</xdr:colOff>
      <xdr:row>20</xdr:row>
      <xdr:rowOff>76200</xdr:rowOff>
    </xdr:to>
    <xdr:grpSp>
      <xdr:nvGrpSpPr>
        <xdr:cNvPr id="10298" name="Group 58">
          <a:extLst>
            <a:ext uri="{FF2B5EF4-FFF2-40B4-BE49-F238E27FC236}">
              <a16:creationId xmlns:a16="http://schemas.microsoft.com/office/drawing/2014/main" id="{C6F4A23A-A937-4188-09E8-BC0382123428}"/>
            </a:ext>
          </a:extLst>
        </xdr:cNvPr>
        <xdr:cNvGrpSpPr>
          <a:grpSpLocks/>
        </xdr:cNvGrpSpPr>
      </xdr:nvGrpSpPr>
      <xdr:grpSpPr bwMode="auto">
        <a:xfrm>
          <a:off x="2474259" y="3539714"/>
          <a:ext cx="2209800" cy="427168"/>
          <a:chOff x="253" y="472"/>
          <a:chExt cx="227" cy="43"/>
        </a:xfrm>
      </xdr:grpSpPr>
      <xdr:grpSp>
        <xdr:nvGrpSpPr>
          <xdr:cNvPr id="10299" name="Group 59">
            <a:extLst>
              <a:ext uri="{FF2B5EF4-FFF2-40B4-BE49-F238E27FC236}">
                <a16:creationId xmlns:a16="http://schemas.microsoft.com/office/drawing/2014/main" id="{43717F2D-100D-D1CB-1CB2-4AE57E043A00}"/>
              </a:ext>
            </a:extLst>
          </xdr:cNvPr>
          <xdr:cNvGrpSpPr>
            <a:grpSpLocks/>
          </xdr:cNvGrpSpPr>
        </xdr:nvGrpSpPr>
        <xdr:grpSpPr bwMode="auto">
          <a:xfrm>
            <a:off x="253" y="478"/>
            <a:ext cx="13" cy="37"/>
            <a:chOff x="268" y="478"/>
            <a:chExt cx="13" cy="37"/>
          </a:xfrm>
        </xdr:grpSpPr>
        <xdr:sp macro="" textlink="">
          <xdr:nvSpPr>
            <xdr:cNvPr id="10300" name="Line 60">
              <a:extLst>
                <a:ext uri="{FF2B5EF4-FFF2-40B4-BE49-F238E27FC236}">
                  <a16:creationId xmlns:a16="http://schemas.microsoft.com/office/drawing/2014/main" id="{261CCBD4-9CA1-8042-3EE0-04AD783436A3}"/>
                </a:ext>
              </a:extLst>
            </xdr:cNvPr>
            <xdr:cNvSpPr>
              <a:spLocks noChangeShapeType="1"/>
            </xdr:cNvSpPr>
          </xdr:nvSpPr>
          <xdr:spPr bwMode="auto">
            <a:xfrm flipV="1">
              <a:off x="269" y="479"/>
              <a:ext cx="11"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301" name="Line 61">
              <a:extLst>
                <a:ext uri="{FF2B5EF4-FFF2-40B4-BE49-F238E27FC236}">
                  <a16:creationId xmlns:a16="http://schemas.microsoft.com/office/drawing/2014/main" id="{8A142D34-E8A7-14F8-9468-DEA8F2828FCA}"/>
                </a:ext>
              </a:extLst>
            </xdr:cNvPr>
            <xdr:cNvSpPr>
              <a:spLocks noChangeShapeType="1"/>
            </xdr:cNvSpPr>
          </xdr:nvSpPr>
          <xdr:spPr bwMode="auto">
            <a:xfrm flipV="1">
              <a:off x="269" y="497"/>
              <a:ext cx="11"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302" name="Line 62">
              <a:extLst>
                <a:ext uri="{FF2B5EF4-FFF2-40B4-BE49-F238E27FC236}">
                  <a16:creationId xmlns:a16="http://schemas.microsoft.com/office/drawing/2014/main" id="{8C381424-B1BE-34CF-5565-E97E629517C5}"/>
                </a:ext>
              </a:extLst>
            </xdr:cNvPr>
            <xdr:cNvSpPr>
              <a:spLocks noChangeShapeType="1"/>
            </xdr:cNvSpPr>
          </xdr:nvSpPr>
          <xdr:spPr bwMode="auto">
            <a:xfrm>
              <a:off x="268" y="515"/>
              <a:ext cx="13"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303" name="Line 63">
              <a:extLst>
                <a:ext uri="{FF2B5EF4-FFF2-40B4-BE49-F238E27FC236}">
                  <a16:creationId xmlns:a16="http://schemas.microsoft.com/office/drawing/2014/main" id="{82941739-7E2C-4A4E-BE4E-DDE62D4DD6C1}"/>
                </a:ext>
              </a:extLst>
            </xdr:cNvPr>
            <xdr:cNvSpPr>
              <a:spLocks noChangeShapeType="1"/>
            </xdr:cNvSpPr>
          </xdr:nvSpPr>
          <xdr:spPr bwMode="auto">
            <a:xfrm>
              <a:off x="281" y="478"/>
              <a:ext cx="0" cy="37"/>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0304" name="Group 64">
            <a:extLst>
              <a:ext uri="{FF2B5EF4-FFF2-40B4-BE49-F238E27FC236}">
                <a16:creationId xmlns:a16="http://schemas.microsoft.com/office/drawing/2014/main" id="{46684155-D24C-5943-1DCF-9FED9121C3E2}"/>
              </a:ext>
            </a:extLst>
          </xdr:cNvPr>
          <xdr:cNvGrpSpPr>
            <a:grpSpLocks/>
          </xdr:cNvGrpSpPr>
        </xdr:nvGrpSpPr>
        <xdr:grpSpPr bwMode="auto">
          <a:xfrm>
            <a:off x="265" y="472"/>
            <a:ext cx="215" cy="15"/>
            <a:chOff x="264" y="559"/>
            <a:chExt cx="215" cy="15"/>
          </a:xfrm>
        </xdr:grpSpPr>
        <xdr:sp macro="" textlink="">
          <xdr:nvSpPr>
            <xdr:cNvPr id="10305" name="Line 65">
              <a:extLst>
                <a:ext uri="{FF2B5EF4-FFF2-40B4-BE49-F238E27FC236}">
                  <a16:creationId xmlns:a16="http://schemas.microsoft.com/office/drawing/2014/main" id="{FA036EBE-EE2F-EB49-E29C-0A5F18F653DC}"/>
                </a:ext>
              </a:extLst>
            </xdr:cNvPr>
            <xdr:cNvSpPr>
              <a:spLocks noChangeShapeType="1"/>
            </xdr:cNvSpPr>
          </xdr:nvSpPr>
          <xdr:spPr bwMode="auto">
            <a:xfrm>
              <a:off x="478" y="559"/>
              <a:ext cx="0" cy="1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306" name="Line 66">
              <a:extLst>
                <a:ext uri="{FF2B5EF4-FFF2-40B4-BE49-F238E27FC236}">
                  <a16:creationId xmlns:a16="http://schemas.microsoft.com/office/drawing/2014/main" id="{E25B8FBC-F5AC-DF4B-1C43-A7411BF27E11}"/>
                </a:ext>
              </a:extLst>
            </xdr:cNvPr>
            <xdr:cNvSpPr>
              <a:spLocks noChangeShapeType="1"/>
            </xdr:cNvSpPr>
          </xdr:nvSpPr>
          <xdr:spPr bwMode="auto">
            <a:xfrm flipH="1" flipV="1">
              <a:off x="264" y="572"/>
              <a:ext cx="215" cy="1"/>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clientData/>
  </xdr:twoCellAnchor>
  <xdr:twoCellAnchor>
    <xdr:from>
      <xdr:col>5</xdr:col>
      <xdr:colOff>0</xdr:colOff>
      <xdr:row>13</xdr:row>
      <xdr:rowOff>106680</xdr:rowOff>
    </xdr:from>
    <xdr:to>
      <xdr:col>5</xdr:col>
      <xdr:colOff>236220</xdr:colOff>
      <xdr:row>34</xdr:row>
      <xdr:rowOff>45720</xdr:rowOff>
    </xdr:to>
    <xdr:sp macro="" textlink="">
      <xdr:nvSpPr>
        <xdr:cNvPr id="10307" name="Freeform 67">
          <a:extLst>
            <a:ext uri="{FF2B5EF4-FFF2-40B4-BE49-F238E27FC236}">
              <a16:creationId xmlns:a16="http://schemas.microsoft.com/office/drawing/2014/main" id="{E189C1DA-3D0E-C251-22D8-A73765EA69EF}"/>
            </a:ext>
          </a:extLst>
        </xdr:cNvPr>
        <xdr:cNvSpPr>
          <a:spLocks/>
        </xdr:cNvSpPr>
      </xdr:nvSpPr>
      <xdr:spPr bwMode="auto">
        <a:xfrm>
          <a:off x="4914900" y="2705100"/>
          <a:ext cx="236220" cy="3619500"/>
        </a:xfrm>
        <a:custGeom>
          <a:avLst/>
          <a:gdLst>
            <a:gd name="T0" fmla="*/ 1 w 23"/>
            <a:gd name="T1" fmla="*/ 372 h 372"/>
            <a:gd name="T2" fmla="*/ 23 w 23"/>
            <a:gd name="T3" fmla="*/ 372 h 372"/>
            <a:gd name="T4" fmla="*/ 23 w 23"/>
            <a:gd name="T5" fmla="*/ 0 h 372"/>
            <a:gd name="T6" fmla="*/ 0 w 23"/>
            <a:gd name="T7" fmla="*/ 0 h 372"/>
          </a:gdLst>
          <a:ahLst/>
          <a:cxnLst>
            <a:cxn ang="0">
              <a:pos x="T0" y="T1"/>
            </a:cxn>
            <a:cxn ang="0">
              <a:pos x="T2" y="T3"/>
            </a:cxn>
            <a:cxn ang="0">
              <a:pos x="T4" y="T5"/>
            </a:cxn>
            <a:cxn ang="0">
              <a:pos x="T6" y="T7"/>
            </a:cxn>
          </a:cxnLst>
          <a:rect l="0" t="0" r="r" b="b"/>
          <a:pathLst>
            <a:path w="23" h="372">
              <a:moveTo>
                <a:pt x="1" y="372"/>
              </a:moveTo>
              <a:lnTo>
                <a:pt x="23" y="372"/>
              </a:lnTo>
              <a:lnTo>
                <a:pt x="23" y="0"/>
              </a:lnTo>
              <a:lnTo>
                <a:pt x="0" y="0"/>
              </a:lnTo>
            </a:path>
          </a:pathLst>
        </a:custGeom>
        <a:noFill/>
        <a:ln w="19050" cmpd="sng">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5</xdr:col>
      <xdr:colOff>0</xdr:colOff>
      <xdr:row>31</xdr:row>
      <xdr:rowOff>76200</xdr:rowOff>
    </xdr:from>
    <xdr:to>
      <xdr:col>5</xdr:col>
      <xdr:colOff>243840</xdr:colOff>
      <xdr:row>31</xdr:row>
      <xdr:rowOff>76200</xdr:rowOff>
    </xdr:to>
    <xdr:sp macro="" textlink="">
      <xdr:nvSpPr>
        <xdr:cNvPr id="10308" name="Line 68">
          <a:extLst>
            <a:ext uri="{FF2B5EF4-FFF2-40B4-BE49-F238E27FC236}">
              <a16:creationId xmlns:a16="http://schemas.microsoft.com/office/drawing/2014/main" id="{8298ED48-15CE-3C7F-B748-4B7F35FF5669}"/>
            </a:ext>
          </a:extLst>
        </xdr:cNvPr>
        <xdr:cNvSpPr>
          <a:spLocks noChangeShapeType="1"/>
        </xdr:cNvSpPr>
      </xdr:nvSpPr>
      <xdr:spPr bwMode="auto">
        <a:xfrm>
          <a:off x="4914900" y="5829300"/>
          <a:ext cx="24384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26</xdr:row>
      <xdr:rowOff>91440</xdr:rowOff>
    </xdr:from>
    <xdr:to>
      <xdr:col>5</xdr:col>
      <xdr:colOff>243840</xdr:colOff>
      <xdr:row>26</xdr:row>
      <xdr:rowOff>91440</xdr:rowOff>
    </xdr:to>
    <xdr:sp macro="" textlink="">
      <xdr:nvSpPr>
        <xdr:cNvPr id="10309" name="Line 69">
          <a:extLst>
            <a:ext uri="{FF2B5EF4-FFF2-40B4-BE49-F238E27FC236}">
              <a16:creationId xmlns:a16="http://schemas.microsoft.com/office/drawing/2014/main" id="{88EC810A-E2B8-F3CD-9EB6-A10193C9A169}"/>
            </a:ext>
          </a:extLst>
        </xdr:cNvPr>
        <xdr:cNvSpPr>
          <a:spLocks noChangeShapeType="1"/>
        </xdr:cNvSpPr>
      </xdr:nvSpPr>
      <xdr:spPr bwMode="auto">
        <a:xfrm>
          <a:off x="4914900" y="4968240"/>
          <a:ext cx="24384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22</xdr:row>
      <xdr:rowOff>76200</xdr:rowOff>
    </xdr:from>
    <xdr:to>
      <xdr:col>5</xdr:col>
      <xdr:colOff>243840</xdr:colOff>
      <xdr:row>22</xdr:row>
      <xdr:rowOff>76200</xdr:rowOff>
    </xdr:to>
    <xdr:sp macro="" textlink="">
      <xdr:nvSpPr>
        <xdr:cNvPr id="10310" name="Line 70">
          <a:extLst>
            <a:ext uri="{FF2B5EF4-FFF2-40B4-BE49-F238E27FC236}">
              <a16:creationId xmlns:a16="http://schemas.microsoft.com/office/drawing/2014/main" id="{D1EA4812-3B9F-4452-3FEE-FB128AFB325D}"/>
            </a:ext>
          </a:extLst>
        </xdr:cNvPr>
        <xdr:cNvSpPr>
          <a:spLocks noChangeShapeType="1"/>
        </xdr:cNvSpPr>
      </xdr:nvSpPr>
      <xdr:spPr bwMode="auto">
        <a:xfrm>
          <a:off x="4914900" y="4251960"/>
          <a:ext cx="24384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17</xdr:row>
      <xdr:rowOff>91440</xdr:rowOff>
    </xdr:from>
    <xdr:to>
      <xdr:col>5</xdr:col>
      <xdr:colOff>213360</xdr:colOff>
      <xdr:row>17</xdr:row>
      <xdr:rowOff>91440</xdr:rowOff>
    </xdr:to>
    <xdr:sp macro="" textlink="">
      <xdr:nvSpPr>
        <xdr:cNvPr id="10311" name="Line 71">
          <a:extLst>
            <a:ext uri="{FF2B5EF4-FFF2-40B4-BE49-F238E27FC236}">
              <a16:creationId xmlns:a16="http://schemas.microsoft.com/office/drawing/2014/main" id="{2B944595-511C-6AE3-012D-27E6A1413BB7}"/>
            </a:ext>
          </a:extLst>
        </xdr:cNvPr>
        <xdr:cNvSpPr>
          <a:spLocks noChangeShapeType="1"/>
        </xdr:cNvSpPr>
      </xdr:nvSpPr>
      <xdr:spPr bwMode="auto">
        <a:xfrm>
          <a:off x="4914900" y="3390900"/>
          <a:ext cx="21336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15</xdr:row>
      <xdr:rowOff>91440</xdr:rowOff>
    </xdr:from>
    <xdr:to>
      <xdr:col>5</xdr:col>
      <xdr:colOff>236220</xdr:colOff>
      <xdr:row>15</xdr:row>
      <xdr:rowOff>91440</xdr:rowOff>
    </xdr:to>
    <xdr:sp macro="" textlink="">
      <xdr:nvSpPr>
        <xdr:cNvPr id="10312" name="Line 72">
          <a:extLst>
            <a:ext uri="{FF2B5EF4-FFF2-40B4-BE49-F238E27FC236}">
              <a16:creationId xmlns:a16="http://schemas.microsoft.com/office/drawing/2014/main" id="{6DE6305F-9270-E491-9571-22C34BF9D8AC}"/>
            </a:ext>
          </a:extLst>
        </xdr:cNvPr>
        <xdr:cNvSpPr>
          <a:spLocks noChangeShapeType="1"/>
        </xdr:cNvSpPr>
      </xdr:nvSpPr>
      <xdr:spPr bwMode="auto">
        <a:xfrm>
          <a:off x="4914900" y="3040380"/>
          <a:ext cx="23622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16</xdr:row>
      <xdr:rowOff>114300</xdr:rowOff>
    </xdr:from>
    <xdr:to>
      <xdr:col>8</xdr:col>
      <xdr:colOff>236220</xdr:colOff>
      <xdr:row>20</xdr:row>
      <xdr:rowOff>60960</xdr:rowOff>
    </xdr:to>
    <xdr:sp macro="" textlink="">
      <xdr:nvSpPr>
        <xdr:cNvPr id="10313" name="Freeform 73">
          <a:extLst>
            <a:ext uri="{FF2B5EF4-FFF2-40B4-BE49-F238E27FC236}">
              <a16:creationId xmlns:a16="http://schemas.microsoft.com/office/drawing/2014/main" id="{5D4D30D4-48E9-9E2F-F3D8-85CC76E26F12}"/>
            </a:ext>
          </a:extLst>
        </xdr:cNvPr>
        <xdr:cNvSpPr>
          <a:spLocks/>
        </xdr:cNvSpPr>
      </xdr:nvSpPr>
      <xdr:spPr bwMode="auto">
        <a:xfrm>
          <a:off x="7993380" y="3238500"/>
          <a:ext cx="236220" cy="647700"/>
        </a:xfrm>
        <a:custGeom>
          <a:avLst/>
          <a:gdLst>
            <a:gd name="T0" fmla="*/ 0 w 24"/>
            <a:gd name="T1" fmla="*/ 66 h 66"/>
            <a:gd name="T2" fmla="*/ 24 w 24"/>
            <a:gd name="T3" fmla="*/ 66 h 66"/>
            <a:gd name="T4" fmla="*/ 24 w 24"/>
            <a:gd name="T5" fmla="*/ 0 h 66"/>
            <a:gd name="T6" fmla="*/ 0 w 24"/>
            <a:gd name="T7" fmla="*/ 0 h 66"/>
          </a:gdLst>
          <a:ahLst/>
          <a:cxnLst>
            <a:cxn ang="0">
              <a:pos x="T0" y="T1"/>
            </a:cxn>
            <a:cxn ang="0">
              <a:pos x="T2" y="T3"/>
            </a:cxn>
            <a:cxn ang="0">
              <a:pos x="T4" y="T5"/>
            </a:cxn>
            <a:cxn ang="0">
              <a:pos x="T6" y="T7"/>
            </a:cxn>
          </a:cxnLst>
          <a:rect l="0" t="0" r="r" b="b"/>
          <a:pathLst>
            <a:path w="24" h="66">
              <a:moveTo>
                <a:pt x="0" y="66"/>
              </a:moveTo>
              <a:lnTo>
                <a:pt x="24" y="66"/>
              </a:lnTo>
              <a:lnTo>
                <a:pt x="24" y="0"/>
              </a:lnTo>
              <a:lnTo>
                <a:pt x="0" y="0"/>
              </a:lnTo>
            </a:path>
          </a:pathLst>
        </a:custGeom>
        <a:noFill/>
        <a:ln w="19050" cmpd="sng">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4</xdr:col>
      <xdr:colOff>304800</xdr:colOff>
      <xdr:row>6</xdr:row>
      <xdr:rowOff>91440</xdr:rowOff>
    </xdr:from>
    <xdr:to>
      <xdr:col>7</xdr:col>
      <xdr:colOff>411480</xdr:colOff>
      <xdr:row>7</xdr:row>
      <xdr:rowOff>152400</xdr:rowOff>
    </xdr:to>
    <xdr:sp macro="" textlink="">
      <xdr:nvSpPr>
        <xdr:cNvPr id="10314" name="Freeform 74">
          <a:extLst>
            <a:ext uri="{FF2B5EF4-FFF2-40B4-BE49-F238E27FC236}">
              <a16:creationId xmlns:a16="http://schemas.microsoft.com/office/drawing/2014/main" id="{7B1A8885-89C1-D5AC-7935-749489BEC228}"/>
            </a:ext>
          </a:extLst>
        </xdr:cNvPr>
        <xdr:cNvSpPr>
          <a:spLocks/>
        </xdr:cNvSpPr>
      </xdr:nvSpPr>
      <xdr:spPr bwMode="auto">
        <a:xfrm>
          <a:off x="4610100" y="1463040"/>
          <a:ext cx="3063240" cy="236220"/>
        </a:xfrm>
        <a:custGeom>
          <a:avLst/>
          <a:gdLst>
            <a:gd name="T0" fmla="*/ 0 w 314"/>
            <a:gd name="T1" fmla="*/ 25 h 25"/>
            <a:gd name="T2" fmla="*/ 0 w 314"/>
            <a:gd name="T3" fmla="*/ 0 h 25"/>
            <a:gd name="T4" fmla="*/ 314 w 314"/>
            <a:gd name="T5" fmla="*/ 0 h 25"/>
            <a:gd name="T6" fmla="*/ 314 w 314"/>
            <a:gd name="T7" fmla="*/ 7 h 25"/>
          </a:gdLst>
          <a:ahLst/>
          <a:cxnLst>
            <a:cxn ang="0">
              <a:pos x="T0" y="T1"/>
            </a:cxn>
            <a:cxn ang="0">
              <a:pos x="T2" y="T3"/>
            </a:cxn>
            <a:cxn ang="0">
              <a:pos x="T4" y="T5"/>
            </a:cxn>
            <a:cxn ang="0">
              <a:pos x="T6" y="T7"/>
            </a:cxn>
          </a:cxnLst>
          <a:rect l="0" t="0" r="r" b="b"/>
          <a:pathLst>
            <a:path w="314" h="25">
              <a:moveTo>
                <a:pt x="0" y="25"/>
              </a:moveTo>
              <a:lnTo>
                <a:pt x="0" y="0"/>
              </a:lnTo>
              <a:lnTo>
                <a:pt x="314" y="0"/>
              </a:lnTo>
              <a:lnTo>
                <a:pt x="314" y="7"/>
              </a:lnTo>
            </a:path>
          </a:pathLst>
        </a:custGeom>
        <a:noFill/>
        <a:ln w="19050" cmpd="sng">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6</xdr:col>
      <xdr:colOff>792480</xdr:colOff>
      <xdr:row>6</xdr:row>
      <xdr:rowOff>0</xdr:rowOff>
    </xdr:from>
    <xdr:to>
      <xdr:col>6</xdr:col>
      <xdr:colOff>792480</xdr:colOff>
      <xdr:row>6</xdr:row>
      <xdr:rowOff>76200</xdr:rowOff>
    </xdr:to>
    <xdr:sp macro="" textlink="">
      <xdr:nvSpPr>
        <xdr:cNvPr id="10315" name="Line 75">
          <a:extLst>
            <a:ext uri="{FF2B5EF4-FFF2-40B4-BE49-F238E27FC236}">
              <a16:creationId xmlns:a16="http://schemas.microsoft.com/office/drawing/2014/main" id="{B8AE2E90-6102-F81A-649C-90F660E64930}"/>
            </a:ext>
          </a:extLst>
        </xdr:cNvPr>
        <xdr:cNvSpPr>
          <a:spLocks noChangeShapeType="1"/>
        </xdr:cNvSpPr>
      </xdr:nvSpPr>
      <xdr:spPr bwMode="auto">
        <a:xfrm>
          <a:off x="6469380" y="1371600"/>
          <a:ext cx="0" cy="762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784860</xdr:colOff>
      <xdr:row>3</xdr:row>
      <xdr:rowOff>0</xdr:rowOff>
    </xdr:from>
    <xdr:to>
      <xdr:col>6</xdr:col>
      <xdr:colOff>792480</xdr:colOff>
      <xdr:row>4</xdr:row>
      <xdr:rowOff>45720</xdr:rowOff>
    </xdr:to>
    <xdr:sp macro="" textlink="">
      <xdr:nvSpPr>
        <xdr:cNvPr id="10316" name="Line 76">
          <a:extLst>
            <a:ext uri="{FF2B5EF4-FFF2-40B4-BE49-F238E27FC236}">
              <a16:creationId xmlns:a16="http://schemas.microsoft.com/office/drawing/2014/main" id="{3F4177A8-A0B0-D55C-3F0A-7C13C904FD68}"/>
            </a:ext>
          </a:extLst>
        </xdr:cNvPr>
        <xdr:cNvSpPr>
          <a:spLocks noChangeShapeType="1"/>
        </xdr:cNvSpPr>
      </xdr:nvSpPr>
      <xdr:spPr bwMode="auto">
        <a:xfrm flipH="1" flipV="1">
          <a:off x="6461760" y="800100"/>
          <a:ext cx="7620" cy="23622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8</xdr:row>
      <xdr:rowOff>91440</xdr:rowOff>
    </xdr:from>
    <xdr:to>
      <xdr:col>11</xdr:col>
      <xdr:colOff>152400</xdr:colOff>
      <xdr:row>12</xdr:row>
      <xdr:rowOff>106680</xdr:rowOff>
    </xdr:to>
    <xdr:grpSp>
      <xdr:nvGrpSpPr>
        <xdr:cNvPr id="10317" name="Group 77">
          <a:extLst>
            <a:ext uri="{FF2B5EF4-FFF2-40B4-BE49-F238E27FC236}">
              <a16:creationId xmlns:a16="http://schemas.microsoft.com/office/drawing/2014/main" id="{00282603-C8E8-1B2E-A53A-CD8EED6E49CB}"/>
            </a:ext>
          </a:extLst>
        </xdr:cNvPr>
        <xdr:cNvGrpSpPr>
          <a:grpSpLocks/>
        </xdr:cNvGrpSpPr>
      </xdr:nvGrpSpPr>
      <xdr:grpSpPr bwMode="auto">
        <a:xfrm>
          <a:off x="7996518" y="1830593"/>
          <a:ext cx="2581835" cy="732416"/>
          <a:chOff x="819" y="201"/>
          <a:chExt cx="266" cy="74"/>
        </a:xfrm>
      </xdr:grpSpPr>
      <xdr:sp macro="" textlink="">
        <xdr:nvSpPr>
          <xdr:cNvPr id="10318" name="Freeform 78">
            <a:extLst>
              <a:ext uri="{FF2B5EF4-FFF2-40B4-BE49-F238E27FC236}">
                <a16:creationId xmlns:a16="http://schemas.microsoft.com/office/drawing/2014/main" id="{497C9689-3522-51DF-7441-0A6279A18B8B}"/>
              </a:ext>
            </a:extLst>
          </xdr:cNvPr>
          <xdr:cNvSpPr>
            <a:spLocks/>
          </xdr:cNvSpPr>
        </xdr:nvSpPr>
        <xdr:spPr bwMode="auto">
          <a:xfrm>
            <a:off x="819" y="201"/>
            <a:ext cx="266" cy="74"/>
          </a:xfrm>
          <a:custGeom>
            <a:avLst/>
            <a:gdLst>
              <a:gd name="T0" fmla="*/ 0 w 207"/>
              <a:gd name="T1" fmla="*/ 126 h 126"/>
              <a:gd name="T2" fmla="*/ 207 w 207"/>
              <a:gd name="T3" fmla="*/ 126 h 126"/>
              <a:gd name="T4" fmla="*/ 207 w 207"/>
              <a:gd name="T5" fmla="*/ 0 h 126"/>
              <a:gd name="T6" fmla="*/ 195 w 207"/>
              <a:gd name="T7" fmla="*/ 0 h 126"/>
            </a:gdLst>
            <a:ahLst/>
            <a:cxnLst>
              <a:cxn ang="0">
                <a:pos x="T0" y="T1"/>
              </a:cxn>
              <a:cxn ang="0">
                <a:pos x="T2" y="T3"/>
              </a:cxn>
              <a:cxn ang="0">
                <a:pos x="T4" y="T5"/>
              </a:cxn>
              <a:cxn ang="0">
                <a:pos x="T6" y="T7"/>
              </a:cxn>
            </a:cxnLst>
            <a:rect l="0" t="0" r="r" b="b"/>
            <a:pathLst>
              <a:path w="207" h="126">
                <a:moveTo>
                  <a:pt x="0" y="126"/>
                </a:moveTo>
                <a:lnTo>
                  <a:pt x="207" y="126"/>
                </a:lnTo>
                <a:lnTo>
                  <a:pt x="207" y="0"/>
                </a:lnTo>
                <a:lnTo>
                  <a:pt x="195" y="0"/>
                </a:lnTo>
              </a:path>
            </a:pathLst>
          </a:custGeom>
          <a:noFill/>
          <a:ln w="19050" cmpd="sng">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10319" name="Line 79">
            <a:extLst>
              <a:ext uri="{FF2B5EF4-FFF2-40B4-BE49-F238E27FC236}">
                <a16:creationId xmlns:a16="http://schemas.microsoft.com/office/drawing/2014/main" id="{883D7B3A-E7C6-1F40-E74E-50703315D705}"/>
              </a:ext>
            </a:extLst>
          </xdr:cNvPr>
          <xdr:cNvSpPr>
            <a:spLocks noChangeShapeType="1"/>
          </xdr:cNvSpPr>
        </xdr:nvSpPr>
        <xdr:spPr bwMode="auto">
          <a:xfrm>
            <a:off x="1069" y="239"/>
            <a:ext cx="16"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clientData/>
  </xdr:twoCellAnchor>
  <xdr:twoCellAnchor>
    <xdr:from>
      <xdr:col>4</xdr:col>
      <xdr:colOff>594360</xdr:colOff>
      <xdr:row>8</xdr:row>
      <xdr:rowOff>76200</xdr:rowOff>
    </xdr:from>
    <xdr:to>
      <xdr:col>5</xdr:col>
      <xdr:colOff>236220</xdr:colOff>
      <xdr:row>13</xdr:row>
      <xdr:rowOff>45720</xdr:rowOff>
    </xdr:to>
    <xdr:sp macro="" textlink="">
      <xdr:nvSpPr>
        <xdr:cNvPr id="10320" name="Freeform 80">
          <a:extLst>
            <a:ext uri="{FF2B5EF4-FFF2-40B4-BE49-F238E27FC236}">
              <a16:creationId xmlns:a16="http://schemas.microsoft.com/office/drawing/2014/main" id="{EE97DA55-75EE-A17B-B525-DC7229B9419E}"/>
            </a:ext>
          </a:extLst>
        </xdr:cNvPr>
        <xdr:cNvSpPr>
          <a:spLocks/>
        </xdr:cNvSpPr>
      </xdr:nvSpPr>
      <xdr:spPr bwMode="auto">
        <a:xfrm>
          <a:off x="4899660" y="1798320"/>
          <a:ext cx="251460" cy="845820"/>
        </a:xfrm>
        <a:custGeom>
          <a:avLst/>
          <a:gdLst>
            <a:gd name="T0" fmla="*/ 2 w 24"/>
            <a:gd name="T1" fmla="*/ 88 h 88"/>
            <a:gd name="T2" fmla="*/ 24 w 24"/>
            <a:gd name="T3" fmla="*/ 88 h 88"/>
            <a:gd name="T4" fmla="*/ 24 w 24"/>
            <a:gd name="T5" fmla="*/ 0 h 88"/>
            <a:gd name="T6" fmla="*/ 0 w 24"/>
            <a:gd name="T7" fmla="*/ 0 h 88"/>
          </a:gdLst>
          <a:ahLst/>
          <a:cxnLst>
            <a:cxn ang="0">
              <a:pos x="T0" y="T1"/>
            </a:cxn>
            <a:cxn ang="0">
              <a:pos x="T2" y="T3"/>
            </a:cxn>
            <a:cxn ang="0">
              <a:pos x="T4" y="T5"/>
            </a:cxn>
            <a:cxn ang="0">
              <a:pos x="T6" y="T7"/>
            </a:cxn>
          </a:cxnLst>
          <a:rect l="0" t="0" r="r" b="b"/>
          <a:pathLst>
            <a:path w="24" h="88">
              <a:moveTo>
                <a:pt x="2" y="88"/>
              </a:moveTo>
              <a:lnTo>
                <a:pt x="24" y="88"/>
              </a:lnTo>
              <a:lnTo>
                <a:pt x="24" y="0"/>
              </a:lnTo>
              <a:lnTo>
                <a:pt x="0" y="0"/>
              </a:lnTo>
            </a:path>
          </a:pathLst>
        </a:custGeom>
        <a:noFill/>
        <a:ln w="19050" cmpd="sng">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5</xdr:col>
      <xdr:colOff>0</xdr:colOff>
      <xdr:row>10</xdr:row>
      <xdr:rowOff>91440</xdr:rowOff>
    </xdr:from>
    <xdr:to>
      <xdr:col>5</xdr:col>
      <xdr:colOff>213360</xdr:colOff>
      <xdr:row>10</xdr:row>
      <xdr:rowOff>91440</xdr:rowOff>
    </xdr:to>
    <xdr:sp macro="" textlink="">
      <xdr:nvSpPr>
        <xdr:cNvPr id="10321" name="Line 81">
          <a:extLst>
            <a:ext uri="{FF2B5EF4-FFF2-40B4-BE49-F238E27FC236}">
              <a16:creationId xmlns:a16="http://schemas.microsoft.com/office/drawing/2014/main" id="{2FFD04DF-4DED-83B0-1420-3194F40EBE6C}"/>
            </a:ext>
          </a:extLst>
        </xdr:cNvPr>
        <xdr:cNvSpPr>
          <a:spLocks noChangeShapeType="1"/>
        </xdr:cNvSpPr>
      </xdr:nvSpPr>
      <xdr:spPr bwMode="auto">
        <a:xfrm>
          <a:off x="4914900" y="2164080"/>
          <a:ext cx="21336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13</xdr:row>
      <xdr:rowOff>68580</xdr:rowOff>
    </xdr:from>
    <xdr:to>
      <xdr:col>8</xdr:col>
      <xdr:colOff>243840</xdr:colOff>
      <xdr:row>14</xdr:row>
      <xdr:rowOff>137160</xdr:rowOff>
    </xdr:to>
    <xdr:sp macro="" textlink="">
      <xdr:nvSpPr>
        <xdr:cNvPr id="10322" name="Freeform 82">
          <a:extLst>
            <a:ext uri="{FF2B5EF4-FFF2-40B4-BE49-F238E27FC236}">
              <a16:creationId xmlns:a16="http://schemas.microsoft.com/office/drawing/2014/main" id="{463640E4-5001-1671-9E17-003CD4B79561}"/>
            </a:ext>
          </a:extLst>
        </xdr:cNvPr>
        <xdr:cNvSpPr>
          <a:spLocks/>
        </xdr:cNvSpPr>
      </xdr:nvSpPr>
      <xdr:spPr bwMode="auto">
        <a:xfrm>
          <a:off x="7993380" y="2667000"/>
          <a:ext cx="243840" cy="243840"/>
        </a:xfrm>
        <a:custGeom>
          <a:avLst/>
          <a:gdLst>
            <a:gd name="T0" fmla="*/ 24 w 24"/>
            <a:gd name="T1" fmla="*/ 23 h 23"/>
            <a:gd name="T2" fmla="*/ 24 w 24"/>
            <a:gd name="T3" fmla="*/ 0 h 23"/>
            <a:gd name="T4" fmla="*/ 0 w 24"/>
            <a:gd name="T5" fmla="*/ 0 h 23"/>
          </a:gdLst>
          <a:ahLst/>
          <a:cxnLst>
            <a:cxn ang="0">
              <a:pos x="T0" y="T1"/>
            </a:cxn>
            <a:cxn ang="0">
              <a:pos x="T2" y="T3"/>
            </a:cxn>
            <a:cxn ang="0">
              <a:pos x="T4" y="T5"/>
            </a:cxn>
          </a:cxnLst>
          <a:rect l="0" t="0" r="r" b="b"/>
          <a:pathLst>
            <a:path w="24" h="23">
              <a:moveTo>
                <a:pt x="24" y="23"/>
              </a:moveTo>
              <a:lnTo>
                <a:pt x="24" y="0"/>
              </a:lnTo>
              <a:lnTo>
                <a:pt x="0" y="0"/>
              </a:lnTo>
            </a:path>
          </a:pathLst>
        </a:custGeom>
        <a:noFill/>
        <a:ln w="19050" cmpd="sng">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6</xdr:col>
      <xdr:colOff>792480</xdr:colOff>
      <xdr:row>4</xdr:row>
      <xdr:rowOff>45720</xdr:rowOff>
    </xdr:from>
    <xdr:to>
      <xdr:col>10</xdr:col>
      <xdr:colOff>312420</xdr:colOff>
      <xdr:row>7</xdr:row>
      <xdr:rowOff>152400</xdr:rowOff>
    </xdr:to>
    <xdr:sp macro="" textlink="">
      <xdr:nvSpPr>
        <xdr:cNvPr id="10323" name="Freeform 83">
          <a:extLst>
            <a:ext uri="{FF2B5EF4-FFF2-40B4-BE49-F238E27FC236}">
              <a16:creationId xmlns:a16="http://schemas.microsoft.com/office/drawing/2014/main" id="{253C1868-C7DC-DD8D-7DEC-919B0448EA46}"/>
            </a:ext>
          </a:extLst>
        </xdr:cNvPr>
        <xdr:cNvSpPr>
          <a:spLocks/>
        </xdr:cNvSpPr>
      </xdr:nvSpPr>
      <xdr:spPr bwMode="auto">
        <a:xfrm>
          <a:off x="6469380" y="1036320"/>
          <a:ext cx="3657600" cy="662940"/>
        </a:xfrm>
        <a:custGeom>
          <a:avLst/>
          <a:gdLst>
            <a:gd name="T0" fmla="*/ 375 w 375"/>
            <a:gd name="T1" fmla="*/ 69 h 69"/>
            <a:gd name="T2" fmla="*/ 375 w 375"/>
            <a:gd name="T3" fmla="*/ 0 h 69"/>
            <a:gd name="T4" fmla="*/ 0 w 375"/>
            <a:gd name="T5" fmla="*/ 0 h 69"/>
            <a:gd name="T6" fmla="*/ 0 w 375"/>
            <a:gd name="T7" fmla="*/ 13 h 69"/>
          </a:gdLst>
          <a:ahLst/>
          <a:cxnLst>
            <a:cxn ang="0">
              <a:pos x="T0" y="T1"/>
            </a:cxn>
            <a:cxn ang="0">
              <a:pos x="T2" y="T3"/>
            </a:cxn>
            <a:cxn ang="0">
              <a:pos x="T4" y="T5"/>
            </a:cxn>
            <a:cxn ang="0">
              <a:pos x="T6" y="T7"/>
            </a:cxn>
          </a:cxnLst>
          <a:rect l="0" t="0" r="r" b="b"/>
          <a:pathLst>
            <a:path w="375" h="69">
              <a:moveTo>
                <a:pt x="375" y="69"/>
              </a:moveTo>
              <a:lnTo>
                <a:pt x="375" y="0"/>
              </a:lnTo>
              <a:lnTo>
                <a:pt x="0" y="0"/>
              </a:lnTo>
              <a:lnTo>
                <a:pt x="0" y="13"/>
              </a:lnTo>
            </a:path>
          </a:pathLst>
        </a:custGeom>
        <a:noFill/>
        <a:ln w="19050" cmpd="sng">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426720</xdr:colOff>
      <xdr:row>8</xdr:row>
      <xdr:rowOff>0</xdr:rowOff>
    </xdr:from>
    <xdr:to>
      <xdr:col>7</xdr:col>
      <xdr:colOff>426720</xdr:colOff>
      <xdr:row>12</xdr:row>
      <xdr:rowOff>0</xdr:rowOff>
    </xdr:to>
    <xdr:sp macro="" textlink="">
      <xdr:nvSpPr>
        <xdr:cNvPr id="11265" name="Line 1">
          <a:extLst>
            <a:ext uri="{FF2B5EF4-FFF2-40B4-BE49-F238E27FC236}">
              <a16:creationId xmlns:a16="http://schemas.microsoft.com/office/drawing/2014/main" id="{C5362659-0DF0-05A1-1693-68DE421E684F}"/>
            </a:ext>
          </a:extLst>
        </xdr:cNvPr>
        <xdr:cNvSpPr>
          <a:spLocks noChangeShapeType="1"/>
        </xdr:cNvSpPr>
      </xdr:nvSpPr>
      <xdr:spPr bwMode="auto">
        <a:xfrm>
          <a:off x="7688580" y="1722120"/>
          <a:ext cx="0" cy="70104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9</xdr:row>
      <xdr:rowOff>106680</xdr:rowOff>
    </xdr:from>
    <xdr:to>
      <xdr:col>7</xdr:col>
      <xdr:colOff>426720</xdr:colOff>
      <xdr:row>42</xdr:row>
      <xdr:rowOff>91440</xdr:rowOff>
    </xdr:to>
    <xdr:sp macro="" textlink="">
      <xdr:nvSpPr>
        <xdr:cNvPr id="11266" name="Freeform 2">
          <a:extLst>
            <a:ext uri="{FF2B5EF4-FFF2-40B4-BE49-F238E27FC236}">
              <a16:creationId xmlns:a16="http://schemas.microsoft.com/office/drawing/2014/main" id="{28511B89-25E5-A0C7-E610-935EBD50F81C}"/>
            </a:ext>
          </a:extLst>
        </xdr:cNvPr>
        <xdr:cNvSpPr>
          <a:spLocks/>
        </xdr:cNvSpPr>
      </xdr:nvSpPr>
      <xdr:spPr bwMode="auto">
        <a:xfrm>
          <a:off x="4914900" y="2004060"/>
          <a:ext cx="2773680" cy="5768340"/>
        </a:xfrm>
        <a:custGeom>
          <a:avLst/>
          <a:gdLst>
            <a:gd name="T0" fmla="*/ 0 w 377"/>
            <a:gd name="T1" fmla="*/ 198 h 198"/>
            <a:gd name="T2" fmla="*/ 73 w 377"/>
            <a:gd name="T3" fmla="*/ 198 h 198"/>
            <a:gd name="T4" fmla="*/ 73 w 377"/>
            <a:gd name="T5" fmla="*/ 0 h 198"/>
            <a:gd name="T6" fmla="*/ 377 w 377"/>
            <a:gd name="T7" fmla="*/ 0 h 198"/>
            <a:gd name="T8" fmla="*/ 377 w 377"/>
            <a:gd name="T9" fmla="*/ 9 h 198"/>
          </a:gdLst>
          <a:ahLst/>
          <a:cxnLst>
            <a:cxn ang="0">
              <a:pos x="T0" y="T1"/>
            </a:cxn>
            <a:cxn ang="0">
              <a:pos x="T2" y="T3"/>
            </a:cxn>
            <a:cxn ang="0">
              <a:pos x="T4" y="T5"/>
            </a:cxn>
            <a:cxn ang="0">
              <a:pos x="T6" y="T7"/>
            </a:cxn>
            <a:cxn ang="0">
              <a:pos x="T8" y="T9"/>
            </a:cxn>
          </a:cxnLst>
          <a:rect l="0" t="0" r="r" b="b"/>
          <a:pathLst>
            <a:path w="377" h="198">
              <a:moveTo>
                <a:pt x="0" y="198"/>
              </a:moveTo>
              <a:lnTo>
                <a:pt x="73" y="198"/>
              </a:lnTo>
              <a:lnTo>
                <a:pt x="73" y="0"/>
              </a:lnTo>
              <a:lnTo>
                <a:pt x="377" y="0"/>
              </a:lnTo>
              <a:lnTo>
                <a:pt x="377" y="9"/>
              </a:lnTo>
            </a:path>
          </a:pathLst>
        </a:custGeom>
        <a:noFill/>
        <a:ln w="19050" cmpd="sng">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4</xdr:col>
      <xdr:colOff>342900</xdr:colOff>
      <xdr:row>32</xdr:row>
      <xdr:rowOff>0</xdr:rowOff>
    </xdr:from>
    <xdr:to>
      <xdr:col>4</xdr:col>
      <xdr:colOff>342900</xdr:colOff>
      <xdr:row>32</xdr:row>
      <xdr:rowOff>0</xdr:rowOff>
    </xdr:to>
    <xdr:sp macro="" textlink="">
      <xdr:nvSpPr>
        <xdr:cNvPr id="11267" name="Line 3">
          <a:extLst>
            <a:ext uri="{FF2B5EF4-FFF2-40B4-BE49-F238E27FC236}">
              <a16:creationId xmlns:a16="http://schemas.microsoft.com/office/drawing/2014/main" id="{ED0482DE-602E-2CEF-53D9-D122AF14DA9D}"/>
            </a:ext>
          </a:extLst>
        </xdr:cNvPr>
        <xdr:cNvSpPr>
          <a:spLocks noChangeShapeType="1"/>
        </xdr:cNvSpPr>
      </xdr:nvSpPr>
      <xdr:spPr bwMode="auto">
        <a:xfrm>
          <a:off x="4648200" y="592836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106680</xdr:colOff>
      <xdr:row>32</xdr:row>
      <xdr:rowOff>0</xdr:rowOff>
    </xdr:from>
    <xdr:to>
      <xdr:col>4</xdr:col>
      <xdr:colOff>342900</xdr:colOff>
      <xdr:row>32</xdr:row>
      <xdr:rowOff>129540</xdr:rowOff>
    </xdr:to>
    <xdr:grpSp>
      <xdr:nvGrpSpPr>
        <xdr:cNvPr id="11268" name="Group 4">
          <a:extLst>
            <a:ext uri="{FF2B5EF4-FFF2-40B4-BE49-F238E27FC236}">
              <a16:creationId xmlns:a16="http://schemas.microsoft.com/office/drawing/2014/main" id="{B0F40E33-FE61-7E67-AA39-F6FEFB8A0CCB}"/>
            </a:ext>
          </a:extLst>
        </xdr:cNvPr>
        <xdr:cNvGrpSpPr>
          <a:grpSpLocks/>
        </xdr:cNvGrpSpPr>
      </xdr:nvGrpSpPr>
      <xdr:grpSpPr bwMode="auto">
        <a:xfrm>
          <a:off x="2580939" y="6042212"/>
          <a:ext cx="2065020" cy="129540"/>
          <a:chOff x="264" y="559"/>
          <a:chExt cx="215" cy="15"/>
        </a:xfrm>
      </xdr:grpSpPr>
      <xdr:sp macro="" textlink="">
        <xdr:nvSpPr>
          <xdr:cNvPr id="11269" name="Line 5">
            <a:extLst>
              <a:ext uri="{FF2B5EF4-FFF2-40B4-BE49-F238E27FC236}">
                <a16:creationId xmlns:a16="http://schemas.microsoft.com/office/drawing/2014/main" id="{F6DA1517-9786-374D-C852-621AFE177012}"/>
              </a:ext>
            </a:extLst>
          </xdr:cNvPr>
          <xdr:cNvSpPr>
            <a:spLocks noChangeShapeType="1"/>
          </xdr:cNvSpPr>
        </xdr:nvSpPr>
        <xdr:spPr bwMode="auto">
          <a:xfrm>
            <a:off x="478" y="559"/>
            <a:ext cx="0" cy="1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1270" name="Line 6">
            <a:extLst>
              <a:ext uri="{FF2B5EF4-FFF2-40B4-BE49-F238E27FC236}">
                <a16:creationId xmlns:a16="http://schemas.microsoft.com/office/drawing/2014/main" id="{A760F0D9-6110-D56B-C4C6-987B4AE49B0C}"/>
              </a:ext>
            </a:extLst>
          </xdr:cNvPr>
          <xdr:cNvSpPr>
            <a:spLocks noChangeShapeType="1"/>
          </xdr:cNvSpPr>
        </xdr:nvSpPr>
        <xdr:spPr bwMode="auto">
          <a:xfrm flipH="1" flipV="1">
            <a:off x="264" y="572"/>
            <a:ext cx="215" cy="1"/>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0</xdr:colOff>
      <xdr:row>39</xdr:row>
      <xdr:rowOff>106680</xdr:rowOff>
    </xdr:from>
    <xdr:to>
      <xdr:col>3</xdr:col>
      <xdr:colOff>0</xdr:colOff>
      <xdr:row>39</xdr:row>
      <xdr:rowOff>106680</xdr:rowOff>
    </xdr:to>
    <xdr:sp macro="" textlink="">
      <xdr:nvSpPr>
        <xdr:cNvPr id="11271" name="Line 7">
          <a:extLst>
            <a:ext uri="{FF2B5EF4-FFF2-40B4-BE49-F238E27FC236}">
              <a16:creationId xmlns:a16="http://schemas.microsoft.com/office/drawing/2014/main" id="{4B6E665D-975A-706E-BE43-1627E6BDCAD5}"/>
            </a:ext>
          </a:extLst>
        </xdr:cNvPr>
        <xdr:cNvSpPr>
          <a:spLocks noChangeShapeType="1"/>
        </xdr:cNvSpPr>
      </xdr:nvSpPr>
      <xdr:spPr bwMode="auto">
        <a:xfrm>
          <a:off x="2476500" y="726186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502920</xdr:colOff>
      <xdr:row>32</xdr:row>
      <xdr:rowOff>68580</xdr:rowOff>
    </xdr:from>
    <xdr:to>
      <xdr:col>3</xdr:col>
      <xdr:colOff>114300</xdr:colOff>
      <xdr:row>36</xdr:row>
      <xdr:rowOff>91440</xdr:rowOff>
    </xdr:to>
    <xdr:grpSp>
      <xdr:nvGrpSpPr>
        <xdr:cNvPr id="11272" name="Group 8">
          <a:extLst>
            <a:ext uri="{FF2B5EF4-FFF2-40B4-BE49-F238E27FC236}">
              <a16:creationId xmlns:a16="http://schemas.microsoft.com/office/drawing/2014/main" id="{CAD19F04-2493-0861-388C-5AFFD79FC782}"/>
            </a:ext>
          </a:extLst>
        </xdr:cNvPr>
        <xdr:cNvGrpSpPr>
          <a:grpSpLocks/>
        </xdr:cNvGrpSpPr>
      </xdr:nvGrpSpPr>
      <xdr:grpSpPr bwMode="auto">
        <a:xfrm>
          <a:off x="2466191" y="6110792"/>
          <a:ext cx="122368" cy="740036"/>
          <a:chOff x="252" y="568"/>
          <a:chExt cx="13" cy="56"/>
        </a:xfrm>
      </xdr:grpSpPr>
      <xdr:sp macro="" textlink="">
        <xdr:nvSpPr>
          <xdr:cNvPr id="11273" name="Line 9">
            <a:extLst>
              <a:ext uri="{FF2B5EF4-FFF2-40B4-BE49-F238E27FC236}">
                <a16:creationId xmlns:a16="http://schemas.microsoft.com/office/drawing/2014/main" id="{FC15630E-3A7D-BF16-6EB4-3095E1385529}"/>
              </a:ext>
            </a:extLst>
          </xdr:cNvPr>
          <xdr:cNvSpPr>
            <a:spLocks noChangeShapeType="1"/>
          </xdr:cNvSpPr>
        </xdr:nvSpPr>
        <xdr:spPr bwMode="auto">
          <a:xfrm flipV="1">
            <a:off x="253" y="569"/>
            <a:ext cx="11"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1274" name="Line 10">
            <a:extLst>
              <a:ext uri="{FF2B5EF4-FFF2-40B4-BE49-F238E27FC236}">
                <a16:creationId xmlns:a16="http://schemas.microsoft.com/office/drawing/2014/main" id="{18C37875-9B98-F7F1-FC2D-ED5EFACD07FF}"/>
              </a:ext>
            </a:extLst>
          </xdr:cNvPr>
          <xdr:cNvSpPr>
            <a:spLocks noChangeShapeType="1"/>
          </xdr:cNvSpPr>
        </xdr:nvSpPr>
        <xdr:spPr bwMode="auto">
          <a:xfrm flipV="1">
            <a:off x="253" y="587"/>
            <a:ext cx="11"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1275" name="Line 11">
            <a:extLst>
              <a:ext uri="{FF2B5EF4-FFF2-40B4-BE49-F238E27FC236}">
                <a16:creationId xmlns:a16="http://schemas.microsoft.com/office/drawing/2014/main" id="{4D8C2B96-FD1F-0D65-30F7-CE93904E7350}"/>
              </a:ext>
            </a:extLst>
          </xdr:cNvPr>
          <xdr:cNvSpPr>
            <a:spLocks noChangeShapeType="1"/>
          </xdr:cNvSpPr>
        </xdr:nvSpPr>
        <xdr:spPr bwMode="auto">
          <a:xfrm>
            <a:off x="252" y="605"/>
            <a:ext cx="13"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1276" name="Line 12">
            <a:extLst>
              <a:ext uri="{FF2B5EF4-FFF2-40B4-BE49-F238E27FC236}">
                <a16:creationId xmlns:a16="http://schemas.microsoft.com/office/drawing/2014/main" id="{32991325-7DF8-EA84-A59F-F4512D6E7BD0}"/>
              </a:ext>
            </a:extLst>
          </xdr:cNvPr>
          <xdr:cNvSpPr>
            <a:spLocks noChangeShapeType="1"/>
          </xdr:cNvSpPr>
        </xdr:nvSpPr>
        <xdr:spPr bwMode="auto">
          <a:xfrm flipH="1">
            <a:off x="264" y="568"/>
            <a:ext cx="1" cy="56"/>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1277" name="Line 13">
            <a:extLst>
              <a:ext uri="{FF2B5EF4-FFF2-40B4-BE49-F238E27FC236}">
                <a16:creationId xmlns:a16="http://schemas.microsoft.com/office/drawing/2014/main" id="{B0FB915B-D700-2AAC-5CE9-E26559BED6AE}"/>
              </a:ext>
            </a:extLst>
          </xdr:cNvPr>
          <xdr:cNvSpPr>
            <a:spLocks noChangeShapeType="1"/>
          </xdr:cNvSpPr>
        </xdr:nvSpPr>
        <xdr:spPr bwMode="auto">
          <a:xfrm flipV="1">
            <a:off x="252" y="623"/>
            <a:ext cx="13"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0</xdr:colOff>
      <xdr:row>37</xdr:row>
      <xdr:rowOff>7620</xdr:rowOff>
    </xdr:from>
    <xdr:to>
      <xdr:col>4</xdr:col>
      <xdr:colOff>335280</xdr:colOff>
      <xdr:row>39</xdr:row>
      <xdr:rowOff>91440</xdr:rowOff>
    </xdr:to>
    <xdr:grpSp>
      <xdr:nvGrpSpPr>
        <xdr:cNvPr id="11278" name="Group 14">
          <a:extLst>
            <a:ext uri="{FF2B5EF4-FFF2-40B4-BE49-F238E27FC236}">
              <a16:creationId xmlns:a16="http://schemas.microsoft.com/office/drawing/2014/main" id="{0A2399E4-4F5E-A898-B26A-B23EEE11BF23}"/>
            </a:ext>
          </a:extLst>
        </xdr:cNvPr>
        <xdr:cNvGrpSpPr>
          <a:grpSpLocks/>
        </xdr:cNvGrpSpPr>
      </xdr:nvGrpSpPr>
      <xdr:grpSpPr bwMode="auto">
        <a:xfrm>
          <a:off x="2474259" y="6946302"/>
          <a:ext cx="2164080" cy="442409"/>
          <a:chOff x="253" y="667"/>
          <a:chExt cx="222" cy="44"/>
        </a:xfrm>
      </xdr:grpSpPr>
      <xdr:grpSp>
        <xdr:nvGrpSpPr>
          <xdr:cNvPr id="11279" name="Group 15">
            <a:extLst>
              <a:ext uri="{FF2B5EF4-FFF2-40B4-BE49-F238E27FC236}">
                <a16:creationId xmlns:a16="http://schemas.microsoft.com/office/drawing/2014/main" id="{FE40D105-A95E-DC90-135D-C8BA9E8E7677}"/>
              </a:ext>
            </a:extLst>
          </xdr:cNvPr>
          <xdr:cNvGrpSpPr>
            <a:grpSpLocks/>
          </xdr:cNvGrpSpPr>
        </xdr:nvGrpSpPr>
        <xdr:grpSpPr bwMode="auto">
          <a:xfrm>
            <a:off x="253" y="693"/>
            <a:ext cx="13" cy="18"/>
            <a:chOff x="301" y="720"/>
            <a:chExt cx="13" cy="18"/>
          </a:xfrm>
        </xdr:grpSpPr>
        <xdr:sp macro="" textlink="">
          <xdr:nvSpPr>
            <xdr:cNvPr id="11280" name="Line 16">
              <a:extLst>
                <a:ext uri="{FF2B5EF4-FFF2-40B4-BE49-F238E27FC236}">
                  <a16:creationId xmlns:a16="http://schemas.microsoft.com/office/drawing/2014/main" id="{5C88EBC3-B72E-2EA4-CCEC-446C3E2A87CC}"/>
                </a:ext>
              </a:extLst>
            </xdr:cNvPr>
            <xdr:cNvSpPr>
              <a:spLocks noChangeShapeType="1"/>
            </xdr:cNvSpPr>
          </xdr:nvSpPr>
          <xdr:spPr bwMode="auto">
            <a:xfrm flipV="1">
              <a:off x="301" y="720"/>
              <a:ext cx="12"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1281" name="Line 17">
              <a:extLst>
                <a:ext uri="{FF2B5EF4-FFF2-40B4-BE49-F238E27FC236}">
                  <a16:creationId xmlns:a16="http://schemas.microsoft.com/office/drawing/2014/main" id="{50C3A7BB-7954-1776-F54C-B887980D586A}"/>
                </a:ext>
              </a:extLst>
            </xdr:cNvPr>
            <xdr:cNvSpPr>
              <a:spLocks noChangeShapeType="1"/>
            </xdr:cNvSpPr>
          </xdr:nvSpPr>
          <xdr:spPr bwMode="auto">
            <a:xfrm flipV="1">
              <a:off x="302" y="738"/>
              <a:ext cx="12"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1282" name="Line 18">
              <a:extLst>
                <a:ext uri="{FF2B5EF4-FFF2-40B4-BE49-F238E27FC236}">
                  <a16:creationId xmlns:a16="http://schemas.microsoft.com/office/drawing/2014/main" id="{C5753061-C342-69E7-145E-31098B9B763B}"/>
                </a:ext>
              </a:extLst>
            </xdr:cNvPr>
            <xdr:cNvSpPr>
              <a:spLocks noChangeShapeType="1"/>
            </xdr:cNvSpPr>
          </xdr:nvSpPr>
          <xdr:spPr bwMode="auto">
            <a:xfrm>
              <a:off x="313" y="720"/>
              <a:ext cx="0" cy="17"/>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sp macro="" textlink="">
        <xdr:nvSpPr>
          <xdr:cNvPr id="11283" name="Line 19">
            <a:extLst>
              <a:ext uri="{FF2B5EF4-FFF2-40B4-BE49-F238E27FC236}">
                <a16:creationId xmlns:a16="http://schemas.microsoft.com/office/drawing/2014/main" id="{FE8157CC-0CBE-D6E9-40F5-934A66F74619}"/>
              </a:ext>
            </a:extLst>
          </xdr:cNvPr>
          <xdr:cNvSpPr>
            <a:spLocks noChangeShapeType="1"/>
          </xdr:cNvSpPr>
        </xdr:nvSpPr>
        <xdr:spPr bwMode="auto">
          <a:xfrm>
            <a:off x="475" y="667"/>
            <a:ext cx="0" cy="33"/>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1284" name="Line 20">
            <a:extLst>
              <a:ext uri="{FF2B5EF4-FFF2-40B4-BE49-F238E27FC236}">
                <a16:creationId xmlns:a16="http://schemas.microsoft.com/office/drawing/2014/main" id="{0C955431-BF27-37F5-9039-72D98306A58A}"/>
              </a:ext>
            </a:extLst>
          </xdr:cNvPr>
          <xdr:cNvSpPr>
            <a:spLocks noChangeShapeType="1"/>
          </xdr:cNvSpPr>
        </xdr:nvSpPr>
        <xdr:spPr bwMode="auto">
          <a:xfrm flipH="1">
            <a:off x="264" y="700"/>
            <a:ext cx="211" cy="1"/>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clientData/>
  </xdr:twoCellAnchor>
  <xdr:twoCellAnchor>
    <xdr:from>
      <xdr:col>5</xdr:col>
      <xdr:colOff>0</xdr:colOff>
      <xdr:row>34</xdr:row>
      <xdr:rowOff>106680</xdr:rowOff>
    </xdr:from>
    <xdr:to>
      <xdr:col>5</xdr:col>
      <xdr:colOff>236220</xdr:colOff>
      <xdr:row>41</xdr:row>
      <xdr:rowOff>106680</xdr:rowOff>
    </xdr:to>
    <xdr:sp macro="" textlink="">
      <xdr:nvSpPr>
        <xdr:cNvPr id="11285" name="Freeform 21">
          <a:extLst>
            <a:ext uri="{FF2B5EF4-FFF2-40B4-BE49-F238E27FC236}">
              <a16:creationId xmlns:a16="http://schemas.microsoft.com/office/drawing/2014/main" id="{F38A12C9-7998-6360-00CE-49ADA7AC04D5}"/>
            </a:ext>
          </a:extLst>
        </xdr:cNvPr>
        <xdr:cNvSpPr>
          <a:spLocks/>
        </xdr:cNvSpPr>
      </xdr:nvSpPr>
      <xdr:spPr bwMode="auto">
        <a:xfrm>
          <a:off x="4914900" y="6385560"/>
          <a:ext cx="236220" cy="1226820"/>
        </a:xfrm>
        <a:custGeom>
          <a:avLst/>
          <a:gdLst>
            <a:gd name="T0" fmla="*/ 1 w 26"/>
            <a:gd name="T1" fmla="*/ 62 h 62"/>
            <a:gd name="T2" fmla="*/ 26 w 26"/>
            <a:gd name="T3" fmla="*/ 62 h 62"/>
            <a:gd name="T4" fmla="*/ 26 w 26"/>
            <a:gd name="T5" fmla="*/ 0 h 62"/>
            <a:gd name="T6" fmla="*/ 0 w 26"/>
            <a:gd name="T7" fmla="*/ 0 h 62"/>
          </a:gdLst>
          <a:ahLst/>
          <a:cxnLst>
            <a:cxn ang="0">
              <a:pos x="T0" y="T1"/>
            </a:cxn>
            <a:cxn ang="0">
              <a:pos x="T2" y="T3"/>
            </a:cxn>
            <a:cxn ang="0">
              <a:pos x="T4" y="T5"/>
            </a:cxn>
            <a:cxn ang="0">
              <a:pos x="T6" y="T7"/>
            </a:cxn>
          </a:cxnLst>
          <a:rect l="0" t="0" r="r" b="b"/>
          <a:pathLst>
            <a:path w="26" h="62">
              <a:moveTo>
                <a:pt x="1" y="62"/>
              </a:moveTo>
              <a:lnTo>
                <a:pt x="26" y="62"/>
              </a:lnTo>
              <a:lnTo>
                <a:pt x="26" y="0"/>
              </a:lnTo>
              <a:lnTo>
                <a:pt x="0" y="0"/>
              </a:lnTo>
            </a:path>
          </a:pathLst>
        </a:custGeom>
        <a:noFill/>
        <a:ln w="19050" cmpd="sng">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5</xdr:col>
      <xdr:colOff>0</xdr:colOff>
      <xdr:row>36</xdr:row>
      <xdr:rowOff>76200</xdr:rowOff>
    </xdr:from>
    <xdr:to>
      <xdr:col>5</xdr:col>
      <xdr:colOff>213360</xdr:colOff>
      <xdr:row>36</xdr:row>
      <xdr:rowOff>76200</xdr:rowOff>
    </xdr:to>
    <xdr:sp macro="" textlink="">
      <xdr:nvSpPr>
        <xdr:cNvPr id="11286" name="Line 22">
          <a:extLst>
            <a:ext uri="{FF2B5EF4-FFF2-40B4-BE49-F238E27FC236}">
              <a16:creationId xmlns:a16="http://schemas.microsoft.com/office/drawing/2014/main" id="{BCA622EA-5D22-6D45-4119-F36845587AE9}"/>
            </a:ext>
          </a:extLst>
        </xdr:cNvPr>
        <xdr:cNvSpPr>
          <a:spLocks noChangeShapeType="1"/>
        </xdr:cNvSpPr>
      </xdr:nvSpPr>
      <xdr:spPr bwMode="auto">
        <a:xfrm flipV="1">
          <a:off x="4914900" y="6705600"/>
          <a:ext cx="21336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27</xdr:row>
      <xdr:rowOff>7620</xdr:rowOff>
    </xdr:from>
    <xdr:to>
      <xdr:col>4</xdr:col>
      <xdr:colOff>381000</xdr:colOff>
      <xdr:row>29</xdr:row>
      <xdr:rowOff>76200</xdr:rowOff>
    </xdr:to>
    <xdr:grpSp>
      <xdr:nvGrpSpPr>
        <xdr:cNvPr id="11287" name="Group 23">
          <a:extLst>
            <a:ext uri="{FF2B5EF4-FFF2-40B4-BE49-F238E27FC236}">
              <a16:creationId xmlns:a16="http://schemas.microsoft.com/office/drawing/2014/main" id="{8205B9EC-03A2-0C35-5D71-4F6CAA1A2404}"/>
            </a:ext>
          </a:extLst>
        </xdr:cNvPr>
        <xdr:cNvGrpSpPr>
          <a:grpSpLocks/>
        </xdr:cNvGrpSpPr>
      </xdr:nvGrpSpPr>
      <xdr:grpSpPr bwMode="auto">
        <a:xfrm>
          <a:off x="2474259" y="5153361"/>
          <a:ext cx="2209800" cy="427168"/>
          <a:chOff x="253" y="472"/>
          <a:chExt cx="227" cy="43"/>
        </a:xfrm>
      </xdr:grpSpPr>
      <xdr:grpSp>
        <xdr:nvGrpSpPr>
          <xdr:cNvPr id="11288" name="Group 24">
            <a:extLst>
              <a:ext uri="{FF2B5EF4-FFF2-40B4-BE49-F238E27FC236}">
                <a16:creationId xmlns:a16="http://schemas.microsoft.com/office/drawing/2014/main" id="{955729BA-ECF1-F79A-3CE7-3C3F8B8E9C40}"/>
              </a:ext>
            </a:extLst>
          </xdr:cNvPr>
          <xdr:cNvGrpSpPr>
            <a:grpSpLocks/>
          </xdr:cNvGrpSpPr>
        </xdr:nvGrpSpPr>
        <xdr:grpSpPr bwMode="auto">
          <a:xfrm>
            <a:off x="253" y="478"/>
            <a:ext cx="13" cy="37"/>
            <a:chOff x="268" y="478"/>
            <a:chExt cx="13" cy="37"/>
          </a:xfrm>
        </xdr:grpSpPr>
        <xdr:sp macro="" textlink="">
          <xdr:nvSpPr>
            <xdr:cNvPr id="11289" name="Line 25">
              <a:extLst>
                <a:ext uri="{FF2B5EF4-FFF2-40B4-BE49-F238E27FC236}">
                  <a16:creationId xmlns:a16="http://schemas.microsoft.com/office/drawing/2014/main" id="{B2F1B636-7E47-60D1-D1DD-AEFCFE45DEEC}"/>
                </a:ext>
              </a:extLst>
            </xdr:cNvPr>
            <xdr:cNvSpPr>
              <a:spLocks noChangeShapeType="1"/>
            </xdr:cNvSpPr>
          </xdr:nvSpPr>
          <xdr:spPr bwMode="auto">
            <a:xfrm flipV="1">
              <a:off x="269" y="479"/>
              <a:ext cx="11"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1290" name="Line 26">
              <a:extLst>
                <a:ext uri="{FF2B5EF4-FFF2-40B4-BE49-F238E27FC236}">
                  <a16:creationId xmlns:a16="http://schemas.microsoft.com/office/drawing/2014/main" id="{63F6C1F4-A166-7113-7B9D-0780CD23C67D}"/>
                </a:ext>
              </a:extLst>
            </xdr:cNvPr>
            <xdr:cNvSpPr>
              <a:spLocks noChangeShapeType="1"/>
            </xdr:cNvSpPr>
          </xdr:nvSpPr>
          <xdr:spPr bwMode="auto">
            <a:xfrm flipV="1">
              <a:off x="269" y="497"/>
              <a:ext cx="11"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1291" name="Line 27">
              <a:extLst>
                <a:ext uri="{FF2B5EF4-FFF2-40B4-BE49-F238E27FC236}">
                  <a16:creationId xmlns:a16="http://schemas.microsoft.com/office/drawing/2014/main" id="{8D76DBD3-837F-5408-B1A5-E51D3345C0AD}"/>
                </a:ext>
              </a:extLst>
            </xdr:cNvPr>
            <xdr:cNvSpPr>
              <a:spLocks noChangeShapeType="1"/>
            </xdr:cNvSpPr>
          </xdr:nvSpPr>
          <xdr:spPr bwMode="auto">
            <a:xfrm>
              <a:off x="268" y="515"/>
              <a:ext cx="13"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1292" name="Line 28">
              <a:extLst>
                <a:ext uri="{FF2B5EF4-FFF2-40B4-BE49-F238E27FC236}">
                  <a16:creationId xmlns:a16="http://schemas.microsoft.com/office/drawing/2014/main" id="{F463A564-D2E2-8B88-7A4C-21BEA4DF669A}"/>
                </a:ext>
              </a:extLst>
            </xdr:cNvPr>
            <xdr:cNvSpPr>
              <a:spLocks noChangeShapeType="1"/>
            </xdr:cNvSpPr>
          </xdr:nvSpPr>
          <xdr:spPr bwMode="auto">
            <a:xfrm>
              <a:off x="281" y="478"/>
              <a:ext cx="0" cy="37"/>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1293" name="Group 29">
            <a:extLst>
              <a:ext uri="{FF2B5EF4-FFF2-40B4-BE49-F238E27FC236}">
                <a16:creationId xmlns:a16="http://schemas.microsoft.com/office/drawing/2014/main" id="{03E50A3A-0E4B-FF9D-DD3E-A0E6E4D5FBE1}"/>
              </a:ext>
            </a:extLst>
          </xdr:cNvPr>
          <xdr:cNvGrpSpPr>
            <a:grpSpLocks/>
          </xdr:cNvGrpSpPr>
        </xdr:nvGrpSpPr>
        <xdr:grpSpPr bwMode="auto">
          <a:xfrm>
            <a:off x="265" y="472"/>
            <a:ext cx="215" cy="15"/>
            <a:chOff x="264" y="559"/>
            <a:chExt cx="215" cy="15"/>
          </a:xfrm>
        </xdr:grpSpPr>
        <xdr:sp macro="" textlink="">
          <xdr:nvSpPr>
            <xdr:cNvPr id="11294" name="Line 30">
              <a:extLst>
                <a:ext uri="{FF2B5EF4-FFF2-40B4-BE49-F238E27FC236}">
                  <a16:creationId xmlns:a16="http://schemas.microsoft.com/office/drawing/2014/main" id="{6BACCD97-CCA2-99CE-3C8A-508BC32AF5A3}"/>
                </a:ext>
              </a:extLst>
            </xdr:cNvPr>
            <xdr:cNvSpPr>
              <a:spLocks noChangeShapeType="1"/>
            </xdr:cNvSpPr>
          </xdr:nvSpPr>
          <xdr:spPr bwMode="auto">
            <a:xfrm>
              <a:off x="478" y="559"/>
              <a:ext cx="0" cy="1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1295" name="Line 31">
              <a:extLst>
                <a:ext uri="{FF2B5EF4-FFF2-40B4-BE49-F238E27FC236}">
                  <a16:creationId xmlns:a16="http://schemas.microsoft.com/office/drawing/2014/main" id="{0ADB3C0B-31B7-C204-AA13-A4EB2538C0FC}"/>
                </a:ext>
              </a:extLst>
            </xdr:cNvPr>
            <xdr:cNvSpPr>
              <a:spLocks noChangeShapeType="1"/>
            </xdr:cNvSpPr>
          </xdr:nvSpPr>
          <xdr:spPr bwMode="auto">
            <a:xfrm flipH="1" flipV="1">
              <a:off x="264" y="572"/>
              <a:ext cx="215" cy="1"/>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clientData/>
  </xdr:twoCellAnchor>
  <xdr:twoCellAnchor>
    <xdr:from>
      <xdr:col>7</xdr:col>
      <xdr:colOff>723900</xdr:colOff>
      <xdr:row>24</xdr:row>
      <xdr:rowOff>68580</xdr:rowOff>
    </xdr:from>
    <xdr:to>
      <xdr:col>8</xdr:col>
      <xdr:colOff>144780</xdr:colOff>
      <xdr:row>25</xdr:row>
      <xdr:rowOff>68580</xdr:rowOff>
    </xdr:to>
    <xdr:grpSp>
      <xdr:nvGrpSpPr>
        <xdr:cNvPr id="11296" name="Group 32">
          <a:extLst>
            <a:ext uri="{FF2B5EF4-FFF2-40B4-BE49-F238E27FC236}">
              <a16:creationId xmlns:a16="http://schemas.microsoft.com/office/drawing/2014/main" id="{9B712F45-5DC8-5F43-95EF-78F3D6B2390F}"/>
            </a:ext>
          </a:extLst>
        </xdr:cNvPr>
        <xdr:cNvGrpSpPr>
          <a:grpSpLocks/>
        </xdr:cNvGrpSpPr>
      </xdr:nvGrpSpPr>
      <xdr:grpSpPr bwMode="auto">
        <a:xfrm>
          <a:off x="7985312" y="4676439"/>
          <a:ext cx="155986" cy="179294"/>
          <a:chOff x="301" y="720"/>
          <a:chExt cx="13" cy="18"/>
        </a:xfrm>
      </xdr:grpSpPr>
      <xdr:sp macro="" textlink="">
        <xdr:nvSpPr>
          <xdr:cNvPr id="11297" name="Line 33">
            <a:extLst>
              <a:ext uri="{FF2B5EF4-FFF2-40B4-BE49-F238E27FC236}">
                <a16:creationId xmlns:a16="http://schemas.microsoft.com/office/drawing/2014/main" id="{56377D6B-D4F2-4A1E-CE4E-E9EDA14DA424}"/>
              </a:ext>
            </a:extLst>
          </xdr:cNvPr>
          <xdr:cNvSpPr>
            <a:spLocks noChangeShapeType="1"/>
          </xdr:cNvSpPr>
        </xdr:nvSpPr>
        <xdr:spPr bwMode="auto">
          <a:xfrm flipV="1">
            <a:off x="301" y="720"/>
            <a:ext cx="12"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1298" name="Line 34">
            <a:extLst>
              <a:ext uri="{FF2B5EF4-FFF2-40B4-BE49-F238E27FC236}">
                <a16:creationId xmlns:a16="http://schemas.microsoft.com/office/drawing/2014/main" id="{B0A312BB-5AA4-CC37-5B51-B55BFA6E4E40}"/>
              </a:ext>
            </a:extLst>
          </xdr:cNvPr>
          <xdr:cNvSpPr>
            <a:spLocks noChangeShapeType="1"/>
          </xdr:cNvSpPr>
        </xdr:nvSpPr>
        <xdr:spPr bwMode="auto">
          <a:xfrm flipV="1">
            <a:off x="302" y="738"/>
            <a:ext cx="12"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1299" name="Line 35">
            <a:extLst>
              <a:ext uri="{FF2B5EF4-FFF2-40B4-BE49-F238E27FC236}">
                <a16:creationId xmlns:a16="http://schemas.microsoft.com/office/drawing/2014/main" id="{42B83C5F-EBC9-AA25-BCEA-0E26ABD333B7}"/>
              </a:ext>
            </a:extLst>
          </xdr:cNvPr>
          <xdr:cNvSpPr>
            <a:spLocks noChangeShapeType="1"/>
          </xdr:cNvSpPr>
        </xdr:nvSpPr>
        <xdr:spPr bwMode="auto">
          <a:xfrm>
            <a:off x="313" y="720"/>
            <a:ext cx="0" cy="17"/>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clientData/>
  </xdr:twoCellAnchor>
  <xdr:twoCellAnchor>
    <xdr:from>
      <xdr:col>8</xdr:col>
      <xdr:colOff>0</xdr:colOff>
      <xdr:row>27</xdr:row>
      <xdr:rowOff>68580</xdr:rowOff>
    </xdr:from>
    <xdr:to>
      <xdr:col>8</xdr:col>
      <xdr:colOff>160020</xdr:colOff>
      <xdr:row>28</xdr:row>
      <xdr:rowOff>68580</xdr:rowOff>
    </xdr:to>
    <xdr:grpSp>
      <xdr:nvGrpSpPr>
        <xdr:cNvPr id="11300" name="Group 36">
          <a:extLst>
            <a:ext uri="{FF2B5EF4-FFF2-40B4-BE49-F238E27FC236}">
              <a16:creationId xmlns:a16="http://schemas.microsoft.com/office/drawing/2014/main" id="{77F9D9E2-C072-2273-AA0D-2EDC462BAAE9}"/>
            </a:ext>
          </a:extLst>
        </xdr:cNvPr>
        <xdr:cNvGrpSpPr>
          <a:grpSpLocks/>
        </xdr:cNvGrpSpPr>
      </xdr:nvGrpSpPr>
      <xdr:grpSpPr bwMode="auto">
        <a:xfrm>
          <a:off x="7996518" y="5214321"/>
          <a:ext cx="160020" cy="179294"/>
          <a:chOff x="301" y="720"/>
          <a:chExt cx="13" cy="18"/>
        </a:xfrm>
      </xdr:grpSpPr>
      <xdr:sp macro="" textlink="">
        <xdr:nvSpPr>
          <xdr:cNvPr id="11301" name="Line 37">
            <a:extLst>
              <a:ext uri="{FF2B5EF4-FFF2-40B4-BE49-F238E27FC236}">
                <a16:creationId xmlns:a16="http://schemas.microsoft.com/office/drawing/2014/main" id="{A5AE5930-922B-2D71-B1EB-4D9EE97147A9}"/>
              </a:ext>
            </a:extLst>
          </xdr:cNvPr>
          <xdr:cNvSpPr>
            <a:spLocks noChangeShapeType="1"/>
          </xdr:cNvSpPr>
        </xdr:nvSpPr>
        <xdr:spPr bwMode="auto">
          <a:xfrm flipV="1">
            <a:off x="301" y="720"/>
            <a:ext cx="12"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1302" name="Line 38">
            <a:extLst>
              <a:ext uri="{FF2B5EF4-FFF2-40B4-BE49-F238E27FC236}">
                <a16:creationId xmlns:a16="http://schemas.microsoft.com/office/drawing/2014/main" id="{3619BA74-6B6A-63A2-5ED5-1CA5B66684EC}"/>
              </a:ext>
            </a:extLst>
          </xdr:cNvPr>
          <xdr:cNvSpPr>
            <a:spLocks noChangeShapeType="1"/>
          </xdr:cNvSpPr>
        </xdr:nvSpPr>
        <xdr:spPr bwMode="auto">
          <a:xfrm flipV="1">
            <a:off x="302" y="738"/>
            <a:ext cx="12"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1303" name="Line 39">
            <a:extLst>
              <a:ext uri="{FF2B5EF4-FFF2-40B4-BE49-F238E27FC236}">
                <a16:creationId xmlns:a16="http://schemas.microsoft.com/office/drawing/2014/main" id="{C0AED29C-1C57-4C09-3490-4D5A552EB803}"/>
              </a:ext>
            </a:extLst>
          </xdr:cNvPr>
          <xdr:cNvSpPr>
            <a:spLocks noChangeShapeType="1"/>
          </xdr:cNvSpPr>
        </xdr:nvSpPr>
        <xdr:spPr bwMode="auto">
          <a:xfrm>
            <a:off x="313" y="720"/>
            <a:ext cx="0" cy="17"/>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clientData/>
  </xdr:twoCellAnchor>
  <xdr:twoCellAnchor>
    <xdr:from>
      <xdr:col>2</xdr:col>
      <xdr:colOff>502920</xdr:colOff>
      <xdr:row>23</xdr:row>
      <xdr:rowOff>0</xdr:rowOff>
    </xdr:from>
    <xdr:to>
      <xdr:col>4</xdr:col>
      <xdr:colOff>365760</xdr:colOff>
      <xdr:row>24</xdr:row>
      <xdr:rowOff>99060</xdr:rowOff>
    </xdr:to>
    <xdr:grpSp>
      <xdr:nvGrpSpPr>
        <xdr:cNvPr id="11304" name="Group 40">
          <a:extLst>
            <a:ext uri="{FF2B5EF4-FFF2-40B4-BE49-F238E27FC236}">
              <a16:creationId xmlns:a16="http://schemas.microsoft.com/office/drawing/2014/main" id="{B9915A39-63C1-8806-D809-583CD8C2C4FF}"/>
            </a:ext>
          </a:extLst>
        </xdr:cNvPr>
        <xdr:cNvGrpSpPr>
          <a:grpSpLocks/>
        </xdr:cNvGrpSpPr>
      </xdr:nvGrpSpPr>
      <xdr:grpSpPr bwMode="auto">
        <a:xfrm>
          <a:off x="2466191" y="4428565"/>
          <a:ext cx="2202628" cy="278354"/>
          <a:chOff x="252" y="652"/>
          <a:chExt cx="223" cy="28"/>
        </a:xfrm>
      </xdr:grpSpPr>
      <xdr:grpSp>
        <xdr:nvGrpSpPr>
          <xdr:cNvPr id="11305" name="Group 41">
            <a:extLst>
              <a:ext uri="{FF2B5EF4-FFF2-40B4-BE49-F238E27FC236}">
                <a16:creationId xmlns:a16="http://schemas.microsoft.com/office/drawing/2014/main" id="{71C9CF95-B908-6B59-63FD-078F81D68430}"/>
              </a:ext>
            </a:extLst>
          </xdr:cNvPr>
          <xdr:cNvGrpSpPr>
            <a:grpSpLocks/>
          </xdr:cNvGrpSpPr>
        </xdr:nvGrpSpPr>
        <xdr:grpSpPr bwMode="auto">
          <a:xfrm>
            <a:off x="252" y="662"/>
            <a:ext cx="13" cy="18"/>
            <a:chOff x="301" y="720"/>
            <a:chExt cx="13" cy="18"/>
          </a:xfrm>
        </xdr:grpSpPr>
        <xdr:sp macro="" textlink="">
          <xdr:nvSpPr>
            <xdr:cNvPr id="11306" name="Line 42">
              <a:extLst>
                <a:ext uri="{FF2B5EF4-FFF2-40B4-BE49-F238E27FC236}">
                  <a16:creationId xmlns:a16="http://schemas.microsoft.com/office/drawing/2014/main" id="{E105852E-F64B-9449-5BFF-549332259968}"/>
                </a:ext>
              </a:extLst>
            </xdr:cNvPr>
            <xdr:cNvSpPr>
              <a:spLocks noChangeShapeType="1"/>
            </xdr:cNvSpPr>
          </xdr:nvSpPr>
          <xdr:spPr bwMode="auto">
            <a:xfrm flipV="1">
              <a:off x="301" y="720"/>
              <a:ext cx="12"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1307" name="Line 43">
              <a:extLst>
                <a:ext uri="{FF2B5EF4-FFF2-40B4-BE49-F238E27FC236}">
                  <a16:creationId xmlns:a16="http://schemas.microsoft.com/office/drawing/2014/main" id="{2352CDBD-3624-A327-FD69-2FA261FA25F7}"/>
                </a:ext>
              </a:extLst>
            </xdr:cNvPr>
            <xdr:cNvSpPr>
              <a:spLocks noChangeShapeType="1"/>
            </xdr:cNvSpPr>
          </xdr:nvSpPr>
          <xdr:spPr bwMode="auto">
            <a:xfrm flipV="1">
              <a:off x="302" y="738"/>
              <a:ext cx="12"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1308" name="Line 44">
              <a:extLst>
                <a:ext uri="{FF2B5EF4-FFF2-40B4-BE49-F238E27FC236}">
                  <a16:creationId xmlns:a16="http://schemas.microsoft.com/office/drawing/2014/main" id="{E763B738-FF1D-3329-DDFA-76EF573BDDC5}"/>
                </a:ext>
              </a:extLst>
            </xdr:cNvPr>
            <xdr:cNvSpPr>
              <a:spLocks noChangeShapeType="1"/>
            </xdr:cNvSpPr>
          </xdr:nvSpPr>
          <xdr:spPr bwMode="auto">
            <a:xfrm>
              <a:off x="313" y="720"/>
              <a:ext cx="0" cy="17"/>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sp macro="" textlink="">
        <xdr:nvSpPr>
          <xdr:cNvPr id="11309" name="Line 45">
            <a:extLst>
              <a:ext uri="{FF2B5EF4-FFF2-40B4-BE49-F238E27FC236}">
                <a16:creationId xmlns:a16="http://schemas.microsoft.com/office/drawing/2014/main" id="{D25B9D4F-3AF0-1961-D61A-70480468ABDB}"/>
              </a:ext>
            </a:extLst>
          </xdr:cNvPr>
          <xdr:cNvSpPr>
            <a:spLocks noChangeShapeType="1"/>
          </xdr:cNvSpPr>
        </xdr:nvSpPr>
        <xdr:spPr bwMode="auto">
          <a:xfrm>
            <a:off x="475" y="652"/>
            <a:ext cx="0" cy="1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1310" name="Line 46">
            <a:extLst>
              <a:ext uri="{FF2B5EF4-FFF2-40B4-BE49-F238E27FC236}">
                <a16:creationId xmlns:a16="http://schemas.microsoft.com/office/drawing/2014/main" id="{B1609F8E-BB87-088F-2595-CE70EDBBA7AA}"/>
              </a:ext>
            </a:extLst>
          </xdr:cNvPr>
          <xdr:cNvSpPr>
            <a:spLocks noChangeShapeType="1"/>
          </xdr:cNvSpPr>
        </xdr:nvSpPr>
        <xdr:spPr bwMode="auto">
          <a:xfrm flipH="1">
            <a:off x="264" y="666"/>
            <a:ext cx="211" cy="1"/>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clientData/>
  </xdr:twoCellAnchor>
  <xdr:twoCellAnchor>
    <xdr:from>
      <xdr:col>8</xdr:col>
      <xdr:colOff>144780</xdr:colOff>
      <xdr:row>27</xdr:row>
      <xdr:rowOff>114300</xdr:rowOff>
    </xdr:from>
    <xdr:to>
      <xdr:col>8</xdr:col>
      <xdr:colOff>251460</xdr:colOff>
      <xdr:row>27</xdr:row>
      <xdr:rowOff>114300</xdr:rowOff>
    </xdr:to>
    <xdr:sp macro="" textlink="">
      <xdr:nvSpPr>
        <xdr:cNvPr id="11311" name="Line 47">
          <a:extLst>
            <a:ext uri="{FF2B5EF4-FFF2-40B4-BE49-F238E27FC236}">
              <a16:creationId xmlns:a16="http://schemas.microsoft.com/office/drawing/2014/main" id="{DD3B7B29-850B-130A-93FF-620A7F548E4B}"/>
            </a:ext>
          </a:extLst>
        </xdr:cNvPr>
        <xdr:cNvSpPr>
          <a:spLocks noChangeShapeType="1"/>
        </xdr:cNvSpPr>
      </xdr:nvSpPr>
      <xdr:spPr bwMode="auto">
        <a:xfrm>
          <a:off x="8138160" y="5166360"/>
          <a:ext cx="10668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137160</xdr:colOff>
      <xdr:row>24</xdr:row>
      <xdr:rowOff>137160</xdr:rowOff>
    </xdr:from>
    <xdr:to>
      <xdr:col>8</xdr:col>
      <xdr:colOff>243840</xdr:colOff>
      <xdr:row>24</xdr:row>
      <xdr:rowOff>137160</xdr:rowOff>
    </xdr:to>
    <xdr:sp macro="" textlink="">
      <xdr:nvSpPr>
        <xdr:cNvPr id="11312" name="Line 48">
          <a:extLst>
            <a:ext uri="{FF2B5EF4-FFF2-40B4-BE49-F238E27FC236}">
              <a16:creationId xmlns:a16="http://schemas.microsoft.com/office/drawing/2014/main" id="{AD633648-14BC-A6AC-E510-17013C2DE5F1}"/>
            </a:ext>
          </a:extLst>
        </xdr:cNvPr>
        <xdr:cNvSpPr>
          <a:spLocks noChangeShapeType="1"/>
        </xdr:cNvSpPr>
      </xdr:nvSpPr>
      <xdr:spPr bwMode="auto">
        <a:xfrm>
          <a:off x="8130540" y="4663440"/>
          <a:ext cx="10668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18</xdr:row>
      <xdr:rowOff>76200</xdr:rowOff>
    </xdr:from>
    <xdr:to>
      <xdr:col>8</xdr:col>
      <xdr:colOff>243840</xdr:colOff>
      <xdr:row>18</xdr:row>
      <xdr:rowOff>76200</xdr:rowOff>
    </xdr:to>
    <xdr:sp macro="" textlink="">
      <xdr:nvSpPr>
        <xdr:cNvPr id="11313" name="Line 49">
          <a:extLst>
            <a:ext uri="{FF2B5EF4-FFF2-40B4-BE49-F238E27FC236}">
              <a16:creationId xmlns:a16="http://schemas.microsoft.com/office/drawing/2014/main" id="{B7510E66-67A7-A184-95C0-2A31729C0B8F}"/>
            </a:ext>
          </a:extLst>
        </xdr:cNvPr>
        <xdr:cNvSpPr>
          <a:spLocks noChangeShapeType="1"/>
        </xdr:cNvSpPr>
      </xdr:nvSpPr>
      <xdr:spPr bwMode="auto">
        <a:xfrm>
          <a:off x="7993380" y="3550920"/>
          <a:ext cx="24384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7620</xdr:colOff>
      <xdr:row>16</xdr:row>
      <xdr:rowOff>60960</xdr:rowOff>
    </xdr:from>
    <xdr:to>
      <xdr:col>8</xdr:col>
      <xdr:colOff>243840</xdr:colOff>
      <xdr:row>16</xdr:row>
      <xdr:rowOff>60960</xdr:rowOff>
    </xdr:to>
    <xdr:sp macro="" textlink="">
      <xdr:nvSpPr>
        <xdr:cNvPr id="11314" name="Line 50">
          <a:extLst>
            <a:ext uri="{FF2B5EF4-FFF2-40B4-BE49-F238E27FC236}">
              <a16:creationId xmlns:a16="http://schemas.microsoft.com/office/drawing/2014/main" id="{2511A1E8-74B4-F19F-4219-0DD8017669BE}"/>
            </a:ext>
          </a:extLst>
        </xdr:cNvPr>
        <xdr:cNvSpPr>
          <a:spLocks noChangeShapeType="1"/>
        </xdr:cNvSpPr>
      </xdr:nvSpPr>
      <xdr:spPr bwMode="auto">
        <a:xfrm>
          <a:off x="8001000" y="3185160"/>
          <a:ext cx="23622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243840</xdr:colOff>
      <xdr:row>14</xdr:row>
      <xdr:rowOff>137160</xdr:rowOff>
    </xdr:from>
    <xdr:to>
      <xdr:col>11</xdr:col>
      <xdr:colOff>114300</xdr:colOff>
      <xdr:row>16</xdr:row>
      <xdr:rowOff>68580</xdr:rowOff>
    </xdr:to>
    <xdr:sp macro="" textlink="">
      <xdr:nvSpPr>
        <xdr:cNvPr id="11315" name="Freeform 51">
          <a:extLst>
            <a:ext uri="{FF2B5EF4-FFF2-40B4-BE49-F238E27FC236}">
              <a16:creationId xmlns:a16="http://schemas.microsoft.com/office/drawing/2014/main" id="{D745A63D-3058-54CD-0620-1A21CB583FA2}"/>
            </a:ext>
          </a:extLst>
        </xdr:cNvPr>
        <xdr:cNvSpPr>
          <a:spLocks/>
        </xdr:cNvSpPr>
      </xdr:nvSpPr>
      <xdr:spPr bwMode="auto">
        <a:xfrm>
          <a:off x="8237220" y="2910840"/>
          <a:ext cx="2301240" cy="281940"/>
        </a:xfrm>
        <a:custGeom>
          <a:avLst/>
          <a:gdLst>
            <a:gd name="T0" fmla="*/ 0 w 239"/>
            <a:gd name="T1" fmla="*/ 28 h 28"/>
            <a:gd name="T2" fmla="*/ 0 w 239"/>
            <a:gd name="T3" fmla="*/ 0 h 28"/>
            <a:gd name="T4" fmla="*/ 239 w 239"/>
            <a:gd name="T5" fmla="*/ 0 h 28"/>
            <a:gd name="T6" fmla="*/ 239 w 239"/>
            <a:gd name="T7" fmla="*/ 26 h 28"/>
          </a:gdLst>
          <a:ahLst/>
          <a:cxnLst>
            <a:cxn ang="0">
              <a:pos x="T0" y="T1"/>
            </a:cxn>
            <a:cxn ang="0">
              <a:pos x="T2" y="T3"/>
            </a:cxn>
            <a:cxn ang="0">
              <a:pos x="T4" y="T5"/>
            </a:cxn>
            <a:cxn ang="0">
              <a:pos x="T6" y="T7"/>
            </a:cxn>
          </a:cxnLst>
          <a:rect l="0" t="0" r="r" b="b"/>
          <a:pathLst>
            <a:path w="239" h="28">
              <a:moveTo>
                <a:pt x="0" y="28"/>
              </a:moveTo>
              <a:lnTo>
                <a:pt x="0" y="0"/>
              </a:lnTo>
              <a:lnTo>
                <a:pt x="239" y="0"/>
              </a:lnTo>
              <a:lnTo>
                <a:pt x="239" y="26"/>
              </a:lnTo>
            </a:path>
          </a:pathLst>
        </a:custGeom>
        <a:noFill/>
        <a:ln w="19050" cmpd="sng">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8</xdr:col>
      <xdr:colOff>0</xdr:colOff>
      <xdr:row>20</xdr:row>
      <xdr:rowOff>114300</xdr:rowOff>
    </xdr:from>
    <xdr:to>
      <xdr:col>8</xdr:col>
      <xdr:colOff>243840</xdr:colOff>
      <xdr:row>27</xdr:row>
      <xdr:rowOff>106680</xdr:rowOff>
    </xdr:to>
    <xdr:sp macro="" textlink="">
      <xdr:nvSpPr>
        <xdr:cNvPr id="11316" name="Freeform 52">
          <a:extLst>
            <a:ext uri="{FF2B5EF4-FFF2-40B4-BE49-F238E27FC236}">
              <a16:creationId xmlns:a16="http://schemas.microsoft.com/office/drawing/2014/main" id="{246A5519-3CC5-CD29-9D90-A01DAD7CD7D0}"/>
            </a:ext>
          </a:extLst>
        </xdr:cNvPr>
        <xdr:cNvSpPr>
          <a:spLocks/>
        </xdr:cNvSpPr>
      </xdr:nvSpPr>
      <xdr:spPr bwMode="auto">
        <a:xfrm>
          <a:off x="7993380" y="3939540"/>
          <a:ext cx="243840" cy="1219200"/>
        </a:xfrm>
        <a:custGeom>
          <a:avLst/>
          <a:gdLst>
            <a:gd name="T0" fmla="*/ 25 w 25"/>
            <a:gd name="T1" fmla="*/ 197 h 197"/>
            <a:gd name="T2" fmla="*/ 25 w 25"/>
            <a:gd name="T3" fmla="*/ 0 h 197"/>
            <a:gd name="T4" fmla="*/ 0 w 25"/>
            <a:gd name="T5" fmla="*/ 0 h 197"/>
          </a:gdLst>
          <a:ahLst/>
          <a:cxnLst>
            <a:cxn ang="0">
              <a:pos x="T0" y="T1"/>
            </a:cxn>
            <a:cxn ang="0">
              <a:pos x="T2" y="T3"/>
            </a:cxn>
            <a:cxn ang="0">
              <a:pos x="T4" y="T5"/>
            </a:cxn>
          </a:cxnLst>
          <a:rect l="0" t="0" r="r" b="b"/>
          <a:pathLst>
            <a:path w="25" h="197">
              <a:moveTo>
                <a:pt x="25" y="197"/>
              </a:moveTo>
              <a:lnTo>
                <a:pt x="25" y="0"/>
              </a:lnTo>
              <a:lnTo>
                <a:pt x="0" y="0"/>
              </a:lnTo>
            </a:path>
          </a:pathLst>
        </a:custGeom>
        <a:noFill/>
        <a:ln w="19050" cmpd="sng">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11</xdr:col>
      <xdr:colOff>7620</xdr:colOff>
      <xdr:row>16</xdr:row>
      <xdr:rowOff>114300</xdr:rowOff>
    </xdr:from>
    <xdr:to>
      <xdr:col>11</xdr:col>
      <xdr:colOff>114300</xdr:colOff>
      <xdr:row>24</xdr:row>
      <xdr:rowOff>76200</xdr:rowOff>
    </xdr:to>
    <xdr:sp macro="" textlink="">
      <xdr:nvSpPr>
        <xdr:cNvPr id="11317" name="Freeform 53">
          <a:extLst>
            <a:ext uri="{FF2B5EF4-FFF2-40B4-BE49-F238E27FC236}">
              <a16:creationId xmlns:a16="http://schemas.microsoft.com/office/drawing/2014/main" id="{ACEAC168-A988-E5F8-2B17-761A40EE8077}"/>
            </a:ext>
          </a:extLst>
        </xdr:cNvPr>
        <xdr:cNvSpPr>
          <a:spLocks/>
        </xdr:cNvSpPr>
      </xdr:nvSpPr>
      <xdr:spPr bwMode="auto">
        <a:xfrm>
          <a:off x="10431780" y="3238500"/>
          <a:ext cx="106680" cy="1363980"/>
        </a:xfrm>
        <a:custGeom>
          <a:avLst/>
          <a:gdLst>
            <a:gd name="T0" fmla="*/ 0 w 11"/>
            <a:gd name="T1" fmla="*/ 140 h 140"/>
            <a:gd name="T2" fmla="*/ 11 w 11"/>
            <a:gd name="T3" fmla="*/ 140 h 140"/>
            <a:gd name="T4" fmla="*/ 11 w 11"/>
            <a:gd name="T5" fmla="*/ 0 h 140"/>
            <a:gd name="T6" fmla="*/ 0 w 11"/>
            <a:gd name="T7" fmla="*/ 0 h 140"/>
          </a:gdLst>
          <a:ahLst/>
          <a:cxnLst>
            <a:cxn ang="0">
              <a:pos x="T0" y="T1"/>
            </a:cxn>
            <a:cxn ang="0">
              <a:pos x="T2" y="T3"/>
            </a:cxn>
            <a:cxn ang="0">
              <a:pos x="T4" y="T5"/>
            </a:cxn>
            <a:cxn ang="0">
              <a:pos x="T6" y="T7"/>
            </a:cxn>
          </a:cxnLst>
          <a:rect l="0" t="0" r="r" b="b"/>
          <a:pathLst>
            <a:path w="11" h="140">
              <a:moveTo>
                <a:pt x="0" y="140"/>
              </a:moveTo>
              <a:lnTo>
                <a:pt x="11" y="140"/>
              </a:lnTo>
              <a:lnTo>
                <a:pt x="11" y="0"/>
              </a:lnTo>
              <a:lnTo>
                <a:pt x="0" y="0"/>
              </a:lnTo>
            </a:path>
          </a:pathLst>
        </a:custGeom>
        <a:noFill/>
        <a:ln w="19050" cmpd="sng">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11</xdr:col>
      <xdr:colOff>0</xdr:colOff>
      <xdr:row>22</xdr:row>
      <xdr:rowOff>91440</xdr:rowOff>
    </xdr:from>
    <xdr:to>
      <xdr:col>11</xdr:col>
      <xdr:colOff>114300</xdr:colOff>
      <xdr:row>22</xdr:row>
      <xdr:rowOff>91440</xdr:rowOff>
    </xdr:to>
    <xdr:sp macro="" textlink="">
      <xdr:nvSpPr>
        <xdr:cNvPr id="11318" name="Line 54">
          <a:extLst>
            <a:ext uri="{FF2B5EF4-FFF2-40B4-BE49-F238E27FC236}">
              <a16:creationId xmlns:a16="http://schemas.microsoft.com/office/drawing/2014/main" id="{731A6C49-2423-2B17-CEE2-FB75514B3907}"/>
            </a:ext>
          </a:extLst>
        </xdr:cNvPr>
        <xdr:cNvSpPr>
          <a:spLocks noChangeShapeType="1"/>
        </xdr:cNvSpPr>
      </xdr:nvSpPr>
      <xdr:spPr bwMode="auto">
        <a:xfrm>
          <a:off x="10424160" y="4267200"/>
          <a:ext cx="11430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20</xdr:row>
      <xdr:rowOff>76200</xdr:rowOff>
    </xdr:from>
    <xdr:to>
      <xdr:col>11</xdr:col>
      <xdr:colOff>114300</xdr:colOff>
      <xdr:row>20</xdr:row>
      <xdr:rowOff>76200</xdr:rowOff>
    </xdr:to>
    <xdr:sp macro="" textlink="">
      <xdr:nvSpPr>
        <xdr:cNvPr id="11319" name="Line 55">
          <a:extLst>
            <a:ext uri="{FF2B5EF4-FFF2-40B4-BE49-F238E27FC236}">
              <a16:creationId xmlns:a16="http://schemas.microsoft.com/office/drawing/2014/main" id="{538F7878-3839-CC41-4719-D895CAA2127F}"/>
            </a:ext>
          </a:extLst>
        </xdr:cNvPr>
        <xdr:cNvSpPr>
          <a:spLocks noChangeShapeType="1"/>
        </xdr:cNvSpPr>
      </xdr:nvSpPr>
      <xdr:spPr bwMode="auto">
        <a:xfrm>
          <a:off x="10424160" y="3901440"/>
          <a:ext cx="11430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18</xdr:row>
      <xdr:rowOff>76200</xdr:rowOff>
    </xdr:from>
    <xdr:to>
      <xdr:col>11</xdr:col>
      <xdr:colOff>114300</xdr:colOff>
      <xdr:row>18</xdr:row>
      <xdr:rowOff>76200</xdr:rowOff>
    </xdr:to>
    <xdr:sp macro="" textlink="">
      <xdr:nvSpPr>
        <xdr:cNvPr id="11320" name="Line 56">
          <a:extLst>
            <a:ext uri="{FF2B5EF4-FFF2-40B4-BE49-F238E27FC236}">
              <a16:creationId xmlns:a16="http://schemas.microsoft.com/office/drawing/2014/main" id="{0095AFBD-9116-154E-0E18-FBD77ED60CF6}"/>
            </a:ext>
          </a:extLst>
        </xdr:cNvPr>
        <xdr:cNvSpPr>
          <a:spLocks noChangeShapeType="1"/>
        </xdr:cNvSpPr>
      </xdr:nvSpPr>
      <xdr:spPr bwMode="auto">
        <a:xfrm>
          <a:off x="10424160" y="3550920"/>
          <a:ext cx="11430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16</xdr:row>
      <xdr:rowOff>38100</xdr:rowOff>
    </xdr:from>
    <xdr:to>
      <xdr:col>11</xdr:col>
      <xdr:colOff>114300</xdr:colOff>
      <xdr:row>16</xdr:row>
      <xdr:rowOff>38100</xdr:rowOff>
    </xdr:to>
    <xdr:sp macro="" textlink="">
      <xdr:nvSpPr>
        <xdr:cNvPr id="11321" name="Line 57">
          <a:extLst>
            <a:ext uri="{FF2B5EF4-FFF2-40B4-BE49-F238E27FC236}">
              <a16:creationId xmlns:a16="http://schemas.microsoft.com/office/drawing/2014/main" id="{25474D8D-FDFD-0E53-4346-A949B233A747}"/>
            </a:ext>
          </a:extLst>
        </xdr:cNvPr>
        <xdr:cNvSpPr>
          <a:spLocks noChangeShapeType="1"/>
        </xdr:cNvSpPr>
      </xdr:nvSpPr>
      <xdr:spPr bwMode="auto">
        <a:xfrm flipH="1">
          <a:off x="10424160" y="3162300"/>
          <a:ext cx="11430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18</xdr:row>
      <xdr:rowOff>7620</xdr:rowOff>
    </xdr:from>
    <xdr:to>
      <xdr:col>4</xdr:col>
      <xdr:colOff>381000</xdr:colOff>
      <xdr:row>20</xdr:row>
      <xdr:rowOff>76200</xdr:rowOff>
    </xdr:to>
    <xdr:grpSp>
      <xdr:nvGrpSpPr>
        <xdr:cNvPr id="11322" name="Group 58">
          <a:extLst>
            <a:ext uri="{FF2B5EF4-FFF2-40B4-BE49-F238E27FC236}">
              <a16:creationId xmlns:a16="http://schemas.microsoft.com/office/drawing/2014/main" id="{DF24B2D1-EC59-2766-EE5E-7606E154B848}"/>
            </a:ext>
          </a:extLst>
        </xdr:cNvPr>
        <xdr:cNvGrpSpPr>
          <a:grpSpLocks/>
        </xdr:cNvGrpSpPr>
      </xdr:nvGrpSpPr>
      <xdr:grpSpPr bwMode="auto">
        <a:xfrm>
          <a:off x="2474259" y="3539714"/>
          <a:ext cx="2209800" cy="427168"/>
          <a:chOff x="253" y="472"/>
          <a:chExt cx="227" cy="43"/>
        </a:xfrm>
      </xdr:grpSpPr>
      <xdr:grpSp>
        <xdr:nvGrpSpPr>
          <xdr:cNvPr id="11323" name="Group 59">
            <a:extLst>
              <a:ext uri="{FF2B5EF4-FFF2-40B4-BE49-F238E27FC236}">
                <a16:creationId xmlns:a16="http://schemas.microsoft.com/office/drawing/2014/main" id="{41776DC7-D54C-F56F-8375-C520ACCC7E1E}"/>
              </a:ext>
            </a:extLst>
          </xdr:cNvPr>
          <xdr:cNvGrpSpPr>
            <a:grpSpLocks/>
          </xdr:cNvGrpSpPr>
        </xdr:nvGrpSpPr>
        <xdr:grpSpPr bwMode="auto">
          <a:xfrm>
            <a:off x="253" y="478"/>
            <a:ext cx="13" cy="37"/>
            <a:chOff x="268" y="478"/>
            <a:chExt cx="13" cy="37"/>
          </a:xfrm>
        </xdr:grpSpPr>
        <xdr:sp macro="" textlink="">
          <xdr:nvSpPr>
            <xdr:cNvPr id="11324" name="Line 60">
              <a:extLst>
                <a:ext uri="{FF2B5EF4-FFF2-40B4-BE49-F238E27FC236}">
                  <a16:creationId xmlns:a16="http://schemas.microsoft.com/office/drawing/2014/main" id="{AA5FBC7E-C0C1-B93B-E679-3E04EA0EC493}"/>
                </a:ext>
              </a:extLst>
            </xdr:cNvPr>
            <xdr:cNvSpPr>
              <a:spLocks noChangeShapeType="1"/>
            </xdr:cNvSpPr>
          </xdr:nvSpPr>
          <xdr:spPr bwMode="auto">
            <a:xfrm flipV="1">
              <a:off x="269" y="479"/>
              <a:ext cx="11"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1325" name="Line 61">
              <a:extLst>
                <a:ext uri="{FF2B5EF4-FFF2-40B4-BE49-F238E27FC236}">
                  <a16:creationId xmlns:a16="http://schemas.microsoft.com/office/drawing/2014/main" id="{2A4ADB24-FECC-AFF0-511B-9CD676F260E8}"/>
                </a:ext>
              </a:extLst>
            </xdr:cNvPr>
            <xdr:cNvSpPr>
              <a:spLocks noChangeShapeType="1"/>
            </xdr:cNvSpPr>
          </xdr:nvSpPr>
          <xdr:spPr bwMode="auto">
            <a:xfrm flipV="1">
              <a:off x="269" y="497"/>
              <a:ext cx="11"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1326" name="Line 62">
              <a:extLst>
                <a:ext uri="{FF2B5EF4-FFF2-40B4-BE49-F238E27FC236}">
                  <a16:creationId xmlns:a16="http://schemas.microsoft.com/office/drawing/2014/main" id="{0A16B14F-39D4-D062-D464-E24720E5B650}"/>
                </a:ext>
              </a:extLst>
            </xdr:cNvPr>
            <xdr:cNvSpPr>
              <a:spLocks noChangeShapeType="1"/>
            </xdr:cNvSpPr>
          </xdr:nvSpPr>
          <xdr:spPr bwMode="auto">
            <a:xfrm>
              <a:off x="268" y="515"/>
              <a:ext cx="13"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1327" name="Line 63">
              <a:extLst>
                <a:ext uri="{FF2B5EF4-FFF2-40B4-BE49-F238E27FC236}">
                  <a16:creationId xmlns:a16="http://schemas.microsoft.com/office/drawing/2014/main" id="{AA9DBF21-A5A3-9829-70F6-7D2F9A5922F5}"/>
                </a:ext>
              </a:extLst>
            </xdr:cNvPr>
            <xdr:cNvSpPr>
              <a:spLocks noChangeShapeType="1"/>
            </xdr:cNvSpPr>
          </xdr:nvSpPr>
          <xdr:spPr bwMode="auto">
            <a:xfrm>
              <a:off x="281" y="478"/>
              <a:ext cx="0" cy="37"/>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1328" name="Group 64">
            <a:extLst>
              <a:ext uri="{FF2B5EF4-FFF2-40B4-BE49-F238E27FC236}">
                <a16:creationId xmlns:a16="http://schemas.microsoft.com/office/drawing/2014/main" id="{46E37EE4-F249-C9D4-E065-B85FB240BFB1}"/>
              </a:ext>
            </a:extLst>
          </xdr:cNvPr>
          <xdr:cNvGrpSpPr>
            <a:grpSpLocks/>
          </xdr:cNvGrpSpPr>
        </xdr:nvGrpSpPr>
        <xdr:grpSpPr bwMode="auto">
          <a:xfrm>
            <a:off x="265" y="472"/>
            <a:ext cx="215" cy="15"/>
            <a:chOff x="264" y="559"/>
            <a:chExt cx="215" cy="15"/>
          </a:xfrm>
        </xdr:grpSpPr>
        <xdr:sp macro="" textlink="">
          <xdr:nvSpPr>
            <xdr:cNvPr id="11329" name="Line 65">
              <a:extLst>
                <a:ext uri="{FF2B5EF4-FFF2-40B4-BE49-F238E27FC236}">
                  <a16:creationId xmlns:a16="http://schemas.microsoft.com/office/drawing/2014/main" id="{CBB83028-2021-923A-5B97-374ED3DF990A}"/>
                </a:ext>
              </a:extLst>
            </xdr:cNvPr>
            <xdr:cNvSpPr>
              <a:spLocks noChangeShapeType="1"/>
            </xdr:cNvSpPr>
          </xdr:nvSpPr>
          <xdr:spPr bwMode="auto">
            <a:xfrm>
              <a:off x="478" y="559"/>
              <a:ext cx="0" cy="1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1330" name="Line 66">
              <a:extLst>
                <a:ext uri="{FF2B5EF4-FFF2-40B4-BE49-F238E27FC236}">
                  <a16:creationId xmlns:a16="http://schemas.microsoft.com/office/drawing/2014/main" id="{C760024D-F906-DE8E-BA4F-A107E107DFE8}"/>
                </a:ext>
              </a:extLst>
            </xdr:cNvPr>
            <xdr:cNvSpPr>
              <a:spLocks noChangeShapeType="1"/>
            </xdr:cNvSpPr>
          </xdr:nvSpPr>
          <xdr:spPr bwMode="auto">
            <a:xfrm flipH="1" flipV="1">
              <a:off x="264" y="572"/>
              <a:ext cx="215" cy="1"/>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clientData/>
  </xdr:twoCellAnchor>
  <xdr:twoCellAnchor>
    <xdr:from>
      <xdr:col>5</xdr:col>
      <xdr:colOff>0</xdr:colOff>
      <xdr:row>13</xdr:row>
      <xdr:rowOff>106680</xdr:rowOff>
    </xdr:from>
    <xdr:to>
      <xdr:col>5</xdr:col>
      <xdr:colOff>236220</xdr:colOff>
      <xdr:row>34</xdr:row>
      <xdr:rowOff>45720</xdr:rowOff>
    </xdr:to>
    <xdr:sp macro="" textlink="">
      <xdr:nvSpPr>
        <xdr:cNvPr id="11331" name="Freeform 67">
          <a:extLst>
            <a:ext uri="{FF2B5EF4-FFF2-40B4-BE49-F238E27FC236}">
              <a16:creationId xmlns:a16="http://schemas.microsoft.com/office/drawing/2014/main" id="{367F0C08-1F55-BFDB-C6B9-505B16008F82}"/>
            </a:ext>
          </a:extLst>
        </xdr:cNvPr>
        <xdr:cNvSpPr>
          <a:spLocks/>
        </xdr:cNvSpPr>
      </xdr:nvSpPr>
      <xdr:spPr bwMode="auto">
        <a:xfrm>
          <a:off x="4914900" y="2705100"/>
          <a:ext cx="236220" cy="3619500"/>
        </a:xfrm>
        <a:custGeom>
          <a:avLst/>
          <a:gdLst>
            <a:gd name="T0" fmla="*/ 1 w 23"/>
            <a:gd name="T1" fmla="*/ 372 h 372"/>
            <a:gd name="T2" fmla="*/ 23 w 23"/>
            <a:gd name="T3" fmla="*/ 372 h 372"/>
            <a:gd name="T4" fmla="*/ 23 w 23"/>
            <a:gd name="T5" fmla="*/ 0 h 372"/>
            <a:gd name="T6" fmla="*/ 0 w 23"/>
            <a:gd name="T7" fmla="*/ 0 h 372"/>
          </a:gdLst>
          <a:ahLst/>
          <a:cxnLst>
            <a:cxn ang="0">
              <a:pos x="T0" y="T1"/>
            </a:cxn>
            <a:cxn ang="0">
              <a:pos x="T2" y="T3"/>
            </a:cxn>
            <a:cxn ang="0">
              <a:pos x="T4" y="T5"/>
            </a:cxn>
            <a:cxn ang="0">
              <a:pos x="T6" y="T7"/>
            </a:cxn>
          </a:cxnLst>
          <a:rect l="0" t="0" r="r" b="b"/>
          <a:pathLst>
            <a:path w="23" h="372">
              <a:moveTo>
                <a:pt x="1" y="372"/>
              </a:moveTo>
              <a:lnTo>
                <a:pt x="23" y="372"/>
              </a:lnTo>
              <a:lnTo>
                <a:pt x="23" y="0"/>
              </a:lnTo>
              <a:lnTo>
                <a:pt x="0" y="0"/>
              </a:lnTo>
            </a:path>
          </a:pathLst>
        </a:custGeom>
        <a:noFill/>
        <a:ln w="19050" cmpd="sng">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5</xdr:col>
      <xdr:colOff>0</xdr:colOff>
      <xdr:row>31</xdr:row>
      <xdr:rowOff>76200</xdr:rowOff>
    </xdr:from>
    <xdr:to>
      <xdr:col>5</xdr:col>
      <xdr:colOff>243840</xdr:colOff>
      <xdr:row>31</xdr:row>
      <xdr:rowOff>76200</xdr:rowOff>
    </xdr:to>
    <xdr:sp macro="" textlink="">
      <xdr:nvSpPr>
        <xdr:cNvPr id="11332" name="Line 68">
          <a:extLst>
            <a:ext uri="{FF2B5EF4-FFF2-40B4-BE49-F238E27FC236}">
              <a16:creationId xmlns:a16="http://schemas.microsoft.com/office/drawing/2014/main" id="{CAB45B71-3512-D685-C4F4-99BAAC2EE0CE}"/>
            </a:ext>
          </a:extLst>
        </xdr:cNvPr>
        <xdr:cNvSpPr>
          <a:spLocks noChangeShapeType="1"/>
        </xdr:cNvSpPr>
      </xdr:nvSpPr>
      <xdr:spPr bwMode="auto">
        <a:xfrm>
          <a:off x="4914900" y="5829300"/>
          <a:ext cx="24384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26</xdr:row>
      <xdr:rowOff>91440</xdr:rowOff>
    </xdr:from>
    <xdr:to>
      <xdr:col>5</xdr:col>
      <xdr:colOff>243840</xdr:colOff>
      <xdr:row>26</xdr:row>
      <xdr:rowOff>91440</xdr:rowOff>
    </xdr:to>
    <xdr:sp macro="" textlink="">
      <xdr:nvSpPr>
        <xdr:cNvPr id="11333" name="Line 69">
          <a:extLst>
            <a:ext uri="{FF2B5EF4-FFF2-40B4-BE49-F238E27FC236}">
              <a16:creationId xmlns:a16="http://schemas.microsoft.com/office/drawing/2014/main" id="{4024970C-70A8-5748-018A-D11C7F482FCA}"/>
            </a:ext>
          </a:extLst>
        </xdr:cNvPr>
        <xdr:cNvSpPr>
          <a:spLocks noChangeShapeType="1"/>
        </xdr:cNvSpPr>
      </xdr:nvSpPr>
      <xdr:spPr bwMode="auto">
        <a:xfrm>
          <a:off x="4914900" y="4968240"/>
          <a:ext cx="24384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22</xdr:row>
      <xdr:rowOff>76200</xdr:rowOff>
    </xdr:from>
    <xdr:to>
      <xdr:col>5</xdr:col>
      <xdr:colOff>243840</xdr:colOff>
      <xdr:row>22</xdr:row>
      <xdr:rowOff>76200</xdr:rowOff>
    </xdr:to>
    <xdr:sp macro="" textlink="">
      <xdr:nvSpPr>
        <xdr:cNvPr id="11334" name="Line 70">
          <a:extLst>
            <a:ext uri="{FF2B5EF4-FFF2-40B4-BE49-F238E27FC236}">
              <a16:creationId xmlns:a16="http://schemas.microsoft.com/office/drawing/2014/main" id="{C0F3113A-E9E3-26E7-4ECC-05FC7130B5A1}"/>
            </a:ext>
          </a:extLst>
        </xdr:cNvPr>
        <xdr:cNvSpPr>
          <a:spLocks noChangeShapeType="1"/>
        </xdr:cNvSpPr>
      </xdr:nvSpPr>
      <xdr:spPr bwMode="auto">
        <a:xfrm>
          <a:off x="4914900" y="4251960"/>
          <a:ext cx="24384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17</xdr:row>
      <xdr:rowOff>91440</xdr:rowOff>
    </xdr:from>
    <xdr:to>
      <xdr:col>5</xdr:col>
      <xdr:colOff>213360</xdr:colOff>
      <xdr:row>17</xdr:row>
      <xdr:rowOff>91440</xdr:rowOff>
    </xdr:to>
    <xdr:sp macro="" textlink="">
      <xdr:nvSpPr>
        <xdr:cNvPr id="11335" name="Line 71">
          <a:extLst>
            <a:ext uri="{FF2B5EF4-FFF2-40B4-BE49-F238E27FC236}">
              <a16:creationId xmlns:a16="http://schemas.microsoft.com/office/drawing/2014/main" id="{422DEAFB-D2A4-65D4-569E-46275FB8CA98}"/>
            </a:ext>
          </a:extLst>
        </xdr:cNvPr>
        <xdr:cNvSpPr>
          <a:spLocks noChangeShapeType="1"/>
        </xdr:cNvSpPr>
      </xdr:nvSpPr>
      <xdr:spPr bwMode="auto">
        <a:xfrm>
          <a:off x="4914900" y="3390900"/>
          <a:ext cx="21336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15</xdr:row>
      <xdr:rowOff>91440</xdr:rowOff>
    </xdr:from>
    <xdr:to>
      <xdr:col>5</xdr:col>
      <xdr:colOff>236220</xdr:colOff>
      <xdr:row>15</xdr:row>
      <xdr:rowOff>91440</xdr:rowOff>
    </xdr:to>
    <xdr:sp macro="" textlink="">
      <xdr:nvSpPr>
        <xdr:cNvPr id="11336" name="Line 72">
          <a:extLst>
            <a:ext uri="{FF2B5EF4-FFF2-40B4-BE49-F238E27FC236}">
              <a16:creationId xmlns:a16="http://schemas.microsoft.com/office/drawing/2014/main" id="{624A0A03-9368-956E-80E7-1B1523F0DDCE}"/>
            </a:ext>
          </a:extLst>
        </xdr:cNvPr>
        <xdr:cNvSpPr>
          <a:spLocks noChangeShapeType="1"/>
        </xdr:cNvSpPr>
      </xdr:nvSpPr>
      <xdr:spPr bwMode="auto">
        <a:xfrm>
          <a:off x="4914900" y="3040380"/>
          <a:ext cx="23622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16</xdr:row>
      <xdr:rowOff>114300</xdr:rowOff>
    </xdr:from>
    <xdr:to>
      <xdr:col>8</xdr:col>
      <xdr:colOff>236220</xdr:colOff>
      <xdr:row>20</xdr:row>
      <xdr:rowOff>60960</xdr:rowOff>
    </xdr:to>
    <xdr:sp macro="" textlink="">
      <xdr:nvSpPr>
        <xdr:cNvPr id="11337" name="Freeform 73">
          <a:extLst>
            <a:ext uri="{FF2B5EF4-FFF2-40B4-BE49-F238E27FC236}">
              <a16:creationId xmlns:a16="http://schemas.microsoft.com/office/drawing/2014/main" id="{EF01DE4B-34FE-DA2E-DF87-25EA89B88DE8}"/>
            </a:ext>
          </a:extLst>
        </xdr:cNvPr>
        <xdr:cNvSpPr>
          <a:spLocks/>
        </xdr:cNvSpPr>
      </xdr:nvSpPr>
      <xdr:spPr bwMode="auto">
        <a:xfrm>
          <a:off x="7993380" y="3238500"/>
          <a:ext cx="236220" cy="647700"/>
        </a:xfrm>
        <a:custGeom>
          <a:avLst/>
          <a:gdLst>
            <a:gd name="T0" fmla="*/ 0 w 24"/>
            <a:gd name="T1" fmla="*/ 66 h 66"/>
            <a:gd name="T2" fmla="*/ 24 w 24"/>
            <a:gd name="T3" fmla="*/ 66 h 66"/>
            <a:gd name="T4" fmla="*/ 24 w 24"/>
            <a:gd name="T5" fmla="*/ 0 h 66"/>
            <a:gd name="T6" fmla="*/ 0 w 24"/>
            <a:gd name="T7" fmla="*/ 0 h 66"/>
          </a:gdLst>
          <a:ahLst/>
          <a:cxnLst>
            <a:cxn ang="0">
              <a:pos x="T0" y="T1"/>
            </a:cxn>
            <a:cxn ang="0">
              <a:pos x="T2" y="T3"/>
            </a:cxn>
            <a:cxn ang="0">
              <a:pos x="T4" y="T5"/>
            </a:cxn>
            <a:cxn ang="0">
              <a:pos x="T6" y="T7"/>
            </a:cxn>
          </a:cxnLst>
          <a:rect l="0" t="0" r="r" b="b"/>
          <a:pathLst>
            <a:path w="24" h="66">
              <a:moveTo>
                <a:pt x="0" y="66"/>
              </a:moveTo>
              <a:lnTo>
                <a:pt x="24" y="66"/>
              </a:lnTo>
              <a:lnTo>
                <a:pt x="24" y="0"/>
              </a:lnTo>
              <a:lnTo>
                <a:pt x="0" y="0"/>
              </a:lnTo>
            </a:path>
          </a:pathLst>
        </a:custGeom>
        <a:noFill/>
        <a:ln w="19050" cmpd="sng">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4</xdr:col>
      <xdr:colOff>304800</xdr:colOff>
      <xdr:row>6</xdr:row>
      <xdr:rowOff>91440</xdr:rowOff>
    </xdr:from>
    <xdr:to>
      <xdr:col>7</xdr:col>
      <xdr:colOff>411480</xdr:colOff>
      <xdr:row>7</xdr:row>
      <xdr:rowOff>152400</xdr:rowOff>
    </xdr:to>
    <xdr:sp macro="" textlink="">
      <xdr:nvSpPr>
        <xdr:cNvPr id="11338" name="Freeform 74">
          <a:extLst>
            <a:ext uri="{FF2B5EF4-FFF2-40B4-BE49-F238E27FC236}">
              <a16:creationId xmlns:a16="http://schemas.microsoft.com/office/drawing/2014/main" id="{901F9E04-0DB8-BCE2-728B-3C9C98E9277A}"/>
            </a:ext>
          </a:extLst>
        </xdr:cNvPr>
        <xdr:cNvSpPr>
          <a:spLocks/>
        </xdr:cNvSpPr>
      </xdr:nvSpPr>
      <xdr:spPr bwMode="auto">
        <a:xfrm>
          <a:off x="4610100" y="1463040"/>
          <a:ext cx="3063240" cy="236220"/>
        </a:xfrm>
        <a:custGeom>
          <a:avLst/>
          <a:gdLst>
            <a:gd name="T0" fmla="*/ 0 w 314"/>
            <a:gd name="T1" fmla="*/ 25 h 25"/>
            <a:gd name="T2" fmla="*/ 0 w 314"/>
            <a:gd name="T3" fmla="*/ 0 h 25"/>
            <a:gd name="T4" fmla="*/ 314 w 314"/>
            <a:gd name="T5" fmla="*/ 0 h 25"/>
            <a:gd name="T6" fmla="*/ 314 w 314"/>
            <a:gd name="T7" fmla="*/ 7 h 25"/>
          </a:gdLst>
          <a:ahLst/>
          <a:cxnLst>
            <a:cxn ang="0">
              <a:pos x="T0" y="T1"/>
            </a:cxn>
            <a:cxn ang="0">
              <a:pos x="T2" y="T3"/>
            </a:cxn>
            <a:cxn ang="0">
              <a:pos x="T4" y="T5"/>
            </a:cxn>
            <a:cxn ang="0">
              <a:pos x="T6" y="T7"/>
            </a:cxn>
          </a:cxnLst>
          <a:rect l="0" t="0" r="r" b="b"/>
          <a:pathLst>
            <a:path w="314" h="25">
              <a:moveTo>
                <a:pt x="0" y="25"/>
              </a:moveTo>
              <a:lnTo>
                <a:pt x="0" y="0"/>
              </a:lnTo>
              <a:lnTo>
                <a:pt x="314" y="0"/>
              </a:lnTo>
              <a:lnTo>
                <a:pt x="314" y="7"/>
              </a:lnTo>
            </a:path>
          </a:pathLst>
        </a:custGeom>
        <a:noFill/>
        <a:ln w="19050" cmpd="sng">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6</xdr:col>
      <xdr:colOff>792480</xdr:colOff>
      <xdr:row>6</xdr:row>
      <xdr:rowOff>0</xdr:rowOff>
    </xdr:from>
    <xdr:to>
      <xdr:col>6</xdr:col>
      <xdr:colOff>792480</xdr:colOff>
      <xdr:row>6</xdr:row>
      <xdr:rowOff>76200</xdr:rowOff>
    </xdr:to>
    <xdr:sp macro="" textlink="">
      <xdr:nvSpPr>
        <xdr:cNvPr id="11339" name="Line 75">
          <a:extLst>
            <a:ext uri="{FF2B5EF4-FFF2-40B4-BE49-F238E27FC236}">
              <a16:creationId xmlns:a16="http://schemas.microsoft.com/office/drawing/2014/main" id="{4C42036B-8631-0794-4E0F-49B6716F6318}"/>
            </a:ext>
          </a:extLst>
        </xdr:cNvPr>
        <xdr:cNvSpPr>
          <a:spLocks noChangeShapeType="1"/>
        </xdr:cNvSpPr>
      </xdr:nvSpPr>
      <xdr:spPr bwMode="auto">
        <a:xfrm>
          <a:off x="6469380" y="1371600"/>
          <a:ext cx="0" cy="762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784860</xdr:colOff>
      <xdr:row>3</xdr:row>
      <xdr:rowOff>0</xdr:rowOff>
    </xdr:from>
    <xdr:to>
      <xdr:col>6</xdr:col>
      <xdr:colOff>792480</xdr:colOff>
      <xdr:row>4</xdr:row>
      <xdr:rowOff>45720</xdr:rowOff>
    </xdr:to>
    <xdr:sp macro="" textlink="">
      <xdr:nvSpPr>
        <xdr:cNvPr id="11340" name="Line 76">
          <a:extLst>
            <a:ext uri="{FF2B5EF4-FFF2-40B4-BE49-F238E27FC236}">
              <a16:creationId xmlns:a16="http://schemas.microsoft.com/office/drawing/2014/main" id="{9376F707-3D39-88F6-FC02-EB995F5CB780}"/>
            </a:ext>
          </a:extLst>
        </xdr:cNvPr>
        <xdr:cNvSpPr>
          <a:spLocks noChangeShapeType="1"/>
        </xdr:cNvSpPr>
      </xdr:nvSpPr>
      <xdr:spPr bwMode="auto">
        <a:xfrm flipH="1" flipV="1">
          <a:off x="6461760" y="800100"/>
          <a:ext cx="7620" cy="23622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8</xdr:row>
      <xdr:rowOff>91440</xdr:rowOff>
    </xdr:from>
    <xdr:to>
      <xdr:col>11</xdr:col>
      <xdr:colOff>152400</xdr:colOff>
      <xdr:row>12</xdr:row>
      <xdr:rowOff>106680</xdr:rowOff>
    </xdr:to>
    <xdr:grpSp>
      <xdr:nvGrpSpPr>
        <xdr:cNvPr id="11341" name="Group 77">
          <a:extLst>
            <a:ext uri="{FF2B5EF4-FFF2-40B4-BE49-F238E27FC236}">
              <a16:creationId xmlns:a16="http://schemas.microsoft.com/office/drawing/2014/main" id="{4CFB349B-4C07-4933-46D2-77610149780E}"/>
            </a:ext>
          </a:extLst>
        </xdr:cNvPr>
        <xdr:cNvGrpSpPr>
          <a:grpSpLocks/>
        </xdr:cNvGrpSpPr>
      </xdr:nvGrpSpPr>
      <xdr:grpSpPr bwMode="auto">
        <a:xfrm>
          <a:off x="7996518" y="1830593"/>
          <a:ext cx="2581835" cy="732416"/>
          <a:chOff x="819" y="201"/>
          <a:chExt cx="266" cy="74"/>
        </a:xfrm>
      </xdr:grpSpPr>
      <xdr:sp macro="" textlink="">
        <xdr:nvSpPr>
          <xdr:cNvPr id="11342" name="Freeform 78">
            <a:extLst>
              <a:ext uri="{FF2B5EF4-FFF2-40B4-BE49-F238E27FC236}">
                <a16:creationId xmlns:a16="http://schemas.microsoft.com/office/drawing/2014/main" id="{9B81C98A-DC5B-B96D-16AF-118A62EC0B42}"/>
              </a:ext>
            </a:extLst>
          </xdr:cNvPr>
          <xdr:cNvSpPr>
            <a:spLocks/>
          </xdr:cNvSpPr>
        </xdr:nvSpPr>
        <xdr:spPr bwMode="auto">
          <a:xfrm>
            <a:off x="819" y="201"/>
            <a:ext cx="266" cy="74"/>
          </a:xfrm>
          <a:custGeom>
            <a:avLst/>
            <a:gdLst>
              <a:gd name="T0" fmla="*/ 0 w 207"/>
              <a:gd name="T1" fmla="*/ 126 h 126"/>
              <a:gd name="T2" fmla="*/ 207 w 207"/>
              <a:gd name="T3" fmla="*/ 126 h 126"/>
              <a:gd name="T4" fmla="*/ 207 w 207"/>
              <a:gd name="T5" fmla="*/ 0 h 126"/>
              <a:gd name="T6" fmla="*/ 195 w 207"/>
              <a:gd name="T7" fmla="*/ 0 h 126"/>
            </a:gdLst>
            <a:ahLst/>
            <a:cxnLst>
              <a:cxn ang="0">
                <a:pos x="T0" y="T1"/>
              </a:cxn>
              <a:cxn ang="0">
                <a:pos x="T2" y="T3"/>
              </a:cxn>
              <a:cxn ang="0">
                <a:pos x="T4" y="T5"/>
              </a:cxn>
              <a:cxn ang="0">
                <a:pos x="T6" y="T7"/>
              </a:cxn>
            </a:cxnLst>
            <a:rect l="0" t="0" r="r" b="b"/>
            <a:pathLst>
              <a:path w="207" h="126">
                <a:moveTo>
                  <a:pt x="0" y="126"/>
                </a:moveTo>
                <a:lnTo>
                  <a:pt x="207" y="126"/>
                </a:lnTo>
                <a:lnTo>
                  <a:pt x="207" y="0"/>
                </a:lnTo>
                <a:lnTo>
                  <a:pt x="195" y="0"/>
                </a:lnTo>
              </a:path>
            </a:pathLst>
          </a:custGeom>
          <a:noFill/>
          <a:ln w="19050" cmpd="sng">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11343" name="Line 79">
            <a:extLst>
              <a:ext uri="{FF2B5EF4-FFF2-40B4-BE49-F238E27FC236}">
                <a16:creationId xmlns:a16="http://schemas.microsoft.com/office/drawing/2014/main" id="{27097ADF-FA67-1FD8-4462-CEF021D3742C}"/>
              </a:ext>
            </a:extLst>
          </xdr:cNvPr>
          <xdr:cNvSpPr>
            <a:spLocks noChangeShapeType="1"/>
          </xdr:cNvSpPr>
        </xdr:nvSpPr>
        <xdr:spPr bwMode="auto">
          <a:xfrm>
            <a:off x="1069" y="239"/>
            <a:ext cx="16"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clientData/>
  </xdr:twoCellAnchor>
  <xdr:twoCellAnchor>
    <xdr:from>
      <xdr:col>4</xdr:col>
      <xdr:colOff>594360</xdr:colOff>
      <xdr:row>8</xdr:row>
      <xdr:rowOff>76200</xdr:rowOff>
    </xdr:from>
    <xdr:to>
      <xdr:col>5</xdr:col>
      <xdr:colOff>236220</xdr:colOff>
      <xdr:row>13</xdr:row>
      <xdr:rowOff>45720</xdr:rowOff>
    </xdr:to>
    <xdr:sp macro="" textlink="">
      <xdr:nvSpPr>
        <xdr:cNvPr id="11344" name="Freeform 80">
          <a:extLst>
            <a:ext uri="{FF2B5EF4-FFF2-40B4-BE49-F238E27FC236}">
              <a16:creationId xmlns:a16="http://schemas.microsoft.com/office/drawing/2014/main" id="{CB264F88-4B0D-9F8B-DFE2-DB837294742D}"/>
            </a:ext>
          </a:extLst>
        </xdr:cNvPr>
        <xdr:cNvSpPr>
          <a:spLocks/>
        </xdr:cNvSpPr>
      </xdr:nvSpPr>
      <xdr:spPr bwMode="auto">
        <a:xfrm>
          <a:off x="4899660" y="1798320"/>
          <a:ext cx="251460" cy="845820"/>
        </a:xfrm>
        <a:custGeom>
          <a:avLst/>
          <a:gdLst>
            <a:gd name="T0" fmla="*/ 2 w 24"/>
            <a:gd name="T1" fmla="*/ 88 h 88"/>
            <a:gd name="T2" fmla="*/ 24 w 24"/>
            <a:gd name="T3" fmla="*/ 88 h 88"/>
            <a:gd name="T4" fmla="*/ 24 w 24"/>
            <a:gd name="T5" fmla="*/ 0 h 88"/>
            <a:gd name="T6" fmla="*/ 0 w 24"/>
            <a:gd name="T7" fmla="*/ 0 h 88"/>
          </a:gdLst>
          <a:ahLst/>
          <a:cxnLst>
            <a:cxn ang="0">
              <a:pos x="T0" y="T1"/>
            </a:cxn>
            <a:cxn ang="0">
              <a:pos x="T2" y="T3"/>
            </a:cxn>
            <a:cxn ang="0">
              <a:pos x="T4" y="T5"/>
            </a:cxn>
            <a:cxn ang="0">
              <a:pos x="T6" y="T7"/>
            </a:cxn>
          </a:cxnLst>
          <a:rect l="0" t="0" r="r" b="b"/>
          <a:pathLst>
            <a:path w="24" h="88">
              <a:moveTo>
                <a:pt x="2" y="88"/>
              </a:moveTo>
              <a:lnTo>
                <a:pt x="24" y="88"/>
              </a:lnTo>
              <a:lnTo>
                <a:pt x="24" y="0"/>
              </a:lnTo>
              <a:lnTo>
                <a:pt x="0" y="0"/>
              </a:lnTo>
            </a:path>
          </a:pathLst>
        </a:custGeom>
        <a:noFill/>
        <a:ln w="19050" cmpd="sng">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5</xdr:col>
      <xdr:colOff>0</xdr:colOff>
      <xdr:row>10</xdr:row>
      <xdr:rowOff>91440</xdr:rowOff>
    </xdr:from>
    <xdr:to>
      <xdr:col>5</xdr:col>
      <xdr:colOff>213360</xdr:colOff>
      <xdr:row>10</xdr:row>
      <xdr:rowOff>91440</xdr:rowOff>
    </xdr:to>
    <xdr:sp macro="" textlink="">
      <xdr:nvSpPr>
        <xdr:cNvPr id="11345" name="Line 81">
          <a:extLst>
            <a:ext uri="{FF2B5EF4-FFF2-40B4-BE49-F238E27FC236}">
              <a16:creationId xmlns:a16="http://schemas.microsoft.com/office/drawing/2014/main" id="{695611AC-2A42-6D0E-4E33-EB6F19661F1E}"/>
            </a:ext>
          </a:extLst>
        </xdr:cNvPr>
        <xdr:cNvSpPr>
          <a:spLocks noChangeShapeType="1"/>
        </xdr:cNvSpPr>
      </xdr:nvSpPr>
      <xdr:spPr bwMode="auto">
        <a:xfrm>
          <a:off x="4914900" y="2164080"/>
          <a:ext cx="21336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13</xdr:row>
      <xdr:rowOff>68580</xdr:rowOff>
    </xdr:from>
    <xdr:to>
      <xdr:col>8</xdr:col>
      <xdr:colOff>243840</xdr:colOff>
      <xdr:row>14</xdr:row>
      <xdr:rowOff>137160</xdr:rowOff>
    </xdr:to>
    <xdr:sp macro="" textlink="">
      <xdr:nvSpPr>
        <xdr:cNvPr id="11346" name="Freeform 82">
          <a:extLst>
            <a:ext uri="{FF2B5EF4-FFF2-40B4-BE49-F238E27FC236}">
              <a16:creationId xmlns:a16="http://schemas.microsoft.com/office/drawing/2014/main" id="{58CFC753-E907-BCBD-BC64-3C825CEA5EA0}"/>
            </a:ext>
          </a:extLst>
        </xdr:cNvPr>
        <xdr:cNvSpPr>
          <a:spLocks/>
        </xdr:cNvSpPr>
      </xdr:nvSpPr>
      <xdr:spPr bwMode="auto">
        <a:xfrm>
          <a:off x="7993380" y="2667000"/>
          <a:ext cx="243840" cy="243840"/>
        </a:xfrm>
        <a:custGeom>
          <a:avLst/>
          <a:gdLst>
            <a:gd name="T0" fmla="*/ 24 w 24"/>
            <a:gd name="T1" fmla="*/ 23 h 23"/>
            <a:gd name="T2" fmla="*/ 24 w 24"/>
            <a:gd name="T3" fmla="*/ 0 h 23"/>
            <a:gd name="T4" fmla="*/ 0 w 24"/>
            <a:gd name="T5" fmla="*/ 0 h 23"/>
          </a:gdLst>
          <a:ahLst/>
          <a:cxnLst>
            <a:cxn ang="0">
              <a:pos x="T0" y="T1"/>
            </a:cxn>
            <a:cxn ang="0">
              <a:pos x="T2" y="T3"/>
            </a:cxn>
            <a:cxn ang="0">
              <a:pos x="T4" y="T5"/>
            </a:cxn>
          </a:cxnLst>
          <a:rect l="0" t="0" r="r" b="b"/>
          <a:pathLst>
            <a:path w="24" h="23">
              <a:moveTo>
                <a:pt x="24" y="23"/>
              </a:moveTo>
              <a:lnTo>
                <a:pt x="24" y="0"/>
              </a:lnTo>
              <a:lnTo>
                <a:pt x="0" y="0"/>
              </a:lnTo>
            </a:path>
          </a:pathLst>
        </a:custGeom>
        <a:noFill/>
        <a:ln w="19050" cmpd="sng">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6</xdr:col>
      <xdr:colOff>792480</xdr:colOff>
      <xdr:row>4</xdr:row>
      <xdr:rowOff>45720</xdr:rowOff>
    </xdr:from>
    <xdr:to>
      <xdr:col>10</xdr:col>
      <xdr:colOff>312420</xdr:colOff>
      <xdr:row>7</xdr:row>
      <xdr:rowOff>152400</xdr:rowOff>
    </xdr:to>
    <xdr:sp macro="" textlink="">
      <xdr:nvSpPr>
        <xdr:cNvPr id="11347" name="Freeform 83">
          <a:extLst>
            <a:ext uri="{FF2B5EF4-FFF2-40B4-BE49-F238E27FC236}">
              <a16:creationId xmlns:a16="http://schemas.microsoft.com/office/drawing/2014/main" id="{D6290125-BB3C-3BAE-EBC4-DC5D1C27161A}"/>
            </a:ext>
          </a:extLst>
        </xdr:cNvPr>
        <xdr:cNvSpPr>
          <a:spLocks/>
        </xdr:cNvSpPr>
      </xdr:nvSpPr>
      <xdr:spPr bwMode="auto">
        <a:xfrm>
          <a:off x="6469380" y="1036320"/>
          <a:ext cx="3657600" cy="662940"/>
        </a:xfrm>
        <a:custGeom>
          <a:avLst/>
          <a:gdLst>
            <a:gd name="T0" fmla="*/ 375 w 375"/>
            <a:gd name="T1" fmla="*/ 69 h 69"/>
            <a:gd name="T2" fmla="*/ 375 w 375"/>
            <a:gd name="T3" fmla="*/ 0 h 69"/>
            <a:gd name="T4" fmla="*/ 0 w 375"/>
            <a:gd name="T5" fmla="*/ 0 h 69"/>
            <a:gd name="T6" fmla="*/ 0 w 375"/>
            <a:gd name="T7" fmla="*/ 13 h 69"/>
          </a:gdLst>
          <a:ahLst/>
          <a:cxnLst>
            <a:cxn ang="0">
              <a:pos x="T0" y="T1"/>
            </a:cxn>
            <a:cxn ang="0">
              <a:pos x="T2" y="T3"/>
            </a:cxn>
            <a:cxn ang="0">
              <a:pos x="T4" y="T5"/>
            </a:cxn>
            <a:cxn ang="0">
              <a:pos x="T6" y="T7"/>
            </a:cxn>
          </a:cxnLst>
          <a:rect l="0" t="0" r="r" b="b"/>
          <a:pathLst>
            <a:path w="375" h="69">
              <a:moveTo>
                <a:pt x="375" y="69"/>
              </a:moveTo>
              <a:lnTo>
                <a:pt x="375" y="0"/>
              </a:lnTo>
              <a:lnTo>
                <a:pt x="0" y="0"/>
              </a:lnTo>
              <a:lnTo>
                <a:pt x="0" y="13"/>
              </a:lnTo>
            </a:path>
          </a:pathLst>
        </a:custGeom>
        <a:noFill/>
        <a:ln w="19050" cmpd="sng">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129540</xdr:colOff>
      <xdr:row>4</xdr:row>
      <xdr:rowOff>0</xdr:rowOff>
    </xdr:from>
    <xdr:to>
      <xdr:col>8</xdr:col>
      <xdr:colOff>1165860</xdr:colOff>
      <xdr:row>39</xdr:row>
      <xdr:rowOff>0</xdr:rowOff>
    </xdr:to>
    <xdr:graphicFrame macro="">
      <xdr:nvGraphicFramePr>
        <xdr:cNvPr id="7169" name="Chart 1">
          <a:extLst>
            <a:ext uri="{FF2B5EF4-FFF2-40B4-BE49-F238E27FC236}">
              <a16:creationId xmlns:a16="http://schemas.microsoft.com/office/drawing/2014/main" id="{C871FB19-ED01-F843-A423-7D4930ECF6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213360</xdr:colOff>
      <xdr:row>39</xdr:row>
      <xdr:rowOff>106680</xdr:rowOff>
    </xdr:from>
    <xdr:to>
      <xdr:col>7</xdr:col>
      <xdr:colOff>731520</xdr:colOff>
      <xdr:row>79</xdr:row>
      <xdr:rowOff>137160</xdr:rowOff>
    </xdr:to>
    <xdr:graphicFrame macro="">
      <xdr:nvGraphicFramePr>
        <xdr:cNvPr id="7170" name="Chart 2">
          <a:extLst>
            <a:ext uri="{FF2B5EF4-FFF2-40B4-BE49-F238E27FC236}">
              <a16:creationId xmlns:a16="http://schemas.microsoft.com/office/drawing/2014/main" id="{7F3A8A26-C8B8-8C36-645E-BFD9802C33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C32" sqref="C32"/>
    </sheetView>
  </sheetViews>
  <sheetFormatPr defaultRowHeight="13.2" x14ac:dyDescent="0.25"/>
  <sheetData/>
  <phoneticPr fontId="0" type="noConversion"/>
  <pageMargins left="0.75" right="0.75" top="1" bottom="1" header="0.5" footer="0.5"/>
  <headerFooter alignWithMargins="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39"/>
  <sheetViews>
    <sheetView zoomScale="85" workbookViewId="0">
      <selection activeCell="B19" sqref="B19"/>
    </sheetView>
  </sheetViews>
  <sheetFormatPr defaultRowHeight="13.2" x14ac:dyDescent="0.25"/>
  <cols>
    <col min="1" max="1" width="11.6640625" customWidth="1"/>
    <col min="2" max="2" width="81.6640625" customWidth="1"/>
    <col min="3" max="3" width="9.33203125" customWidth="1"/>
  </cols>
  <sheetData>
    <row r="1" spans="1:5" ht="21" x14ac:dyDescent="0.4">
      <c r="A1" s="91" t="s">
        <v>173</v>
      </c>
      <c r="B1" s="47"/>
      <c r="C1" s="47"/>
      <c r="D1" s="47"/>
      <c r="E1" s="47"/>
    </row>
    <row r="2" spans="1:5" x14ac:dyDescent="0.25">
      <c r="C2" s="131" t="s">
        <v>172</v>
      </c>
      <c r="D2" s="132" t="s">
        <v>129</v>
      </c>
    </row>
    <row r="3" spans="1:5" x14ac:dyDescent="0.25">
      <c r="A3" s="27"/>
      <c r="B3" t="s">
        <v>193</v>
      </c>
      <c r="C3" s="145">
        <f>Financials!B14</f>
        <v>485</v>
      </c>
      <c r="D3" s="6"/>
    </row>
    <row r="4" spans="1:5" x14ac:dyDescent="0.25">
      <c r="A4" s="27"/>
    </row>
    <row r="5" spans="1:5" x14ac:dyDescent="0.25">
      <c r="A5" s="27" t="s">
        <v>157</v>
      </c>
    </row>
    <row r="6" spans="1:5" x14ac:dyDescent="0.25">
      <c r="A6" s="139" t="s">
        <v>184</v>
      </c>
      <c r="B6" s="27" t="s">
        <v>190</v>
      </c>
      <c r="D6" s="69">
        <v>0.15</v>
      </c>
    </row>
    <row r="7" spans="1:5" ht="15.6" x14ac:dyDescent="0.3">
      <c r="A7" s="146" t="s">
        <v>186</v>
      </c>
      <c r="B7" s="27"/>
    </row>
    <row r="8" spans="1:5" x14ac:dyDescent="0.25">
      <c r="A8" s="139" t="s">
        <v>185</v>
      </c>
      <c r="B8" s="27" t="s">
        <v>189</v>
      </c>
    </row>
    <row r="9" spans="1:5" x14ac:dyDescent="0.25">
      <c r="B9" t="s">
        <v>140</v>
      </c>
      <c r="D9" s="68">
        <f>Financials!C41</f>
        <v>0.52380952380952384</v>
      </c>
    </row>
    <row r="10" spans="1:5" x14ac:dyDescent="0.25">
      <c r="B10" t="s">
        <v>139</v>
      </c>
      <c r="D10" s="68">
        <f>Financials!C46</f>
        <v>0.47619047619047616</v>
      </c>
    </row>
    <row r="11" spans="1:5" x14ac:dyDescent="0.25">
      <c r="B11" t="s">
        <v>137</v>
      </c>
      <c r="C11" s="66">
        <v>1.2</v>
      </c>
    </row>
    <row r="12" spans="1:5" x14ac:dyDescent="0.25">
      <c r="B12" t="s">
        <v>138</v>
      </c>
      <c r="C12" s="68">
        <v>0.06</v>
      </c>
    </row>
    <row r="13" spans="1:5" x14ac:dyDescent="0.25">
      <c r="B13" t="s">
        <v>141</v>
      </c>
      <c r="C13" s="144">
        <v>0.08</v>
      </c>
    </row>
    <row r="14" spans="1:5" x14ac:dyDescent="0.25">
      <c r="B14" t="s">
        <v>167</v>
      </c>
      <c r="D14" s="15">
        <f>C12+(C11*C13)</f>
        <v>0.156</v>
      </c>
    </row>
    <row r="15" spans="1:5" x14ac:dyDescent="0.25">
      <c r="B15" t="s">
        <v>135</v>
      </c>
      <c r="D15" s="67">
        <v>7.0000000000000007E-2</v>
      </c>
    </row>
    <row r="16" spans="1:5" x14ac:dyDescent="0.25">
      <c r="B16" s="27" t="s">
        <v>166</v>
      </c>
      <c r="D16" s="140">
        <f>(D9*D15*(1-D18))+(D10*D14)</f>
        <v>9.6285714285714294E-2</v>
      </c>
    </row>
    <row r="17" spans="1:5" x14ac:dyDescent="0.25">
      <c r="B17" s="27"/>
      <c r="D17" s="140"/>
    </row>
    <row r="18" spans="1:5" x14ac:dyDescent="0.25">
      <c r="B18" t="s">
        <v>188</v>
      </c>
      <c r="D18" s="78">
        <v>0.4</v>
      </c>
    </row>
    <row r="19" spans="1:5" x14ac:dyDescent="0.25">
      <c r="B19" s="27" t="s">
        <v>136</v>
      </c>
      <c r="E19" s="65">
        <f>IF(D6&gt;0,D6/(1-D18),D16/(1-D18))</f>
        <v>0.25</v>
      </c>
    </row>
    <row r="21" spans="1:5" x14ac:dyDescent="0.25">
      <c r="A21" s="27" t="s">
        <v>149</v>
      </c>
      <c r="C21" s="73"/>
      <c r="D21" s="73"/>
    </row>
    <row r="22" spans="1:5" x14ac:dyDescent="0.25">
      <c r="B22" t="s">
        <v>142</v>
      </c>
      <c r="C22" s="75">
        <v>4.8499999999999996</v>
      </c>
      <c r="D22" s="71">
        <f>C22/$C$3</f>
        <v>9.9999999999999985E-3</v>
      </c>
    </row>
    <row r="23" spans="1:5" x14ac:dyDescent="0.25">
      <c r="B23" t="s">
        <v>143</v>
      </c>
      <c r="C23" s="75">
        <v>8.1</v>
      </c>
      <c r="D23" s="71">
        <f>C23/$C$3</f>
        <v>1.670103092783505E-2</v>
      </c>
      <c r="E23" s="43">
        <f>D23+D22</f>
        <v>2.6701030927835049E-2</v>
      </c>
    </row>
    <row r="24" spans="1:5" x14ac:dyDescent="0.25">
      <c r="C24" s="76"/>
      <c r="D24" s="72"/>
    </row>
    <row r="25" spans="1:5" x14ac:dyDescent="0.25">
      <c r="A25" s="27" t="s">
        <v>148</v>
      </c>
      <c r="C25" s="76"/>
      <c r="D25" s="72"/>
    </row>
    <row r="26" spans="1:5" x14ac:dyDescent="0.25">
      <c r="B26" t="s">
        <v>145</v>
      </c>
      <c r="C26" s="75">
        <v>0</v>
      </c>
      <c r="D26" s="71">
        <f>C26/$C$3</f>
        <v>0</v>
      </c>
    </row>
    <row r="27" spans="1:5" x14ac:dyDescent="0.25">
      <c r="B27" t="s">
        <v>146</v>
      </c>
      <c r="C27" s="75">
        <v>2.4249999999999998</v>
      </c>
      <c r="D27" s="71">
        <f>C27/$C$3</f>
        <v>4.9999999999999992E-3</v>
      </c>
    </row>
    <row r="28" spans="1:5" x14ac:dyDescent="0.25">
      <c r="B28" t="s">
        <v>147</v>
      </c>
      <c r="C28" s="75">
        <v>0</v>
      </c>
      <c r="D28" s="71">
        <f>C28/$C$3</f>
        <v>0</v>
      </c>
    </row>
    <row r="29" spans="1:5" x14ac:dyDescent="0.25">
      <c r="B29" t="s">
        <v>144</v>
      </c>
      <c r="C29" s="75">
        <v>0</v>
      </c>
      <c r="D29" s="71">
        <f>C29/$C$3</f>
        <v>0</v>
      </c>
      <c r="E29" s="43">
        <f>SUM(D26:D29)</f>
        <v>4.9999999999999992E-3</v>
      </c>
    </row>
    <row r="30" spans="1:5" x14ac:dyDescent="0.25">
      <c r="C30" s="76"/>
      <c r="D30" s="72"/>
    </row>
    <row r="31" spans="1:5" x14ac:dyDescent="0.25">
      <c r="A31" s="27" t="s">
        <v>152</v>
      </c>
      <c r="C31" s="76"/>
      <c r="D31" s="72"/>
    </row>
    <row r="32" spans="1:5" x14ac:dyDescent="0.25">
      <c r="B32" t="s">
        <v>161</v>
      </c>
      <c r="C32" s="75">
        <v>3.5</v>
      </c>
      <c r="D32" s="71">
        <f>C32/$C$3</f>
        <v>7.2164948453608251E-3</v>
      </c>
    </row>
    <row r="33" spans="1:5" x14ac:dyDescent="0.25">
      <c r="B33" t="s">
        <v>150</v>
      </c>
      <c r="C33" s="75">
        <v>2</v>
      </c>
      <c r="D33" s="71">
        <f>C33/$C$3</f>
        <v>4.1237113402061857E-3</v>
      </c>
    </row>
    <row r="34" spans="1:5" x14ac:dyDescent="0.25">
      <c r="B34" t="s">
        <v>151</v>
      </c>
      <c r="C34" s="75">
        <v>2</v>
      </c>
      <c r="D34" s="71">
        <f>C34/$C$3</f>
        <v>4.1237113402061857E-3</v>
      </c>
    </row>
    <row r="35" spans="1:5" x14ac:dyDescent="0.25">
      <c r="B35" t="s">
        <v>165</v>
      </c>
      <c r="C35" s="75">
        <v>0</v>
      </c>
      <c r="D35" s="71">
        <f>C35/$C$3</f>
        <v>0</v>
      </c>
      <c r="E35" s="70">
        <f>SUM(D32:D35)</f>
        <v>1.5463917525773196E-2</v>
      </c>
    </row>
    <row r="37" spans="1:5" x14ac:dyDescent="0.25">
      <c r="A37" s="27" t="s">
        <v>153</v>
      </c>
      <c r="E37" s="65">
        <f>E19+E23+E29+E35</f>
        <v>0.29716494845360825</v>
      </c>
    </row>
    <row r="39" spans="1:5" x14ac:dyDescent="0.25">
      <c r="A39" s="6"/>
    </row>
  </sheetData>
  <phoneticPr fontId="0" type="noConversion"/>
  <pageMargins left="0.25" right="0.25" top="1" bottom="1" header="0.5" footer="0.5"/>
  <pageSetup scale="85" orientation="portrait" r:id="rId1"/>
  <headerFooter alignWithMargins="0">
    <oddFooter>&amp;LSCMRG/The Ohio State University, 2002 and &amp;"Arial,Italic"S&amp;" &amp;,Italic"trategic Logistics Management&amp;"Arial,Regular" by D. Lambert and J. Stock</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O107"/>
  <sheetViews>
    <sheetView zoomScale="85" zoomScaleNormal="85" workbookViewId="0">
      <pane xSplit="1" topLeftCell="B1" activePane="topRight" state="frozen"/>
      <selection activeCell="B27" sqref="B27"/>
      <selection pane="topRight" activeCell="C6" sqref="C6"/>
    </sheetView>
  </sheetViews>
  <sheetFormatPr defaultColWidth="11.44140625" defaultRowHeight="13.2" x14ac:dyDescent="0.25"/>
  <cols>
    <col min="1" max="1" width="48.88671875" style="7" customWidth="1"/>
    <col min="2" max="3" width="15.6640625" style="7" customWidth="1"/>
    <col min="4" max="4" width="2.6640625" style="7" customWidth="1"/>
    <col min="5" max="6" width="15.6640625" style="7" customWidth="1"/>
    <col min="7" max="7" width="2.6640625" style="7" customWidth="1"/>
    <col min="8" max="9" width="15.6640625" style="7" customWidth="1"/>
    <col min="10" max="10" width="2.6640625" style="7" customWidth="1"/>
    <col min="11" max="12" width="15.6640625" style="7" customWidth="1"/>
    <col min="13" max="13" width="2.6640625" style="7" customWidth="1"/>
    <col min="14" max="15" width="15.6640625" style="7" customWidth="1"/>
    <col min="16" max="16384" width="11.44140625" style="7"/>
  </cols>
  <sheetData>
    <row r="1" spans="1:15" s="54" customFormat="1" ht="26.25" customHeight="1" x14ac:dyDescent="0.4">
      <c r="A1" s="52" t="s">
        <v>118</v>
      </c>
      <c r="B1" s="53"/>
      <c r="C1" s="53"/>
      <c r="D1" s="53"/>
      <c r="E1" s="53"/>
      <c r="F1" s="53"/>
      <c r="G1" s="53"/>
      <c r="H1" s="53"/>
      <c r="I1" s="53"/>
      <c r="J1" s="53"/>
      <c r="K1" s="53"/>
      <c r="L1" s="53"/>
      <c r="M1" s="53"/>
      <c r="N1" s="53"/>
      <c r="O1" s="53"/>
    </row>
    <row r="2" spans="1:15" x14ac:dyDescent="0.25">
      <c r="A2" s="55" t="s">
        <v>113</v>
      </c>
      <c r="B2" s="57"/>
    </row>
    <row r="3" spans="1:15" x14ac:dyDescent="0.25">
      <c r="A3" s="56" t="s">
        <v>2</v>
      </c>
      <c r="B3" s="74">
        <v>1000</v>
      </c>
    </row>
    <row r="4" spans="1:15" x14ac:dyDescent="0.25">
      <c r="A4" s="56" t="s">
        <v>104</v>
      </c>
      <c r="B4" s="58">
        <v>2.7</v>
      </c>
    </row>
    <row r="5" spans="1:15" x14ac:dyDescent="0.25">
      <c r="A5" s="56" t="s">
        <v>105</v>
      </c>
      <c r="B5" s="58">
        <v>1.1000000000000001</v>
      </c>
    </row>
    <row r="6" spans="1:15" x14ac:dyDescent="0.25">
      <c r="A6" s="56" t="s">
        <v>8</v>
      </c>
      <c r="B6" s="59">
        <v>0.248</v>
      </c>
    </row>
    <row r="7" spans="1:15" x14ac:dyDescent="0.25">
      <c r="A7" s="56" t="s">
        <v>108</v>
      </c>
      <c r="B7" s="59">
        <v>2.5999999999999999E-2</v>
      </c>
    </row>
    <row r="8" spans="1:15" s="34" customFormat="1" x14ac:dyDescent="0.25">
      <c r="A8" s="60" t="s">
        <v>103</v>
      </c>
      <c r="B8" s="61">
        <v>2.5000000000000001E-2</v>
      </c>
    </row>
    <row r="9" spans="1:15" ht="35.25" customHeight="1" x14ac:dyDescent="0.25">
      <c r="B9" s="46" t="s">
        <v>114</v>
      </c>
      <c r="C9" s="49"/>
      <c r="E9" s="48" t="s">
        <v>116</v>
      </c>
      <c r="F9" s="49"/>
      <c r="H9" s="48" t="s">
        <v>170</v>
      </c>
      <c r="I9" s="49"/>
      <c r="K9" s="48" t="s">
        <v>171</v>
      </c>
      <c r="L9" s="49"/>
      <c r="N9" s="48" t="s">
        <v>117</v>
      </c>
      <c r="O9" s="49"/>
    </row>
    <row r="10" spans="1:15" x14ac:dyDescent="0.25">
      <c r="B10" s="12" t="s">
        <v>46</v>
      </c>
      <c r="C10" s="26" t="s">
        <v>100</v>
      </c>
      <c r="D10" s="12"/>
      <c r="E10" s="12" t="s">
        <v>47</v>
      </c>
      <c r="F10" s="26" t="s">
        <v>100</v>
      </c>
      <c r="G10" s="50"/>
      <c r="H10" s="12" t="s">
        <v>47</v>
      </c>
      <c r="I10" s="26" t="s">
        <v>100</v>
      </c>
      <c r="K10" s="12" t="s">
        <v>47</v>
      </c>
      <c r="L10" s="26" t="s">
        <v>100</v>
      </c>
      <c r="N10" s="12" t="s">
        <v>47</v>
      </c>
      <c r="O10" s="26" t="s">
        <v>100</v>
      </c>
    </row>
    <row r="11" spans="1:15" ht="21" x14ac:dyDescent="0.4">
      <c r="A11" s="24" t="s">
        <v>9</v>
      </c>
    </row>
    <row r="12" spans="1:15" x14ac:dyDescent="0.25">
      <c r="A12" s="7" t="s">
        <v>27</v>
      </c>
      <c r="B12" s="79">
        <f>C12*$B$28</f>
        <v>25</v>
      </c>
      <c r="C12" s="36">
        <v>2.5000000000000001E-2</v>
      </c>
      <c r="D12" s="35"/>
      <c r="E12" s="79">
        <f>B12</f>
        <v>25</v>
      </c>
      <c r="F12" s="35">
        <f>E12/E$28</f>
        <v>2.768549280177187E-2</v>
      </c>
      <c r="H12" s="79">
        <f>B12</f>
        <v>25</v>
      </c>
      <c r="I12" s="35">
        <f>H12/H$28</f>
        <v>2.5000000000000001E-2</v>
      </c>
      <c r="K12" s="79">
        <f>B12</f>
        <v>25</v>
      </c>
      <c r="L12" s="35">
        <f>K12/K$28</f>
        <v>2.5000000000000001E-2</v>
      </c>
      <c r="N12" s="79">
        <f>B12</f>
        <v>25</v>
      </c>
      <c r="O12" s="35">
        <f>N12/N$28</f>
        <v>2.768549280177187E-2</v>
      </c>
    </row>
    <row r="13" spans="1:15" x14ac:dyDescent="0.25">
      <c r="A13" s="7" t="s">
        <v>23</v>
      </c>
      <c r="B13" s="79">
        <f>C13*$B$28</f>
        <v>354</v>
      </c>
      <c r="C13" s="36">
        <v>0.35399999999999998</v>
      </c>
      <c r="D13" s="35"/>
      <c r="E13" s="79">
        <f>B13</f>
        <v>354</v>
      </c>
      <c r="F13" s="35">
        <f>E13/E$28</f>
        <v>0.39202657807308972</v>
      </c>
      <c r="H13" s="79">
        <f>B13</f>
        <v>354</v>
      </c>
      <c r="I13" s="35">
        <f>H13/H$28</f>
        <v>0.35399999999999998</v>
      </c>
      <c r="K13" s="79">
        <f>B13</f>
        <v>354</v>
      </c>
      <c r="L13" s="35">
        <f>K13/K$28</f>
        <v>0.35399999999999998</v>
      </c>
      <c r="N13" s="79">
        <f>B13</f>
        <v>354</v>
      </c>
      <c r="O13" s="35">
        <f>N13/N$28</f>
        <v>0.39202657807308972</v>
      </c>
    </row>
    <row r="14" spans="1:15" x14ac:dyDescent="0.25">
      <c r="A14" s="13" t="s">
        <v>7</v>
      </c>
      <c r="B14" s="79">
        <f>C14*$B$28</f>
        <v>485</v>
      </c>
      <c r="C14" s="36">
        <v>0.48499999999999999</v>
      </c>
      <c r="D14" s="35"/>
      <c r="E14" s="83">
        <f>B14*0.8</f>
        <v>388</v>
      </c>
      <c r="F14" s="35">
        <f>E14/E$28</f>
        <v>0.42967884828349945</v>
      </c>
      <c r="H14" s="79">
        <f>B14</f>
        <v>485</v>
      </c>
      <c r="I14" s="35">
        <f>H14/H$28</f>
        <v>0.48499999999999999</v>
      </c>
      <c r="K14" s="79">
        <f>B14</f>
        <v>485</v>
      </c>
      <c r="L14" s="35">
        <f>K14/K$28</f>
        <v>0.48499999999999999</v>
      </c>
      <c r="N14" s="83">
        <f>E14</f>
        <v>388</v>
      </c>
      <c r="O14" s="35">
        <f>N14/N$28</f>
        <v>0.42967884828349945</v>
      </c>
    </row>
    <row r="15" spans="1:15" x14ac:dyDescent="0.25">
      <c r="A15" s="8" t="s">
        <v>10</v>
      </c>
      <c r="B15" s="80">
        <f>C15*$B$28</f>
        <v>22</v>
      </c>
      <c r="C15" s="37">
        <v>2.1999999999999999E-2</v>
      </c>
      <c r="D15" s="35"/>
      <c r="E15" s="80">
        <f>B15</f>
        <v>22</v>
      </c>
      <c r="F15" s="38">
        <f>E15/E$28</f>
        <v>2.4363233665559248E-2</v>
      </c>
      <c r="H15" s="80">
        <f>B15</f>
        <v>22</v>
      </c>
      <c r="I15" s="38">
        <f>H15/H$28</f>
        <v>2.1999999999999999E-2</v>
      </c>
      <c r="K15" s="80">
        <f>B15</f>
        <v>22</v>
      </c>
      <c r="L15" s="38">
        <f>K15/K$28</f>
        <v>2.1999999999999999E-2</v>
      </c>
      <c r="N15" s="80">
        <f>B15</f>
        <v>22</v>
      </c>
      <c r="O15" s="38">
        <f>N15/N$28</f>
        <v>2.4363233665559248E-2</v>
      </c>
    </row>
    <row r="16" spans="1:15" x14ac:dyDescent="0.25">
      <c r="A16" s="8" t="s">
        <v>11</v>
      </c>
      <c r="B16" s="79">
        <f>SUM(B12:B15)</f>
        <v>886</v>
      </c>
      <c r="C16" s="35">
        <f>B16/$B$28</f>
        <v>0.88600000000000001</v>
      </c>
      <c r="D16" s="35"/>
      <c r="E16" s="79">
        <f>SUM(E12:E15)</f>
        <v>789</v>
      </c>
      <c r="F16" s="35">
        <f>E16/E$28</f>
        <v>0.87375415282392022</v>
      </c>
      <c r="H16" s="79">
        <f>SUM(H12:H15)</f>
        <v>886</v>
      </c>
      <c r="I16" s="35">
        <f>H16/H$28</f>
        <v>0.88600000000000001</v>
      </c>
      <c r="K16" s="79">
        <f>SUM(K12:K15)</f>
        <v>886</v>
      </c>
      <c r="L16" s="35">
        <f>K16/K$28</f>
        <v>0.88600000000000001</v>
      </c>
      <c r="N16" s="79">
        <f>SUM(N12:N15)</f>
        <v>789</v>
      </c>
      <c r="O16" s="35">
        <f>N16/N$28</f>
        <v>0.87375415282392022</v>
      </c>
    </row>
    <row r="17" spans="1:15" x14ac:dyDescent="0.25">
      <c r="A17" s="8"/>
      <c r="B17" s="79"/>
      <c r="C17" s="35"/>
      <c r="D17" s="35"/>
      <c r="E17" s="79"/>
      <c r="F17" s="35"/>
      <c r="H17" s="79"/>
      <c r="I17" s="35"/>
      <c r="K17" s="79"/>
      <c r="L17" s="35"/>
      <c r="N17" s="79"/>
      <c r="O17" s="35"/>
    </row>
    <row r="18" spans="1:15" x14ac:dyDescent="0.25">
      <c r="A18" s="8" t="s">
        <v>65</v>
      </c>
      <c r="B18" s="79"/>
      <c r="C18" s="35"/>
      <c r="D18" s="35"/>
      <c r="E18" s="79"/>
      <c r="F18" s="35"/>
      <c r="H18" s="79"/>
      <c r="I18" s="35"/>
      <c r="K18" s="79"/>
      <c r="L18" s="35"/>
      <c r="N18" s="79"/>
      <c r="O18" s="35"/>
    </row>
    <row r="19" spans="1:15" s="6" customFormat="1" x14ac:dyDescent="0.25">
      <c r="A19" s="8" t="s">
        <v>24</v>
      </c>
      <c r="B19" s="79">
        <f t="shared" ref="B19:B27" si="0">C19*$B$28</f>
        <v>128.25</v>
      </c>
      <c r="C19" s="35">
        <f>2*C21</f>
        <v>0.12825</v>
      </c>
      <c r="D19" s="21"/>
      <c r="E19" s="79">
        <f>B19</f>
        <v>128.25</v>
      </c>
      <c r="F19" s="35">
        <f t="shared" ref="F19:F28" si="1">E19/E$28</f>
        <v>0.14202657807308969</v>
      </c>
      <c r="H19" s="79">
        <f>B19</f>
        <v>128.25</v>
      </c>
      <c r="I19" s="35">
        <f t="shared" ref="I19:I28" si="2">H19/H$28</f>
        <v>0.12825</v>
      </c>
      <c r="K19" s="79">
        <f>B19</f>
        <v>128.25</v>
      </c>
      <c r="L19" s="35">
        <f t="shared" ref="L19:L28" si="3">K19/K$28</f>
        <v>0.12825</v>
      </c>
      <c r="N19" s="79">
        <f>B19</f>
        <v>128.25</v>
      </c>
      <c r="O19" s="35">
        <f t="shared" ref="O19:O28" si="4">N19/N$28</f>
        <v>0.14202657807308969</v>
      </c>
    </row>
    <row r="20" spans="1:15" s="6" customFormat="1" x14ac:dyDescent="0.25">
      <c r="A20" s="8" t="s">
        <v>60</v>
      </c>
      <c r="B20" s="80">
        <f t="shared" si="0"/>
        <v>-64.125</v>
      </c>
      <c r="C20" s="38">
        <f>-C21</f>
        <v>-6.4125000000000001E-2</v>
      </c>
      <c r="D20" s="21"/>
      <c r="E20" s="80">
        <f>B20</f>
        <v>-64.125</v>
      </c>
      <c r="F20" s="38">
        <f t="shared" si="1"/>
        <v>-7.1013289036544844E-2</v>
      </c>
      <c r="H20" s="80">
        <f>B20</f>
        <v>-64.125</v>
      </c>
      <c r="I20" s="38">
        <f t="shared" si="2"/>
        <v>-6.4125000000000001E-2</v>
      </c>
      <c r="K20" s="80">
        <f>B20</f>
        <v>-64.125</v>
      </c>
      <c r="L20" s="38">
        <f t="shared" si="3"/>
        <v>-6.4125000000000001E-2</v>
      </c>
      <c r="N20" s="80">
        <f>B20</f>
        <v>-64.125</v>
      </c>
      <c r="O20" s="38">
        <f t="shared" si="4"/>
        <v>-7.1013289036544844E-2</v>
      </c>
    </row>
    <row r="21" spans="1:15" s="6" customFormat="1" x14ac:dyDescent="0.25">
      <c r="A21" s="8" t="s">
        <v>61</v>
      </c>
      <c r="B21" s="79">
        <f t="shared" si="0"/>
        <v>64.125</v>
      </c>
      <c r="C21" s="36">
        <f>0.75*$C$25</f>
        <v>6.4125000000000001E-2</v>
      </c>
      <c r="D21" s="21"/>
      <c r="E21" s="79">
        <f>SUM(E19:E20)</f>
        <v>64.125</v>
      </c>
      <c r="F21" s="35">
        <f t="shared" si="1"/>
        <v>7.1013289036544844E-2</v>
      </c>
      <c r="H21" s="79">
        <f>SUM(H19:H20)</f>
        <v>64.125</v>
      </c>
      <c r="I21" s="35">
        <f t="shared" si="2"/>
        <v>6.4125000000000001E-2</v>
      </c>
      <c r="K21" s="79">
        <f>SUM(K19:K20)</f>
        <v>64.125</v>
      </c>
      <c r="L21" s="35">
        <f t="shared" si="3"/>
        <v>6.4125000000000001E-2</v>
      </c>
      <c r="N21" s="79">
        <f>SUM(N19:N20)</f>
        <v>64.125</v>
      </c>
      <c r="O21" s="35">
        <f t="shared" si="4"/>
        <v>7.1013289036544844E-2</v>
      </c>
    </row>
    <row r="22" spans="1:15" x14ac:dyDescent="0.25">
      <c r="A22" s="8" t="s">
        <v>25</v>
      </c>
      <c r="B22" s="79">
        <f t="shared" si="0"/>
        <v>42.75</v>
      </c>
      <c r="C22" s="35">
        <f>2*C24</f>
        <v>4.2750000000000003E-2</v>
      </c>
      <c r="D22" s="35"/>
      <c r="E22" s="79">
        <f>B22</f>
        <v>42.75</v>
      </c>
      <c r="F22" s="35">
        <f t="shared" si="1"/>
        <v>4.7342192691029898E-2</v>
      </c>
      <c r="H22" s="79">
        <f>B22</f>
        <v>42.75</v>
      </c>
      <c r="I22" s="35">
        <f t="shared" si="2"/>
        <v>4.2750000000000003E-2</v>
      </c>
      <c r="K22" s="79">
        <f>B22</f>
        <v>42.75</v>
      </c>
      <c r="L22" s="35">
        <f t="shared" si="3"/>
        <v>4.2750000000000003E-2</v>
      </c>
      <c r="N22" s="79">
        <f>B22</f>
        <v>42.75</v>
      </c>
      <c r="O22" s="35">
        <f t="shared" si="4"/>
        <v>4.7342192691029898E-2</v>
      </c>
    </row>
    <row r="23" spans="1:15" x14ac:dyDescent="0.25">
      <c r="A23" s="8" t="s">
        <v>62</v>
      </c>
      <c r="B23" s="80">
        <f t="shared" si="0"/>
        <v>-21.375</v>
      </c>
      <c r="C23" s="38">
        <f>-C24</f>
        <v>-2.1375000000000002E-2</v>
      </c>
      <c r="D23" s="35"/>
      <c r="E23" s="80">
        <f>B23</f>
        <v>-21.375</v>
      </c>
      <c r="F23" s="38">
        <f t="shared" si="1"/>
        <v>-2.3671096345514949E-2</v>
      </c>
      <c r="H23" s="80">
        <f>B23</f>
        <v>-21.375</v>
      </c>
      <c r="I23" s="38">
        <f t="shared" si="2"/>
        <v>-2.1375000000000002E-2</v>
      </c>
      <c r="K23" s="80">
        <f>B23</f>
        <v>-21.375</v>
      </c>
      <c r="L23" s="38">
        <f t="shared" si="3"/>
        <v>-2.1375000000000002E-2</v>
      </c>
      <c r="N23" s="80">
        <f>B23</f>
        <v>-21.375</v>
      </c>
      <c r="O23" s="38">
        <f t="shared" si="4"/>
        <v>-2.3671096345514949E-2</v>
      </c>
    </row>
    <row r="24" spans="1:15" x14ac:dyDescent="0.25">
      <c r="A24" s="9" t="s">
        <v>63</v>
      </c>
      <c r="B24" s="79">
        <f t="shared" si="0"/>
        <v>21.375</v>
      </c>
      <c r="C24" s="36">
        <f>0.25*$C$25</f>
        <v>2.1375000000000002E-2</v>
      </c>
      <c r="D24" s="35"/>
      <c r="E24" s="79">
        <f>SUM(E22:E23)</f>
        <v>21.375</v>
      </c>
      <c r="F24" s="35">
        <f t="shared" si="1"/>
        <v>2.3671096345514949E-2</v>
      </c>
      <c r="H24" s="79">
        <f>SUM(H22:H23)</f>
        <v>21.375</v>
      </c>
      <c r="I24" s="35">
        <f t="shared" si="2"/>
        <v>2.1375000000000002E-2</v>
      </c>
      <c r="K24" s="79">
        <f>SUM(K22:K23)</f>
        <v>21.375</v>
      </c>
      <c r="L24" s="35">
        <f t="shared" si="3"/>
        <v>2.1375000000000002E-2</v>
      </c>
      <c r="N24" s="79">
        <f>SUM(N22:N23)</f>
        <v>21.375</v>
      </c>
      <c r="O24" s="35">
        <f t="shared" si="4"/>
        <v>2.3671096345514949E-2</v>
      </c>
    </row>
    <row r="25" spans="1:15" x14ac:dyDescent="0.25">
      <c r="A25" s="9" t="s">
        <v>66</v>
      </c>
      <c r="B25" s="79">
        <f t="shared" si="0"/>
        <v>85.5</v>
      </c>
      <c r="C25" s="35">
        <f>0.75*$C$27</f>
        <v>8.5500000000000007E-2</v>
      </c>
      <c r="D25" s="35"/>
      <c r="E25" s="79">
        <f>E24+E21</f>
        <v>85.5</v>
      </c>
      <c r="F25" s="35">
        <f t="shared" si="1"/>
        <v>9.4684385382059796E-2</v>
      </c>
      <c r="H25" s="79">
        <f>H24+H21</f>
        <v>85.5</v>
      </c>
      <c r="I25" s="35">
        <f t="shared" si="2"/>
        <v>8.5500000000000007E-2</v>
      </c>
      <c r="K25" s="79">
        <f>K24+K21</f>
        <v>85.5</v>
      </c>
      <c r="L25" s="35">
        <f t="shared" si="3"/>
        <v>8.5500000000000007E-2</v>
      </c>
      <c r="N25" s="79">
        <f>N24+N21</f>
        <v>85.5</v>
      </c>
      <c r="O25" s="35">
        <f t="shared" si="4"/>
        <v>9.4684385382059796E-2</v>
      </c>
    </row>
    <row r="26" spans="1:15" x14ac:dyDescent="0.25">
      <c r="A26" s="8" t="s">
        <v>26</v>
      </c>
      <c r="B26" s="80">
        <f t="shared" si="0"/>
        <v>28.5</v>
      </c>
      <c r="C26" s="38">
        <f>0.25*$C$27</f>
        <v>2.8500000000000001E-2</v>
      </c>
      <c r="D26" s="35"/>
      <c r="E26" s="80">
        <f>B26</f>
        <v>28.5</v>
      </c>
      <c r="F26" s="38">
        <f t="shared" si="1"/>
        <v>3.1561461794019932E-2</v>
      </c>
      <c r="H26" s="80">
        <f>B26</f>
        <v>28.5</v>
      </c>
      <c r="I26" s="38">
        <f t="shared" si="2"/>
        <v>2.8500000000000001E-2</v>
      </c>
      <c r="K26" s="80">
        <f>B26</f>
        <v>28.5</v>
      </c>
      <c r="L26" s="38">
        <f t="shared" si="3"/>
        <v>2.8500000000000001E-2</v>
      </c>
      <c r="N26" s="80">
        <f>B26</f>
        <v>28.5</v>
      </c>
      <c r="O26" s="38">
        <f t="shared" si="4"/>
        <v>3.1561461794019932E-2</v>
      </c>
    </row>
    <row r="27" spans="1:15" x14ac:dyDescent="0.25">
      <c r="A27" s="8" t="s">
        <v>12</v>
      </c>
      <c r="B27" s="79">
        <f t="shared" si="0"/>
        <v>114</v>
      </c>
      <c r="C27" s="36">
        <v>0.114</v>
      </c>
      <c r="D27" s="35"/>
      <c r="E27" s="79">
        <f>E26+E21+E24</f>
        <v>114</v>
      </c>
      <c r="F27" s="35">
        <f t="shared" si="1"/>
        <v>0.12624584717607973</v>
      </c>
      <c r="H27" s="79">
        <f>H26+H21+H24</f>
        <v>114</v>
      </c>
      <c r="I27" s="35">
        <f t="shared" si="2"/>
        <v>0.114</v>
      </c>
      <c r="K27" s="79">
        <f>K26+K21+K24</f>
        <v>114</v>
      </c>
      <c r="L27" s="35">
        <f t="shared" si="3"/>
        <v>0.114</v>
      </c>
      <c r="N27" s="79">
        <f>N26+N21+N24</f>
        <v>114</v>
      </c>
      <c r="O27" s="35">
        <f t="shared" si="4"/>
        <v>0.12624584717607973</v>
      </c>
    </row>
    <row r="28" spans="1:15" s="27" customFormat="1" x14ac:dyDescent="0.25">
      <c r="A28" s="10" t="s">
        <v>13</v>
      </c>
      <c r="B28" s="81">
        <f>B3</f>
        <v>1000</v>
      </c>
      <c r="C28" s="28">
        <f>B28/$B$28</f>
        <v>1</v>
      </c>
      <c r="D28" s="28"/>
      <c r="E28" s="81">
        <f>E27+E16</f>
        <v>903</v>
      </c>
      <c r="F28" s="28">
        <f t="shared" si="1"/>
        <v>1</v>
      </c>
      <c r="H28" s="81">
        <f>H27+H16</f>
        <v>1000</v>
      </c>
      <c r="I28" s="28">
        <f t="shared" si="2"/>
        <v>1</v>
      </c>
      <c r="K28" s="81">
        <f>K27+K16</f>
        <v>1000</v>
      </c>
      <c r="L28" s="28">
        <f t="shared" si="3"/>
        <v>1</v>
      </c>
      <c r="N28" s="81">
        <f>N27+N16</f>
        <v>903</v>
      </c>
      <c r="O28" s="28">
        <f t="shared" si="4"/>
        <v>1</v>
      </c>
    </row>
    <row r="29" spans="1:15" x14ac:dyDescent="0.25">
      <c r="A29" s="8"/>
      <c r="B29" s="79"/>
      <c r="C29" s="35"/>
      <c r="D29" s="35"/>
      <c r="E29" s="79"/>
      <c r="F29" s="35"/>
      <c r="H29" s="79"/>
      <c r="I29" s="35"/>
      <c r="K29" s="79"/>
      <c r="L29" s="35"/>
      <c r="N29" s="79"/>
      <c r="O29" s="35"/>
    </row>
    <row r="30" spans="1:15" x14ac:dyDescent="0.25">
      <c r="A30" s="8" t="s">
        <v>14</v>
      </c>
      <c r="B30" s="79"/>
      <c r="C30" s="35"/>
      <c r="D30" s="35"/>
      <c r="E30" s="79"/>
      <c r="F30" s="35"/>
      <c r="H30" s="79"/>
      <c r="I30" s="35"/>
      <c r="K30" s="79"/>
      <c r="L30" s="35"/>
      <c r="N30" s="79"/>
      <c r="O30" s="35"/>
    </row>
    <row r="31" spans="1:15" s="6" customFormat="1" x14ac:dyDescent="0.25">
      <c r="A31" s="14" t="s">
        <v>54</v>
      </c>
      <c r="B31" s="79">
        <f>C31*$B$48</f>
        <v>194.25</v>
      </c>
      <c r="C31" s="36">
        <f>0.75*0.259</f>
        <v>0.19425000000000001</v>
      </c>
      <c r="D31" s="21"/>
      <c r="E31" s="83">
        <f>(B31-(B14-E14))</f>
        <v>97.25</v>
      </c>
      <c r="F31" s="35">
        <f t="shared" ref="F31:F36" si="5">E31/E$28</f>
        <v>0.10769656699889259</v>
      </c>
      <c r="H31" s="79">
        <f>B31</f>
        <v>194.25</v>
      </c>
      <c r="I31" s="35">
        <f t="shared" ref="I31:I36" si="6">H31/H$28</f>
        <v>0.19425000000000001</v>
      </c>
      <c r="K31" s="79">
        <f>B31</f>
        <v>194.25</v>
      </c>
      <c r="L31" s="35">
        <f t="shared" ref="L31:L36" si="7">K31/K$28</f>
        <v>0.19425000000000001</v>
      </c>
      <c r="N31" s="83">
        <f>E31</f>
        <v>97.25</v>
      </c>
      <c r="O31" s="35">
        <f t="shared" ref="O31:O36" si="8">N31/N$28</f>
        <v>0.10769656699889259</v>
      </c>
    </row>
    <row r="32" spans="1:15" x14ac:dyDescent="0.25">
      <c r="A32" s="9" t="s">
        <v>53</v>
      </c>
      <c r="B32" s="79">
        <f>C32*$B$48</f>
        <v>64.75</v>
      </c>
      <c r="C32" s="36">
        <f>0.25*0.259</f>
        <v>6.4750000000000002E-2</v>
      </c>
      <c r="D32" s="35"/>
      <c r="E32" s="79">
        <f>B32</f>
        <v>64.75</v>
      </c>
      <c r="F32" s="35">
        <f t="shared" si="5"/>
        <v>7.170542635658915E-2</v>
      </c>
      <c r="H32" s="79">
        <f>B32</f>
        <v>64.75</v>
      </c>
      <c r="I32" s="35">
        <f t="shared" si="6"/>
        <v>6.4750000000000002E-2</v>
      </c>
      <c r="K32" s="79">
        <f>B32</f>
        <v>64.75</v>
      </c>
      <c r="L32" s="35">
        <f t="shared" si="7"/>
        <v>6.4750000000000002E-2</v>
      </c>
      <c r="N32" s="79">
        <f>B32</f>
        <v>64.75</v>
      </c>
      <c r="O32" s="35">
        <f t="shared" si="8"/>
        <v>7.170542635658915E-2</v>
      </c>
    </row>
    <row r="33" spans="1:15" x14ac:dyDescent="0.25">
      <c r="A33" s="8" t="s">
        <v>28</v>
      </c>
      <c r="B33" s="79">
        <f>C33*$B$48</f>
        <v>107</v>
      </c>
      <c r="C33" s="36">
        <v>0.107</v>
      </c>
      <c r="D33" s="35"/>
      <c r="E33" s="79">
        <f>B33</f>
        <v>107</v>
      </c>
      <c r="F33" s="35">
        <f t="shared" si="5"/>
        <v>0.1184939091915836</v>
      </c>
      <c r="H33" s="79">
        <f>B33</f>
        <v>107</v>
      </c>
      <c r="I33" s="35">
        <f t="shared" si="6"/>
        <v>0.107</v>
      </c>
      <c r="K33" s="79">
        <f>B33</f>
        <v>107</v>
      </c>
      <c r="L33" s="35">
        <f t="shared" si="7"/>
        <v>0.107</v>
      </c>
      <c r="N33" s="79">
        <f>B33</f>
        <v>107</v>
      </c>
      <c r="O33" s="35">
        <f t="shared" si="8"/>
        <v>0.1184939091915836</v>
      </c>
    </row>
    <row r="34" spans="1:15" x14ac:dyDescent="0.25">
      <c r="A34" s="8" t="s">
        <v>29</v>
      </c>
      <c r="B34" s="79">
        <f>C34*$B$48</f>
        <v>20.25</v>
      </c>
      <c r="C34" s="36">
        <f>0.25*0.081</f>
        <v>2.0250000000000001E-2</v>
      </c>
      <c r="D34" s="35"/>
      <c r="E34" s="79">
        <f>B34</f>
        <v>20.25</v>
      </c>
      <c r="F34" s="35">
        <f t="shared" si="5"/>
        <v>2.2425249169435217E-2</v>
      </c>
      <c r="H34" s="79">
        <f>B34</f>
        <v>20.25</v>
      </c>
      <c r="I34" s="35">
        <f t="shared" si="6"/>
        <v>2.0250000000000001E-2</v>
      </c>
      <c r="K34" s="79">
        <f>B34</f>
        <v>20.25</v>
      </c>
      <c r="L34" s="35">
        <f t="shared" si="7"/>
        <v>2.0250000000000001E-2</v>
      </c>
      <c r="N34" s="79">
        <f>B34</f>
        <v>20.25</v>
      </c>
      <c r="O34" s="35">
        <f t="shared" si="8"/>
        <v>2.2425249169435217E-2</v>
      </c>
    </row>
    <row r="35" spans="1:15" x14ac:dyDescent="0.25">
      <c r="A35" s="8" t="s">
        <v>30</v>
      </c>
      <c r="B35" s="80">
        <f>C35*$B$48</f>
        <v>60.75</v>
      </c>
      <c r="C35" s="37">
        <f>0.75*0.081</f>
        <v>6.0749999999999998E-2</v>
      </c>
      <c r="D35" s="35"/>
      <c r="E35" s="80">
        <f>B35</f>
        <v>60.75</v>
      </c>
      <c r="F35" s="38">
        <f t="shared" si="5"/>
        <v>6.7275747508305644E-2</v>
      </c>
      <c r="H35" s="80">
        <f>B35</f>
        <v>60.75</v>
      </c>
      <c r="I35" s="38">
        <f t="shared" si="6"/>
        <v>6.0749999999999998E-2</v>
      </c>
      <c r="K35" s="80">
        <f>B35</f>
        <v>60.75</v>
      </c>
      <c r="L35" s="38">
        <f t="shared" si="7"/>
        <v>6.0749999999999998E-2</v>
      </c>
      <c r="N35" s="80">
        <f>B35</f>
        <v>60.75</v>
      </c>
      <c r="O35" s="38">
        <f t="shared" si="8"/>
        <v>6.7275747508305644E-2</v>
      </c>
    </row>
    <row r="36" spans="1:15" x14ac:dyDescent="0.25">
      <c r="A36" s="8" t="s">
        <v>15</v>
      </c>
      <c r="B36" s="79">
        <f>SUM(B31:B35)</f>
        <v>447</v>
      </c>
      <c r="C36" s="35">
        <f>SUM(C31:C35)</f>
        <v>0.44699999999999995</v>
      </c>
      <c r="D36" s="35"/>
      <c r="E36" s="79">
        <f>SUM(E31:E35)</f>
        <v>350</v>
      </c>
      <c r="F36" s="35">
        <f t="shared" si="5"/>
        <v>0.38759689922480622</v>
      </c>
      <c r="H36" s="79">
        <f>SUM(H31:H35)</f>
        <v>447</v>
      </c>
      <c r="I36" s="35">
        <f t="shared" si="6"/>
        <v>0.44700000000000001</v>
      </c>
      <c r="K36" s="79">
        <f>SUM(K31:K35)</f>
        <v>447</v>
      </c>
      <c r="L36" s="35">
        <f t="shared" si="7"/>
        <v>0.44700000000000001</v>
      </c>
      <c r="N36" s="79">
        <f>SUM(N31:N35)</f>
        <v>350</v>
      </c>
      <c r="O36" s="35">
        <f t="shared" si="8"/>
        <v>0.38759689922480622</v>
      </c>
    </row>
    <row r="37" spans="1:15" x14ac:dyDescent="0.25">
      <c r="A37" s="8"/>
      <c r="B37" s="79"/>
      <c r="C37" s="35"/>
      <c r="D37" s="35"/>
      <c r="E37" s="79"/>
      <c r="F37" s="35"/>
      <c r="H37" s="79"/>
      <c r="I37" s="35"/>
      <c r="K37" s="79"/>
      <c r="L37" s="35"/>
      <c r="N37" s="79"/>
      <c r="O37" s="35"/>
    </row>
    <row r="38" spans="1:15" x14ac:dyDescent="0.25">
      <c r="A38" s="9" t="s">
        <v>31</v>
      </c>
      <c r="B38" s="79">
        <f>C38*$B$48</f>
        <v>57.607142857142911</v>
      </c>
      <c r="C38" s="36">
        <f>0.75*$C$40</f>
        <v>5.7607142857142912E-2</v>
      </c>
      <c r="D38" s="35"/>
      <c r="E38" s="79">
        <f>B38</f>
        <v>57.607142857142911</v>
      </c>
      <c r="F38" s="35">
        <f>E38/E$28</f>
        <v>6.3795285556082965E-2</v>
      </c>
      <c r="H38" s="79">
        <f>B38</f>
        <v>57.607142857142911</v>
      </c>
      <c r="I38" s="35">
        <f>H38/H$28</f>
        <v>5.7607142857142912E-2</v>
      </c>
      <c r="K38" s="79">
        <f>B38</f>
        <v>57.607142857142911</v>
      </c>
      <c r="L38" s="35">
        <f>K38/K$28</f>
        <v>5.7607142857142912E-2</v>
      </c>
      <c r="N38" s="79">
        <f>B38</f>
        <v>57.607142857142911</v>
      </c>
      <c r="O38" s="35">
        <f>N38/N$28</f>
        <v>6.3795285556082965E-2</v>
      </c>
    </row>
    <row r="39" spans="1:15" x14ac:dyDescent="0.25">
      <c r="A39" s="9" t="s">
        <v>32</v>
      </c>
      <c r="B39" s="80">
        <f>C39*$B$48</f>
        <v>19.20238095238097</v>
      </c>
      <c r="C39" s="37">
        <f>0.25*$C$40</f>
        <v>1.9202380952380971E-2</v>
      </c>
      <c r="D39" s="35"/>
      <c r="E39" s="80">
        <f>B39</f>
        <v>19.20238095238097</v>
      </c>
      <c r="F39" s="38">
        <f>E39/E$28</f>
        <v>2.1265095185360985E-2</v>
      </c>
      <c r="H39" s="80">
        <f>B39</f>
        <v>19.20238095238097</v>
      </c>
      <c r="I39" s="38">
        <f>H39/H$28</f>
        <v>1.9202380952380971E-2</v>
      </c>
      <c r="K39" s="80">
        <f>B39</f>
        <v>19.20238095238097</v>
      </c>
      <c r="L39" s="38">
        <f>K39/K$28</f>
        <v>1.9202380952380971E-2</v>
      </c>
      <c r="N39" s="80">
        <f>B39</f>
        <v>19.20238095238097</v>
      </c>
      <c r="O39" s="38">
        <f>N39/N$28</f>
        <v>2.1265095185360985E-2</v>
      </c>
    </row>
    <row r="40" spans="1:15" x14ac:dyDescent="0.25">
      <c r="A40" s="8" t="s">
        <v>16</v>
      </c>
      <c r="B40" s="79">
        <f>SUM(B38:B39)</f>
        <v>76.809523809523881</v>
      </c>
      <c r="C40" s="35">
        <f>(C41-C36)</f>
        <v>7.6809523809523883E-2</v>
      </c>
      <c r="D40" s="35"/>
      <c r="E40" s="79">
        <f>SUM(E38:E39)</f>
        <v>76.809523809523881</v>
      </c>
      <c r="F40" s="35">
        <f>E40/E$28</f>
        <v>8.5060380741443939E-2</v>
      </c>
      <c r="H40" s="79">
        <f>SUM(H38:H39)</f>
        <v>76.809523809523881</v>
      </c>
      <c r="I40" s="35">
        <f>H40/H$28</f>
        <v>7.6809523809523883E-2</v>
      </c>
      <c r="K40" s="79">
        <f>SUM(K38:K39)</f>
        <v>76.809523809523881</v>
      </c>
      <c r="L40" s="35">
        <f>K40/K$28</f>
        <v>7.6809523809523883E-2</v>
      </c>
      <c r="N40" s="79">
        <f>SUM(N38:N39)</f>
        <v>76.809523809523881</v>
      </c>
      <c r="O40" s="35">
        <f>N40/N$28</f>
        <v>8.5060380741443939E-2</v>
      </c>
    </row>
    <row r="41" spans="1:15" s="27" customFormat="1" x14ac:dyDescent="0.25">
      <c r="A41" s="11" t="s">
        <v>17</v>
      </c>
      <c r="B41" s="81">
        <f>C41*$B$48</f>
        <v>523.80952380952385</v>
      </c>
      <c r="C41" s="28">
        <f>(B5/(1+B5))</f>
        <v>0.52380952380952384</v>
      </c>
      <c r="D41" s="28"/>
      <c r="E41" s="81">
        <f>E40+E36</f>
        <v>426.80952380952385</v>
      </c>
      <c r="F41" s="28">
        <f>E41/E$28</f>
        <v>0.47265727996625012</v>
      </c>
      <c r="H41" s="81">
        <f>H40+H36</f>
        <v>523.80952380952385</v>
      </c>
      <c r="I41" s="28">
        <f>H41/H$28</f>
        <v>0.52380952380952384</v>
      </c>
      <c r="K41" s="81">
        <f>K40+K36</f>
        <v>523.80952380952385</v>
      </c>
      <c r="L41" s="28">
        <f>K41/K$28</f>
        <v>0.52380952380952384</v>
      </c>
      <c r="N41" s="81">
        <f>N40+N36</f>
        <v>426.80952380952385</v>
      </c>
      <c r="O41" s="28">
        <f>N41/N$28</f>
        <v>0.47265727996625012</v>
      </c>
    </row>
    <row r="42" spans="1:15" x14ac:dyDescent="0.25">
      <c r="B42" s="79"/>
      <c r="C42" s="35"/>
      <c r="D42" s="35"/>
      <c r="E42" s="79"/>
      <c r="F42" s="35"/>
      <c r="H42" s="79"/>
      <c r="I42" s="35"/>
      <c r="K42" s="79"/>
      <c r="L42" s="35"/>
      <c r="N42" s="79"/>
      <c r="O42" s="35"/>
    </row>
    <row r="43" spans="1:15" x14ac:dyDescent="0.25">
      <c r="A43" s="8" t="s">
        <v>34</v>
      </c>
      <c r="B43" s="79">
        <f>C43*$B$48</f>
        <v>4.7619047619047619</v>
      </c>
      <c r="C43" s="36">
        <f>0.01*$C$46</f>
        <v>4.7619047619047615E-3</v>
      </c>
      <c r="D43" s="35"/>
      <c r="E43" s="79">
        <f>B43</f>
        <v>4.7619047619047619</v>
      </c>
      <c r="F43" s="35">
        <f>E43/E$28</f>
        <v>5.273427200337499E-3</v>
      </c>
      <c r="H43" s="79">
        <f>B43</f>
        <v>4.7619047619047619</v>
      </c>
      <c r="I43" s="35">
        <f>H43/H$28</f>
        <v>4.7619047619047615E-3</v>
      </c>
      <c r="K43" s="79">
        <f>B43</f>
        <v>4.7619047619047619</v>
      </c>
      <c r="L43" s="35">
        <f>K43/K$28</f>
        <v>4.7619047619047615E-3</v>
      </c>
      <c r="N43" s="79">
        <f>B43</f>
        <v>4.7619047619047619</v>
      </c>
      <c r="O43" s="35">
        <f>N43/N$28</f>
        <v>5.273427200337499E-3</v>
      </c>
    </row>
    <row r="44" spans="1:15" x14ac:dyDescent="0.25">
      <c r="A44" s="9" t="s">
        <v>35</v>
      </c>
      <c r="B44" s="79">
        <f>C44*$B$48</f>
        <v>95.238095238095227</v>
      </c>
      <c r="C44" s="36">
        <f>0.2*$C$46</f>
        <v>9.5238095238095233E-2</v>
      </c>
      <c r="D44" s="35"/>
      <c r="E44" s="79">
        <f>B44</f>
        <v>95.238095238095227</v>
      </c>
      <c r="F44" s="35">
        <f>E44/E$28</f>
        <v>0.10546854400674997</v>
      </c>
      <c r="H44" s="79">
        <f>B44</f>
        <v>95.238095238095227</v>
      </c>
      <c r="I44" s="35">
        <f>H44/H$28</f>
        <v>9.5238095238095233E-2</v>
      </c>
      <c r="K44" s="79">
        <f>B44</f>
        <v>95.238095238095227</v>
      </c>
      <c r="L44" s="35">
        <f>K44/K$28</f>
        <v>9.5238095238095233E-2</v>
      </c>
      <c r="N44" s="79">
        <f>B44</f>
        <v>95.238095238095227</v>
      </c>
      <c r="O44" s="35">
        <f>N44/N$28</f>
        <v>0.10546854400674997</v>
      </c>
    </row>
    <row r="45" spans="1:15" x14ac:dyDescent="0.25">
      <c r="A45" s="9" t="s">
        <v>18</v>
      </c>
      <c r="B45" s="80">
        <f>C45*$B$48</f>
        <v>376.1904761904762</v>
      </c>
      <c r="C45" s="37">
        <f>0.79*$C$46</f>
        <v>0.37619047619047619</v>
      </c>
      <c r="D45" s="35"/>
      <c r="E45" s="80">
        <f>B45</f>
        <v>376.1904761904762</v>
      </c>
      <c r="F45" s="38">
        <f>E45/E$28</f>
        <v>0.41660074882666248</v>
      </c>
      <c r="H45" s="80">
        <f>B45</f>
        <v>376.1904761904762</v>
      </c>
      <c r="I45" s="38">
        <f>H45/H$28</f>
        <v>0.37619047619047619</v>
      </c>
      <c r="K45" s="80">
        <f>B45</f>
        <v>376.1904761904762</v>
      </c>
      <c r="L45" s="38">
        <f>K45/K$28</f>
        <v>0.37619047619047619</v>
      </c>
      <c r="N45" s="80">
        <f>B45</f>
        <v>376.1904761904762</v>
      </c>
      <c r="O45" s="38">
        <f>N45/N$28</f>
        <v>0.41660074882666248</v>
      </c>
    </row>
    <row r="46" spans="1:15" s="27" customFormat="1" x14ac:dyDescent="0.25">
      <c r="A46" s="10" t="s">
        <v>36</v>
      </c>
      <c r="B46" s="81">
        <f>C46*$B$48</f>
        <v>476.19047619047615</v>
      </c>
      <c r="C46" s="28">
        <f>C48-C41</f>
        <v>0.47619047619047616</v>
      </c>
      <c r="D46" s="28"/>
      <c r="E46" s="81">
        <f>SUM(E43:E45)</f>
        <v>476.1904761904762</v>
      </c>
      <c r="F46" s="28">
        <f>E46/E$28</f>
        <v>0.52734272003374993</v>
      </c>
      <c r="H46" s="81">
        <f>SUM(H43:H45)</f>
        <v>476.1904761904762</v>
      </c>
      <c r="I46" s="28">
        <f>H46/H$28</f>
        <v>0.47619047619047622</v>
      </c>
      <c r="K46" s="81">
        <f>SUM(K43:K45)</f>
        <v>476.1904761904762</v>
      </c>
      <c r="L46" s="28">
        <f>K46/K$28</f>
        <v>0.47619047619047622</v>
      </c>
      <c r="N46" s="81">
        <f>SUM(N43:N45)</f>
        <v>476.1904761904762</v>
      </c>
      <c r="O46" s="28">
        <f>N46/N$28</f>
        <v>0.52734272003374993</v>
      </c>
    </row>
    <row r="47" spans="1:15" x14ac:dyDescent="0.25">
      <c r="A47" s="8"/>
      <c r="B47" s="82"/>
      <c r="C47" s="35"/>
      <c r="D47" s="35"/>
      <c r="E47" s="79"/>
      <c r="F47" s="35"/>
      <c r="H47" s="79"/>
      <c r="I47" s="35"/>
      <c r="K47" s="79"/>
      <c r="L47" s="35"/>
      <c r="N47" s="79"/>
      <c r="O47" s="35"/>
    </row>
    <row r="48" spans="1:15" s="27" customFormat="1" x14ac:dyDescent="0.25">
      <c r="A48" s="11" t="s">
        <v>37</v>
      </c>
      <c r="B48" s="81">
        <f>B28</f>
        <v>1000</v>
      </c>
      <c r="C48" s="28">
        <f>B48/$B$28</f>
        <v>1</v>
      </c>
      <c r="D48" s="28"/>
      <c r="E48" s="81">
        <f>E28</f>
        <v>903</v>
      </c>
      <c r="F48" s="28">
        <f>E48/E$28</f>
        <v>1</v>
      </c>
      <c r="H48" s="81">
        <f>H28</f>
        <v>1000</v>
      </c>
      <c r="I48" s="28">
        <f>H48/H$28</f>
        <v>1</v>
      </c>
      <c r="K48" s="81">
        <f>K28</f>
        <v>1000</v>
      </c>
      <c r="L48" s="28">
        <f>K48/K$28</f>
        <v>1</v>
      </c>
      <c r="N48" s="81">
        <f>N28</f>
        <v>903</v>
      </c>
      <c r="O48" s="28">
        <f>N48/N$28</f>
        <v>1</v>
      </c>
    </row>
    <row r="49" spans="1:15" x14ac:dyDescent="0.25">
      <c r="A49" s="8"/>
      <c r="B49" s="83" t="str">
        <f>IF(B46+B41&lt;&gt;B28,"ERROR","")</f>
        <v/>
      </c>
      <c r="E49" s="83" t="str">
        <f>IF(E46+E41&lt;&gt;E28,"ERROR","")</f>
        <v/>
      </c>
      <c r="H49" s="83" t="str">
        <f>IF(H46+H41&lt;&gt;H28,"ERROR","")</f>
        <v/>
      </c>
      <c r="K49" s="83" t="str">
        <f>IF(K46+K41&lt;&gt;K28,"ERROR","")</f>
        <v/>
      </c>
      <c r="N49" s="83" t="str">
        <f>IF(N46+N41&lt;&gt;N28,"ERROR","")</f>
        <v/>
      </c>
    </row>
    <row r="50" spans="1:15" ht="21" x14ac:dyDescent="0.4">
      <c r="A50" s="25" t="s">
        <v>33</v>
      </c>
      <c r="B50" s="79"/>
      <c r="E50" s="79"/>
      <c r="H50" s="79"/>
      <c r="K50" s="79"/>
      <c r="N50" s="79"/>
    </row>
    <row r="51" spans="1:15" x14ac:dyDescent="0.25">
      <c r="A51" s="7" t="s">
        <v>96</v>
      </c>
      <c r="B51" s="79">
        <f>B53+B52</f>
        <v>2781</v>
      </c>
      <c r="C51" s="35">
        <f>B51/B53</f>
        <v>1.03</v>
      </c>
      <c r="D51" s="51"/>
      <c r="E51" s="79">
        <f>B51</f>
        <v>2781</v>
      </c>
      <c r="F51" s="35">
        <f>E51/$E$53</f>
        <v>1.03</v>
      </c>
      <c r="H51" s="79">
        <f>B51</f>
        <v>2781</v>
      </c>
      <c r="I51" s="35">
        <f>H51/H$53</f>
        <v>1.03</v>
      </c>
      <c r="K51" s="79">
        <f>B51</f>
        <v>2781</v>
      </c>
      <c r="L51" s="35">
        <f>K51/K$53</f>
        <v>1.03</v>
      </c>
      <c r="N51" s="79">
        <f>B51</f>
        <v>2781</v>
      </c>
      <c r="O51" s="35">
        <f>N51/N$53</f>
        <v>1.03</v>
      </c>
    </row>
    <row r="52" spans="1:15" x14ac:dyDescent="0.25">
      <c r="A52" s="7" t="s">
        <v>97</v>
      </c>
      <c r="B52" s="80">
        <f>C52*B53</f>
        <v>81</v>
      </c>
      <c r="C52" s="37">
        <v>0.03</v>
      </c>
      <c r="D52" s="51"/>
      <c r="E52" s="80">
        <f>B52</f>
        <v>81</v>
      </c>
      <c r="F52" s="38">
        <f>E52/$E$53</f>
        <v>0.03</v>
      </c>
      <c r="H52" s="80">
        <f>B52</f>
        <v>81</v>
      </c>
      <c r="I52" s="38">
        <f>H52/H$53</f>
        <v>0.03</v>
      </c>
      <c r="K52" s="80">
        <f>B52</f>
        <v>81</v>
      </c>
      <c r="L52" s="38">
        <f>K52/K$53</f>
        <v>0.03</v>
      </c>
      <c r="N52" s="80">
        <f>B52</f>
        <v>81</v>
      </c>
      <c r="O52" s="38">
        <f>N52/N$53</f>
        <v>0.03</v>
      </c>
    </row>
    <row r="53" spans="1:15" s="27" customFormat="1" x14ac:dyDescent="0.25">
      <c r="A53" s="10" t="s">
        <v>38</v>
      </c>
      <c r="B53" s="81">
        <f>B28*B4</f>
        <v>2700</v>
      </c>
      <c r="C53" s="28">
        <f>B53/$B$53</f>
        <v>1</v>
      </c>
      <c r="D53" s="29"/>
      <c r="E53" s="81">
        <f>E51-E52</f>
        <v>2700</v>
      </c>
      <c r="F53" s="28">
        <f>E53/$E$53</f>
        <v>1</v>
      </c>
      <c r="H53" s="81">
        <f>H51-H52</f>
        <v>2700</v>
      </c>
      <c r="I53" s="28">
        <f>H53/H$53</f>
        <v>1</v>
      </c>
      <c r="K53" s="81">
        <f>K51-K52</f>
        <v>2700</v>
      </c>
      <c r="L53" s="28">
        <f>K53/K$53</f>
        <v>1</v>
      </c>
      <c r="N53" s="81">
        <f>N51-N52</f>
        <v>2700</v>
      </c>
      <c r="O53" s="28">
        <f>N53/N$53</f>
        <v>1</v>
      </c>
    </row>
    <row r="54" spans="1:15" x14ac:dyDescent="0.25">
      <c r="A54" s="8" t="s">
        <v>39</v>
      </c>
      <c r="B54" s="79"/>
      <c r="C54" s="45"/>
      <c r="D54" s="44"/>
      <c r="E54" s="79"/>
      <c r="F54" s="45"/>
      <c r="H54" s="79"/>
      <c r="I54" s="45"/>
      <c r="K54" s="79"/>
      <c r="L54" s="45"/>
      <c r="N54" s="79"/>
      <c r="O54" s="45"/>
    </row>
    <row r="55" spans="1:15" x14ac:dyDescent="0.25">
      <c r="A55" s="9" t="s">
        <v>194</v>
      </c>
      <c r="B55" s="79">
        <f>C55*$B$53</f>
        <v>1989.7919999999999</v>
      </c>
      <c r="C55" s="36">
        <f>(0.98*($C$53-$C$57))</f>
        <v>0.73695999999999995</v>
      </c>
      <c r="D55" s="51"/>
      <c r="E55" s="79">
        <f>B55</f>
        <v>1989.7919999999999</v>
      </c>
      <c r="F55" s="35">
        <f>E55/$E$53</f>
        <v>0.73695999999999995</v>
      </c>
      <c r="H55" s="79">
        <f>B55</f>
        <v>1989.7919999999999</v>
      </c>
      <c r="I55" s="35">
        <f>H55/H$53</f>
        <v>0.73695999999999995</v>
      </c>
      <c r="K55" s="79">
        <f>B55</f>
        <v>1989.7919999999999</v>
      </c>
      <c r="L55" s="35">
        <f>K55/K$53</f>
        <v>0.73695999999999995</v>
      </c>
      <c r="N55" s="79">
        <f>B55</f>
        <v>1989.7919999999999</v>
      </c>
      <c r="O55" s="35">
        <f>N55/N$53</f>
        <v>0.73695999999999995</v>
      </c>
    </row>
    <row r="56" spans="1:15" s="6" customFormat="1" x14ac:dyDescent="0.25">
      <c r="A56" s="14" t="s">
        <v>49</v>
      </c>
      <c r="B56" s="135">
        <f>C56*$B$53</f>
        <v>40.607999999999997</v>
      </c>
      <c r="C56" s="37">
        <f>(0.02*($C$53-$C$57))</f>
        <v>1.504E-2</v>
      </c>
      <c r="D56" s="22"/>
      <c r="E56" s="80">
        <f>B56</f>
        <v>40.607999999999997</v>
      </c>
      <c r="F56" s="38">
        <f>E56/$E$53</f>
        <v>1.504E-2</v>
      </c>
      <c r="H56" s="80">
        <f>B56</f>
        <v>40.607999999999997</v>
      </c>
      <c r="I56" s="38">
        <f>H56/H$53</f>
        <v>1.504E-2</v>
      </c>
      <c r="K56" s="90">
        <f>B56*0.8</f>
        <v>32.486399999999996</v>
      </c>
      <c r="L56" s="38">
        <f>K56/K$53</f>
        <v>1.2031999999999999E-2</v>
      </c>
      <c r="N56" s="90">
        <f>K56</f>
        <v>32.486399999999996</v>
      </c>
      <c r="O56" s="38">
        <f>N56/N$53</f>
        <v>1.2031999999999999E-2</v>
      </c>
    </row>
    <row r="57" spans="1:15" s="27" customFormat="1" x14ac:dyDescent="0.25">
      <c r="A57" s="11" t="s">
        <v>19</v>
      </c>
      <c r="B57" s="81">
        <f>B53-SUM(B55:B56)</f>
        <v>669.60000000000014</v>
      </c>
      <c r="C57" s="28">
        <f>B6</f>
        <v>0.248</v>
      </c>
      <c r="D57" s="29"/>
      <c r="E57" s="81">
        <f>E53-SUM(E55:E56)</f>
        <v>669.60000000000014</v>
      </c>
      <c r="F57" s="28">
        <f>E57/$E$53</f>
        <v>0.24800000000000005</v>
      </c>
      <c r="H57" s="81">
        <f>H53-SUM(H55:H56)</f>
        <v>669.60000000000014</v>
      </c>
      <c r="I57" s="28">
        <f>H57/H$53</f>
        <v>0.24800000000000005</v>
      </c>
      <c r="K57" s="81">
        <f>K53-SUM(K55:K56)</f>
        <v>677.72160000000008</v>
      </c>
      <c r="L57" s="28">
        <f>K57/K$53</f>
        <v>0.25100800000000001</v>
      </c>
      <c r="N57" s="81">
        <f>N53-SUM(N55:N56)</f>
        <v>677.72160000000008</v>
      </c>
      <c r="O57" s="28">
        <f>N57/N$53</f>
        <v>0.25100800000000001</v>
      </c>
    </row>
    <row r="58" spans="1:15" x14ac:dyDescent="0.25">
      <c r="B58" s="84" t="str">
        <f>IF(B57/B53&lt;&gt;C57,"ERROR","")</f>
        <v/>
      </c>
      <c r="D58" s="8"/>
      <c r="E58" s="79"/>
      <c r="H58" s="79"/>
      <c r="K58" s="79"/>
      <c r="N58" s="79"/>
    </row>
    <row r="59" spans="1:15" x14ac:dyDescent="0.25">
      <c r="A59" s="27" t="s">
        <v>73</v>
      </c>
      <c r="B59" s="79"/>
      <c r="D59" s="8"/>
      <c r="E59" s="79"/>
      <c r="H59" s="79"/>
      <c r="K59" s="79"/>
      <c r="N59" s="79"/>
    </row>
    <row r="60" spans="1:15" s="6" customFormat="1" x14ac:dyDescent="0.25">
      <c r="A60" s="77" t="s">
        <v>168</v>
      </c>
      <c r="B60" s="79">
        <f>C60*$B$53</f>
        <v>276.02300000000002</v>
      </c>
      <c r="C60" s="35">
        <f>C57-C76-SUM(C61:C75)</f>
        <v>0.10223074074074075</v>
      </c>
      <c r="D60" s="22"/>
      <c r="E60" s="87">
        <f>B60</f>
        <v>276.02300000000002</v>
      </c>
      <c r="F60" s="35">
        <f>E60/$E$53</f>
        <v>0.10223074074074075</v>
      </c>
      <c r="H60" s="88">
        <f>B60*0.8</f>
        <v>220.81840000000003</v>
      </c>
      <c r="I60" s="35">
        <f>H60/H$53</f>
        <v>8.1784592592592603E-2</v>
      </c>
      <c r="K60" s="82">
        <f>B60</f>
        <v>276.02300000000002</v>
      </c>
      <c r="L60" s="35">
        <f>K60/K$53</f>
        <v>0.10223074074074075</v>
      </c>
      <c r="N60" s="88">
        <f>H60</f>
        <v>220.81840000000003</v>
      </c>
      <c r="O60" s="35">
        <f>N60/N$53</f>
        <v>8.1784592592592603E-2</v>
      </c>
    </row>
    <row r="61" spans="1:15" s="6" customFormat="1" x14ac:dyDescent="0.25">
      <c r="A61" s="77" t="s">
        <v>169</v>
      </c>
      <c r="B61" s="79">
        <f>SUM('Inv CC'!C26:C29)</f>
        <v>2.4249999999999998</v>
      </c>
      <c r="C61" s="35">
        <f>B61/$B$53</f>
        <v>8.9814814814814813E-4</v>
      </c>
      <c r="D61" s="22"/>
      <c r="E61" s="89">
        <f>E14*SUM('Inv CC'!D26:D29)</f>
        <v>1.9399999999999997</v>
      </c>
      <c r="F61" s="35">
        <f>E61/$E$53</f>
        <v>7.185185185185184E-4</v>
      </c>
      <c r="H61" s="87">
        <f>B61</f>
        <v>2.4249999999999998</v>
      </c>
      <c r="I61" s="35">
        <f>H61/H$53</f>
        <v>8.9814814814814813E-4</v>
      </c>
      <c r="K61" s="82">
        <f>B61</f>
        <v>2.4249999999999998</v>
      </c>
      <c r="L61" s="35">
        <f>K61/K$53</f>
        <v>8.9814814814814813E-4</v>
      </c>
      <c r="N61" s="88">
        <f>E61</f>
        <v>1.9399999999999997</v>
      </c>
      <c r="O61" s="35">
        <f>N61/N$53</f>
        <v>7.185185185185184E-4</v>
      </c>
    </row>
    <row r="62" spans="1:15" s="6" customFormat="1" x14ac:dyDescent="0.25">
      <c r="A62" s="14" t="s">
        <v>40</v>
      </c>
      <c r="B62" s="85"/>
      <c r="C62" s="41"/>
      <c r="D62" s="23"/>
      <c r="E62" s="87"/>
      <c r="F62" s="44"/>
      <c r="H62" s="87"/>
      <c r="I62" s="44"/>
      <c r="K62" s="87"/>
      <c r="L62" s="44"/>
      <c r="N62" s="89"/>
      <c r="O62" s="44"/>
    </row>
    <row r="63" spans="1:15" s="6" customFormat="1" x14ac:dyDescent="0.25">
      <c r="A63" s="14" t="s">
        <v>41</v>
      </c>
      <c r="B63" s="79">
        <f>C63*$B$53</f>
        <v>8.1</v>
      </c>
      <c r="C63" s="36">
        <v>3.0000000000000001E-3</v>
      </c>
      <c r="D63" s="22"/>
      <c r="E63" s="89">
        <f>B63-(0.1*(E61/B61))</f>
        <v>8.02</v>
      </c>
      <c r="F63" s="35">
        <f t="shared" ref="F63:F68" si="9">E63/$E$53</f>
        <v>2.9703703703703702E-3</v>
      </c>
      <c r="H63" s="87">
        <f t="shared" ref="H63:H68" si="10">B63</f>
        <v>8.1</v>
      </c>
      <c r="I63" s="35">
        <f t="shared" ref="I63:I68" si="11">H63/H$53</f>
        <v>3.0000000000000001E-3</v>
      </c>
      <c r="K63" s="82">
        <f t="shared" ref="K63:K68" si="12">B63</f>
        <v>8.1</v>
      </c>
      <c r="L63" s="35">
        <f t="shared" ref="L63:L68" si="13">K63/K$53</f>
        <v>3.0000000000000001E-3</v>
      </c>
      <c r="N63" s="88">
        <f t="shared" ref="N63:N68" si="14">E63</f>
        <v>8.02</v>
      </c>
      <c r="O63" s="35">
        <f t="shared" ref="O63:O68" si="15">N63/N$53</f>
        <v>2.9703703703703702E-3</v>
      </c>
    </row>
    <row r="64" spans="1:15" s="6" customFormat="1" x14ac:dyDescent="0.25">
      <c r="A64" s="14" t="s">
        <v>158</v>
      </c>
      <c r="B64" s="79">
        <f>'Inv CC'!C23</f>
        <v>8.1</v>
      </c>
      <c r="C64" s="35">
        <f>B64/$B$53</f>
        <v>3.0000000000000001E-3</v>
      </c>
      <c r="D64" s="22"/>
      <c r="E64" s="89">
        <f>$E$14*'Inv CC'!D23</f>
        <v>6.4799999999999995</v>
      </c>
      <c r="F64" s="35">
        <f t="shared" si="9"/>
        <v>2.3999999999999998E-3</v>
      </c>
      <c r="H64" s="87">
        <f t="shared" si="10"/>
        <v>8.1</v>
      </c>
      <c r="I64" s="35">
        <f t="shared" si="11"/>
        <v>3.0000000000000001E-3</v>
      </c>
      <c r="K64" s="82">
        <f t="shared" si="12"/>
        <v>8.1</v>
      </c>
      <c r="L64" s="35">
        <f t="shared" si="13"/>
        <v>3.0000000000000001E-3</v>
      </c>
      <c r="N64" s="88">
        <f t="shared" si="14"/>
        <v>6.4799999999999995</v>
      </c>
      <c r="O64" s="35">
        <f t="shared" si="15"/>
        <v>2.3999999999999998E-3</v>
      </c>
    </row>
    <row r="65" spans="1:15" s="6" customFormat="1" x14ac:dyDescent="0.25">
      <c r="A65" s="14" t="s">
        <v>160</v>
      </c>
      <c r="B65" s="79">
        <f>'Inv CC'!C32</f>
        <v>3.5</v>
      </c>
      <c r="C65" s="35">
        <f>B65/$B$53</f>
        <v>1.2962962962962963E-3</v>
      </c>
      <c r="D65" s="22"/>
      <c r="E65" s="89">
        <f>$E$14*'Inv CC'!D32</f>
        <v>2.8000000000000003</v>
      </c>
      <c r="F65" s="35">
        <f t="shared" si="9"/>
        <v>1.0370370370370371E-3</v>
      </c>
      <c r="H65" s="87">
        <f t="shared" si="10"/>
        <v>3.5</v>
      </c>
      <c r="I65" s="35">
        <f t="shared" si="11"/>
        <v>1.2962962962962963E-3</v>
      </c>
      <c r="K65" s="82">
        <f t="shared" si="12"/>
        <v>3.5</v>
      </c>
      <c r="L65" s="35">
        <f t="shared" si="13"/>
        <v>1.2962962962962963E-3</v>
      </c>
      <c r="N65" s="88">
        <f t="shared" si="14"/>
        <v>2.8000000000000003</v>
      </c>
      <c r="O65" s="35">
        <f t="shared" si="15"/>
        <v>1.0370370370370371E-3</v>
      </c>
    </row>
    <row r="66" spans="1:15" s="6" customFormat="1" x14ac:dyDescent="0.25">
      <c r="A66" s="14" t="s">
        <v>162</v>
      </c>
      <c r="B66" s="79">
        <f>'Inv CC'!C33</f>
        <v>2</v>
      </c>
      <c r="C66" s="35">
        <f>B66/$B$53</f>
        <v>7.407407407407407E-4</v>
      </c>
      <c r="D66" s="22"/>
      <c r="E66" s="89">
        <f>$E$14*'Inv CC'!D33</f>
        <v>1.6</v>
      </c>
      <c r="F66" s="35">
        <f t="shared" si="9"/>
        <v>5.9259259259259258E-4</v>
      </c>
      <c r="H66" s="87">
        <f t="shared" si="10"/>
        <v>2</v>
      </c>
      <c r="I66" s="35">
        <f t="shared" si="11"/>
        <v>7.407407407407407E-4</v>
      </c>
      <c r="K66" s="82">
        <f t="shared" si="12"/>
        <v>2</v>
      </c>
      <c r="L66" s="35">
        <f t="shared" si="13"/>
        <v>7.407407407407407E-4</v>
      </c>
      <c r="N66" s="88">
        <f t="shared" si="14"/>
        <v>1.6</v>
      </c>
      <c r="O66" s="35">
        <f t="shared" si="15"/>
        <v>5.9259259259259258E-4</v>
      </c>
    </row>
    <row r="67" spans="1:15" s="6" customFormat="1" x14ac:dyDescent="0.25">
      <c r="A67" s="14" t="s">
        <v>163</v>
      </c>
      <c r="B67" s="79">
        <f>'Inv CC'!C34</f>
        <v>2</v>
      </c>
      <c r="C67" s="35">
        <f>B67/$B$53</f>
        <v>7.407407407407407E-4</v>
      </c>
      <c r="D67" s="22"/>
      <c r="E67" s="89">
        <f>$E$14*'Inv CC'!D34</f>
        <v>1.6</v>
      </c>
      <c r="F67" s="35">
        <f t="shared" si="9"/>
        <v>5.9259259259259258E-4</v>
      </c>
      <c r="H67" s="87">
        <f t="shared" si="10"/>
        <v>2</v>
      </c>
      <c r="I67" s="35">
        <f t="shared" si="11"/>
        <v>7.407407407407407E-4</v>
      </c>
      <c r="K67" s="82">
        <f t="shared" si="12"/>
        <v>2</v>
      </c>
      <c r="L67" s="35">
        <f t="shared" si="13"/>
        <v>7.407407407407407E-4</v>
      </c>
      <c r="N67" s="88">
        <f t="shared" si="14"/>
        <v>1.6</v>
      </c>
      <c r="O67" s="35">
        <f t="shared" si="15"/>
        <v>5.9259259259259258E-4</v>
      </c>
    </row>
    <row r="68" spans="1:15" s="6" customFormat="1" x14ac:dyDescent="0.25">
      <c r="A68" s="14" t="s">
        <v>164</v>
      </c>
      <c r="B68" s="79">
        <f>'Inv CC'!C35</f>
        <v>0</v>
      </c>
      <c r="C68" s="35">
        <f>B68/$B$53</f>
        <v>0</v>
      </c>
      <c r="D68" s="22"/>
      <c r="E68" s="87">
        <f>$E$14*'Inv CC'!D35</f>
        <v>0</v>
      </c>
      <c r="F68" s="35">
        <f t="shared" si="9"/>
        <v>0</v>
      </c>
      <c r="H68" s="87">
        <f t="shared" si="10"/>
        <v>0</v>
      </c>
      <c r="I68" s="35">
        <f t="shared" si="11"/>
        <v>0</v>
      </c>
      <c r="K68" s="82">
        <f t="shared" si="12"/>
        <v>0</v>
      </c>
      <c r="L68" s="35">
        <f t="shared" si="13"/>
        <v>0</v>
      </c>
      <c r="N68" s="82">
        <f t="shared" si="14"/>
        <v>0</v>
      </c>
      <c r="O68" s="35">
        <f t="shared" si="15"/>
        <v>0</v>
      </c>
    </row>
    <row r="69" spans="1:15" x14ac:dyDescent="0.25">
      <c r="A69" s="11" t="s">
        <v>74</v>
      </c>
      <c r="B69" s="86"/>
      <c r="C69" s="40"/>
      <c r="D69" s="44"/>
      <c r="E69" s="79"/>
      <c r="F69" s="45"/>
      <c r="H69" s="79"/>
      <c r="I69" s="45"/>
      <c r="K69" s="79"/>
      <c r="L69" s="45"/>
      <c r="N69" s="79"/>
      <c r="O69" s="45"/>
    </row>
    <row r="70" spans="1:15" x14ac:dyDescent="0.25">
      <c r="A70" s="9" t="s">
        <v>44</v>
      </c>
      <c r="B70" s="79">
        <f>C70*$B$53</f>
        <v>178.20000000000002</v>
      </c>
      <c r="C70" s="36">
        <v>6.6000000000000003E-2</v>
      </c>
      <c r="D70" s="51"/>
      <c r="E70" s="87">
        <f>B70</f>
        <v>178.20000000000002</v>
      </c>
      <c r="F70" s="35">
        <f t="shared" ref="F70:F75" si="16">E70/$E$53</f>
        <v>6.6000000000000003E-2</v>
      </c>
      <c r="H70" s="87">
        <f>B70</f>
        <v>178.20000000000002</v>
      </c>
      <c r="I70" s="35">
        <f t="shared" ref="I70:I76" si="17">H70/H$53</f>
        <v>6.6000000000000003E-2</v>
      </c>
      <c r="K70" s="87">
        <f>B70</f>
        <v>178.20000000000002</v>
      </c>
      <c r="L70" s="35">
        <f t="shared" ref="L70:L76" si="18">K70/K$53</f>
        <v>6.6000000000000003E-2</v>
      </c>
      <c r="N70" s="87">
        <f>B70</f>
        <v>178.20000000000002</v>
      </c>
      <c r="O70" s="35">
        <f t="shared" ref="O70:O76" si="19">N70/N$53</f>
        <v>6.6000000000000003E-2</v>
      </c>
    </row>
    <row r="71" spans="1:15" s="6" customFormat="1" x14ac:dyDescent="0.25">
      <c r="A71" s="13" t="s">
        <v>50</v>
      </c>
      <c r="B71" s="136">
        <f>(B56/0.3)*0.7</f>
        <v>94.751999999999981</v>
      </c>
      <c r="C71" s="35">
        <f>B71/$B$53</f>
        <v>3.5093333333333324E-2</v>
      </c>
      <c r="D71" s="22"/>
      <c r="E71" s="87">
        <f>B71</f>
        <v>94.751999999999981</v>
      </c>
      <c r="F71" s="35">
        <f t="shared" si="16"/>
        <v>3.5093333333333324E-2</v>
      </c>
      <c r="H71" s="87">
        <f>B71</f>
        <v>94.751999999999981</v>
      </c>
      <c r="I71" s="35">
        <f t="shared" si="17"/>
        <v>3.5093333333333324E-2</v>
      </c>
      <c r="K71" s="88">
        <f>B71*0.8</f>
        <v>75.801599999999993</v>
      </c>
      <c r="L71" s="35">
        <f t="shared" si="18"/>
        <v>2.8074666666666664E-2</v>
      </c>
      <c r="N71" s="88">
        <f>K71</f>
        <v>75.801599999999993</v>
      </c>
      <c r="O71" s="35">
        <f t="shared" si="19"/>
        <v>2.8074666666666664E-2</v>
      </c>
    </row>
    <row r="72" spans="1:15" s="6" customFormat="1" x14ac:dyDescent="0.25">
      <c r="A72" s="13" t="s">
        <v>51</v>
      </c>
      <c r="B72" s="79">
        <f>C72*$B$53</f>
        <v>13.5</v>
      </c>
      <c r="C72" s="36">
        <v>5.0000000000000001E-3</v>
      </c>
      <c r="D72" s="22"/>
      <c r="E72" s="87">
        <f>B72</f>
        <v>13.5</v>
      </c>
      <c r="F72" s="35">
        <f t="shared" si="16"/>
        <v>5.0000000000000001E-3</v>
      </c>
      <c r="H72" s="89">
        <f>B72*0.8</f>
        <v>10.8</v>
      </c>
      <c r="I72" s="35">
        <f t="shared" si="17"/>
        <v>4.0000000000000001E-3</v>
      </c>
      <c r="K72" s="82">
        <f>B72</f>
        <v>13.5</v>
      </c>
      <c r="L72" s="35">
        <f t="shared" si="18"/>
        <v>5.0000000000000001E-3</v>
      </c>
      <c r="N72" s="88">
        <f>H72</f>
        <v>10.8</v>
      </c>
      <c r="O72" s="35">
        <f t="shared" si="19"/>
        <v>4.0000000000000001E-3</v>
      </c>
    </row>
    <row r="73" spans="1:15" x14ac:dyDescent="0.25">
      <c r="A73" s="10" t="s">
        <v>43</v>
      </c>
      <c r="B73" s="86"/>
      <c r="C73" s="39"/>
      <c r="D73" s="51"/>
      <c r="E73" s="79"/>
      <c r="F73" s="35"/>
      <c r="H73" s="79"/>
      <c r="I73" s="35"/>
      <c r="K73" s="79"/>
      <c r="L73" s="35"/>
      <c r="N73" s="79"/>
      <c r="O73" s="35"/>
    </row>
    <row r="74" spans="1:15" x14ac:dyDescent="0.25">
      <c r="A74" s="9" t="s">
        <v>85</v>
      </c>
      <c r="B74" s="79">
        <f>C74*$B$53</f>
        <v>5.4</v>
      </c>
      <c r="C74" s="36">
        <v>2E-3</v>
      </c>
      <c r="D74" s="51"/>
      <c r="E74" s="87">
        <f>B74</f>
        <v>5.4</v>
      </c>
      <c r="F74" s="35">
        <f t="shared" si="16"/>
        <v>2E-3</v>
      </c>
      <c r="H74" s="87">
        <f>B74</f>
        <v>5.4</v>
      </c>
      <c r="I74" s="35">
        <f t="shared" si="17"/>
        <v>2E-3</v>
      </c>
      <c r="K74" s="87">
        <f>B74</f>
        <v>5.4</v>
      </c>
      <c r="L74" s="35">
        <f t="shared" si="18"/>
        <v>2E-3</v>
      </c>
      <c r="N74" s="87">
        <f>B74</f>
        <v>5.4</v>
      </c>
      <c r="O74" s="35">
        <f t="shared" si="19"/>
        <v>2E-3</v>
      </c>
    </row>
    <row r="75" spans="1:15" s="6" customFormat="1" x14ac:dyDescent="0.25">
      <c r="A75" s="9" t="s">
        <v>79</v>
      </c>
      <c r="B75" s="80">
        <f>C75*$B$53</f>
        <v>5.4</v>
      </c>
      <c r="C75" s="37">
        <v>2E-3</v>
      </c>
      <c r="D75" s="22"/>
      <c r="E75" s="80">
        <f>B75</f>
        <v>5.4</v>
      </c>
      <c r="F75" s="38">
        <f t="shared" si="16"/>
        <v>2E-3</v>
      </c>
      <c r="H75" s="80">
        <f>B75</f>
        <v>5.4</v>
      </c>
      <c r="I75" s="38">
        <f t="shared" si="17"/>
        <v>2E-3</v>
      </c>
      <c r="K75" s="80">
        <f>B75</f>
        <v>5.4</v>
      </c>
      <c r="L75" s="38">
        <f t="shared" si="18"/>
        <v>2E-3</v>
      </c>
      <c r="N75" s="80">
        <f>B75</f>
        <v>5.4</v>
      </c>
      <c r="O75" s="38">
        <f t="shared" si="19"/>
        <v>2E-3</v>
      </c>
    </row>
    <row r="76" spans="1:15" s="6" customFormat="1" x14ac:dyDescent="0.25">
      <c r="A76" s="11" t="s">
        <v>106</v>
      </c>
      <c r="B76" s="81">
        <f>C76*$B$53</f>
        <v>70.2</v>
      </c>
      <c r="C76" s="28">
        <f>B7</f>
        <v>2.5999999999999999E-2</v>
      </c>
      <c r="D76" s="29"/>
      <c r="E76" s="81">
        <f>E57-SUM(E60:E75)</f>
        <v>73.885000000000105</v>
      </c>
      <c r="F76" s="28">
        <f>C76</f>
        <v>2.5999999999999999E-2</v>
      </c>
      <c r="H76" s="81">
        <f>H57-SUM(H60:H75)</f>
        <v>128.10460000000023</v>
      </c>
      <c r="I76" s="28">
        <f t="shared" si="17"/>
        <v>4.7446148148148237E-2</v>
      </c>
      <c r="K76" s="81">
        <f>K57-SUM(K60:K75)</f>
        <v>97.272000000000048</v>
      </c>
      <c r="L76" s="28">
        <f t="shared" si="18"/>
        <v>3.6026666666666686E-2</v>
      </c>
      <c r="N76" s="81">
        <f>N57-SUM(N60:N75)</f>
        <v>158.86160000000007</v>
      </c>
      <c r="O76" s="28">
        <f t="shared" si="19"/>
        <v>5.8837629629629656E-2</v>
      </c>
    </row>
    <row r="77" spans="1:15" x14ac:dyDescent="0.25">
      <c r="A77" s="10" t="s">
        <v>42</v>
      </c>
      <c r="B77" s="83" t="str">
        <f>IF(ABS(B76-(B57-SUM(B60:B75)))&gt;0.0001,"ERROR","")</f>
        <v/>
      </c>
      <c r="C77" s="134"/>
      <c r="D77" s="44"/>
      <c r="E77" s="83" t="str">
        <f>IF(ABS(E76-(E57-SUM(E60:E75)))&gt;0.0001,"ERROR","")</f>
        <v/>
      </c>
      <c r="F77" s="45"/>
      <c r="H77" s="83" t="str">
        <f>IF(ABS(H76-(H57-SUM(H60:H75)))&gt;0.0001,"ERROR","")</f>
        <v/>
      </c>
      <c r="I77" s="45"/>
      <c r="K77" s="83" t="str">
        <f>IF(ABS(K76-(K57-SUM(K60:K75)))&gt;0.0001,"ERROR","")</f>
        <v/>
      </c>
      <c r="L77" s="45"/>
      <c r="N77" s="83" t="str">
        <f>IF(ABS(N76-(N57-SUM(N60:N75)))&gt;0.0001,"ERROR","")</f>
        <v/>
      </c>
      <c r="O77" s="45"/>
    </row>
    <row r="78" spans="1:15" x14ac:dyDescent="0.25">
      <c r="A78" s="9" t="s">
        <v>88</v>
      </c>
      <c r="B78" s="87">
        <f>C78*$B$53</f>
        <v>5.4</v>
      </c>
      <c r="C78" s="36">
        <v>2E-3</v>
      </c>
      <c r="D78" s="51"/>
      <c r="E78" s="79">
        <f>B78</f>
        <v>5.4</v>
      </c>
      <c r="F78" s="35">
        <f>E78/$E$53</f>
        <v>2E-3</v>
      </c>
      <c r="H78" s="79">
        <f>B78</f>
        <v>5.4</v>
      </c>
      <c r="I78" s="35">
        <f>H78/H$53</f>
        <v>2E-3</v>
      </c>
      <c r="K78" s="79">
        <f>B78</f>
        <v>5.4</v>
      </c>
      <c r="L78" s="35">
        <f>K78/K$53</f>
        <v>2E-3</v>
      </c>
      <c r="N78" s="79">
        <f>B78</f>
        <v>5.4</v>
      </c>
      <c r="O78" s="35">
        <f>N78/N$53</f>
        <v>2E-3</v>
      </c>
    </row>
    <row r="79" spans="1:15" s="6" customFormat="1" x14ac:dyDescent="0.25">
      <c r="A79" s="9" t="s">
        <v>89</v>
      </c>
      <c r="B79" s="87">
        <f>C79*$B$53</f>
        <v>8.1</v>
      </c>
      <c r="C79" s="36">
        <v>3.0000000000000001E-3</v>
      </c>
      <c r="D79" s="22"/>
      <c r="E79" s="79">
        <f>B79</f>
        <v>8.1</v>
      </c>
      <c r="F79" s="35">
        <f>E79/$E$53</f>
        <v>3.0000000000000001E-3</v>
      </c>
      <c r="H79" s="79">
        <f>B79</f>
        <v>8.1</v>
      </c>
      <c r="I79" s="35">
        <f>H79/H$53</f>
        <v>3.0000000000000001E-3</v>
      </c>
      <c r="K79" s="79">
        <f>B79</f>
        <v>8.1</v>
      </c>
      <c r="L79" s="35">
        <f>K79/K$53</f>
        <v>3.0000000000000001E-3</v>
      </c>
      <c r="N79" s="79">
        <f>B79</f>
        <v>8.1</v>
      </c>
      <c r="O79" s="35">
        <f>N79/N$53</f>
        <v>3.0000000000000001E-3</v>
      </c>
    </row>
    <row r="80" spans="1:15" s="6" customFormat="1" x14ac:dyDescent="0.25">
      <c r="A80" s="14" t="s">
        <v>90</v>
      </c>
      <c r="B80" s="87">
        <f>C80*$B$53</f>
        <v>5.4</v>
      </c>
      <c r="C80" s="36">
        <v>2E-3</v>
      </c>
      <c r="D80" s="22"/>
      <c r="E80" s="84">
        <f>B80*0.8</f>
        <v>4.32</v>
      </c>
      <c r="F80" s="35">
        <f>E80/$E$53</f>
        <v>1.6000000000000001E-3</v>
      </c>
      <c r="H80" s="79">
        <f>B80</f>
        <v>5.4</v>
      </c>
      <c r="I80" s="35">
        <f>H80/H$53</f>
        <v>2E-3</v>
      </c>
      <c r="K80" s="79">
        <f>B80</f>
        <v>5.4</v>
      </c>
      <c r="L80" s="35">
        <f>K80/K$53</f>
        <v>2E-3</v>
      </c>
      <c r="N80" s="83">
        <f>E80</f>
        <v>4.32</v>
      </c>
      <c r="O80" s="35">
        <f>N80/N$53</f>
        <v>1.6000000000000001E-3</v>
      </c>
    </row>
    <row r="81" spans="1:15" x14ac:dyDescent="0.25">
      <c r="A81" s="10" t="s">
        <v>107</v>
      </c>
      <c r="B81" s="80">
        <f>C81*$B$53</f>
        <v>-16.2</v>
      </c>
      <c r="C81" s="37">
        <v>-6.0000000000000001E-3</v>
      </c>
      <c r="D81" s="51"/>
      <c r="E81" s="80">
        <f>B81</f>
        <v>-16.2</v>
      </c>
      <c r="F81" s="38">
        <f>E81/$E$53</f>
        <v>-6.0000000000000001E-3</v>
      </c>
      <c r="H81" s="80">
        <f>B81</f>
        <v>-16.2</v>
      </c>
      <c r="I81" s="38">
        <f>H81/H$53</f>
        <v>-6.0000000000000001E-3</v>
      </c>
      <c r="K81" s="80">
        <f>B81</f>
        <v>-16.2</v>
      </c>
      <c r="L81" s="38">
        <f>K81/K$53</f>
        <v>-6.0000000000000001E-3</v>
      </c>
      <c r="N81" s="80">
        <f>B81</f>
        <v>-16.2</v>
      </c>
      <c r="O81" s="38">
        <f>N81/N$53</f>
        <v>-6.0000000000000001E-3</v>
      </c>
    </row>
    <row r="82" spans="1:15" s="27" customFormat="1" x14ac:dyDescent="0.25">
      <c r="A82" s="10" t="s">
        <v>20</v>
      </c>
      <c r="B82" s="81">
        <f>C82*B53</f>
        <v>67.5</v>
      </c>
      <c r="C82" s="28">
        <f>B8</f>
        <v>2.5000000000000001E-2</v>
      </c>
      <c r="D82" s="29"/>
      <c r="E82" s="81">
        <f>E76-SUM(E78:E81)</f>
        <v>72.2650000000001</v>
      </c>
      <c r="F82" s="28">
        <f>E82/$E$53</f>
        <v>2.6764814814814852E-2</v>
      </c>
      <c r="H82" s="81">
        <f>H76-SUM(H78:H81)</f>
        <v>125.40460000000023</v>
      </c>
      <c r="I82" s="28">
        <f>H82/H$53</f>
        <v>4.6446148148148236E-2</v>
      </c>
      <c r="K82" s="81">
        <f>K76-SUM(K78:K81)</f>
        <v>94.572000000000045</v>
      </c>
      <c r="L82" s="28">
        <f>K82/K$53</f>
        <v>3.5026666666666685E-2</v>
      </c>
      <c r="N82" s="81">
        <f>N76-SUM(N78:N81)</f>
        <v>157.24160000000006</v>
      </c>
      <c r="O82" s="28">
        <f>N82/N$53</f>
        <v>5.8237629629629653E-2</v>
      </c>
    </row>
    <row r="83" spans="1:15" x14ac:dyDescent="0.25">
      <c r="A83" s="10"/>
      <c r="B83" s="88" t="str">
        <f>IF(B76-SUM(B78:B81)&lt;&gt;B82,"ERROR","")</f>
        <v/>
      </c>
      <c r="C83" s="138"/>
      <c r="D83" s="23"/>
      <c r="E83" s="88" t="str">
        <f>IF(E76-SUM(E78:E81)&lt;&gt;E82,"ERROR","")</f>
        <v/>
      </c>
      <c r="F83" s="138"/>
      <c r="G83" s="6"/>
      <c r="H83" s="88" t="str">
        <f>IF(H76-SUM(H78:H81)&lt;&gt;H82,"ERROR","")</f>
        <v/>
      </c>
      <c r="I83" s="138"/>
      <c r="J83" s="6"/>
      <c r="K83" s="88" t="str">
        <f>IF(K76-SUM(K78:K81)&lt;&gt;K82,"ERROR","")</f>
        <v/>
      </c>
      <c r="L83" s="138"/>
      <c r="M83" s="6"/>
      <c r="N83" s="88" t="str">
        <f>IF(N76-SUM(N78:N81)&lt;&gt;N82,"ERROR","")</f>
        <v/>
      </c>
      <c r="O83" s="138"/>
    </row>
    <row r="84" spans="1:15" x14ac:dyDescent="0.25">
      <c r="A84" s="9" t="s">
        <v>154</v>
      </c>
      <c r="B84" s="79">
        <f>B82*'Inv CC'!$D$18</f>
        <v>27</v>
      </c>
      <c r="C84" s="35">
        <f>B84/$B$53</f>
        <v>0.01</v>
      </c>
      <c r="D84" s="51"/>
      <c r="E84" s="79">
        <f>E82*'Inv CC'!$D$18</f>
        <v>28.906000000000041</v>
      </c>
      <c r="F84" s="35">
        <f>E84/$E$53</f>
        <v>1.0705925925925942E-2</v>
      </c>
      <c r="H84" s="79">
        <f>H82*'Inv CC'!$D$18</f>
        <v>50.161840000000097</v>
      </c>
      <c r="I84" s="35">
        <f>H84/H$53</f>
        <v>1.8578459259259297E-2</v>
      </c>
      <c r="K84" s="79">
        <f>K82*'Inv CC'!$D$18</f>
        <v>37.828800000000022</v>
      </c>
      <c r="L84" s="35">
        <f>K84/K$53</f>
        <v>1.4010666666666675E-2</v>
      </c>
      <c r="N84" s="79">
        <f>N82*'Inv CC'!$D$18</f>
        <v>62.896640000000026</v>
      </c>
      <c r="O84" s="35">
        <f>N84/N$53</f>
        <v>2.3295051851851861E-2</v>
      </c>
    </row>
    <row r="85" spans="1:15" x14ac:dyDescent="0.25">
      <c r="A85" s="14" t="s">
        <v>159</v>
      </c>
      <c r="B85" s="79">
        <f>(B14*'Inv CC'!$D$22)</f>
        <v>4.8499999999999996</v>
      </c>
      <c r="C85" s="35">
        <f>B85/$B$53</f>
        <v>1.7962962962962963E-3</v>
      </c>
      <c r="D85" s="51"/>
      <c r="E85" s="83">
        <f>(E14*'Inv CC'!$D$22)</f>
        <v>3.8799999999999994</v>
      </c>
      <c r="F85" s="35">
        <f>E85/$E$53</f>
        <v>1.4370370370370368E-3</v>
      </c>
      <c r="H85" s="79">
        <f>(H14*'Inv CC'!$D$22)</f>
        <v>4.8499999999999996</v>
      </c>
      <c r="I85" s="35">
        <f>H85/H$53</f>
        <v>1.7962962962962963E-3</v>
      </c>
      <c r="K85" s="79">
        <f>(K14*'Inv CC'!$D$22)</f>
        <v>4.8499999999999996</v>
      </c>
      <c r="L85" s="35">
        <f>K85/K$53</f>
        <v>1.7962962962962963E-3</v>
      </c>
      <c r="N85" s="83">
        <f>(N14*'Inv CC'!$D$22)</f>
        <v>3.8799999999999994</v>
      </c>
      <c r="O85" s="35">
        <f>N85/N$53</f>
        <v>1.4370370370370368E-3</v>
      </c>
    </row>
    <row r="86" spans="1:15" x14ac:dyDescent="0.25">
      <c r="A86" s="9" t="s">
        <v>45</v>
      </c>
      <c r="B86" s="80">
        <v>0</v>
      </c>
      <c r="C86" s="38">
        <f>B86/$B$53</f>
        <v>0</v>
      </c>
      <c r="D86" s="51"/>
      <c r="E86" s="80">
        <f>B86</f>
        <v>0</v>
      </c>
      <c r="F86" s="38">
        <f>E86/$E$53</f>
        <v>0</v>
      </c>
      <c r="H86" s="80">
        <f>B86</f>
        <v>0</v>
      </c>
      <c r="I86" s="38">
        <f>H86/H$53</f>
        <v>0</v>
      </c>
      <c r="K86" s="80">
        <f>B86</f>
        <v>0</v>
      </c>
      <c r="L86" s="38">
        <f>K86/K$53</f>
        <v>0</v>
      </c>
      <c r="N86" s="80">
        <f>B86</f>
        <v>0</v>
      </c>
      <c r="O86" s="38">
        <f>N86/N$53</f>
        <v>0</v>
      </c>
    </row>
    <row r="87" spans="1:15" s="27" customFormat="1" x14ac:dyDescent="0.25">
      <c r="A87" s="11" t="s">
        <v>21</v>
      </c>
      <c r="B87" s="81">
        <f>B82-SUM(B84:B86)</f>
        <v>35.65</v>
      </c>
      <c r="C87" s="28">
        <f>B87/$B$53</f>
        <v>1.3203703703703704E-2</v>
      </c>
      <c r="D87" s="29"/>
      <c r="E87" s="81">
        <f>E82-SUM(E84:E86)</f>
        <v>39.479000000000056</v>
      </c>
      <c r="F87" s="28">
        <f>E87/$E$53</f>
        <v>1.4621851851851872E-2</v>
      </c>
      <c r="H87" s="81">
        <f>H82-SUM(H84:H86)</f>
        <v>70.392760000000123</v>
      </c>
      <c r="I87" s="28">
        <f>H87/H$53</f>
        <v>2.6071392592592637E-2</v>
      </c>
      <c r="K87" s="81">
        <f>K82-SUM(K84:K86)</f>
        <v>51.893200000000022</v>
      </c>
      <c r="L87" s="28">
        <f>K87/K$53</f>
        <v>1.9219703703703711E-2</v>
      </c>
      <c r="N87" s="81">
        <f>N82-SUM(N84:N86)</f>
        <v>90.464960000000033</v>
      </c>
      <c r="O87" s="28">
        <f>N87/N$53</f>
        <v>3.3505540740740754E-2</v>
      </c>
    </row>
    <row r="88" spans="1:15" x14ac:dyDescent="0.25">
      <c r="A88" s="8"/>
      <c r="B88" s="42" t="str">
        <f>IF(B82-SUM(B84:B86)&lt;&gt;B87,"ERROR","")</f>
        <v/>
      </c>
      <c r="E88" s="42" t="str">
        <f>IF(E82-SUM(E84:E86)&lt;&gt;E87,"ERROR","")</f>
        <v/>
      </c>
      <c r="H88" s="42" t="str">
        <f>IF(H82-SUM(H84:H86)&lt;&gt;H87,"ERROR","")</f>
        <v/>
      </c>
      <c r="K88" s="42" t="str">
        <f>IF(K82-SUM(K84:K86)&lt;&gt;K87,"ERROR","")</f>
        <v/>
      </c>
      <c r="N88" s="42" t="str">
        <f>IF(N82-SUM(N84:N86)&lt;&gt;N87,"ERROR","")</f>
        <v/>
      </c>
    </row>
    <row r="89" spans="1:15" ht="21" x14ac:dyDescent="0.4">
      <c r="A89" s="25" t="s">
        <v>119</v>
      </c>
      <c r="B89" s="32"/>
    </row>
    <row r="90" spans="1:15" x14ac:dyDescent="0.25">
      <c r="A90" s="9" t="s">
        <v>109</v>
      </c>
      <c r="B90" s="62">
        <f>(B55+B56)/B14</f>
        <v>4.1863917525773191</v>
      </c>
      <c r="C90" s="62"/>
      <c r="D90" s="62"/>
      <c r="E90" s="62">
        <f>(E55+E56)/E14</f>
        <v>5.2329896907216495</v>
      </c>
      <c r="F90" s="62"/>
      <c r="G90" s="62"/>
      <c r="H90" s="62">
        <f>(H55+H56)/H14</f>
        <v>4.1863917525773191</v>
      </c>
      <c r="I90" s="62"/>
      <c r="J90" s="62"/>
      <c r="K90" s="62">
        <f>(K55+K56)/K14</f>
        <v>4.1696461855670099</v>
      </c>
      <c r="L90" s="62"/>
      <c r="M90" s="62"/>
      <c r="N90" s="62">
        <f>(N55+N56)/N14</f>
        <v>5.2120577319587627</v>
      </c>
    </row>
    <row r="91" spans="1:15" x14ac:dyDescent="0.25">
      <c r="A91" s="7" t="s">
        <v>56</v>
      </c>
      <c r="B91" s="62">
        <f>B98</f>
        <v>87.187253743104819</v>
      </c>
      <c r="C91" s="62"/>
      <c r="D91" s="62"/>
      <c r="E91" s="62">
        <f>E98</f>
        <v>69.749802994483844</v>
      </c>
      <c r="F91" s="62"/>
      <c r="G91" s="62"/>
      <c r="H91" s="62">
        <f>H98</f>
        <v>87.187253743104819</v>
      </c>
      <c r="I91" s="62"/>
      <c r="J91" s="62"/>
      <c r="K91" s="62">
        <f>K98</f>
        <v>87.537403356530945</v>
      </c>
      <c r="L91" s="62"/>
      <c r="M91" s="62"/>
      <c r="N91" s="62">
        <f>N98</f>
        <v>70.029922685224747</v>
      </c>
    </row>
    <row r="92" spans="1:15" x14ac:dyDescent="0.25">
      <c r="A92" s="7" t="s">
        <v>155</v>
      </c>
      <c r="B92" s="63">
        <f>B87/B28</f>
        <v>3.5650000000000001E-2</v>
      </c>
      <c r="C92" s="62"/>
      <c r="D92" s="62"/>
      <c r="E92" s="63">
        <f>E87/E28</f>
        <v>4.3719822812846129E-2</v>
      </c>
      <c r="F92" s="62"/>
      <c r="G92" s="62"/>
      <c r="H92" s="63">
        <f>H87/H28</f>
        <v>7.0392760000000124E-2</v>
      </c>
      <c r="I92" s="62"/>
      <c r="J92" s="62"/>
      <c r="K92" s="63">
        <f>K87/K28</f>
        <v>5.1893200000000021E-2</v>
      </c>
      <c r="L92" s="62"/>
      <c r="M92" s="62"/>
      <c r="N92" s="63">
        <f>N87/N28</f>
        <v>0.10018267995570325</v>
      </c>
    </row>
    <row r="93" spans="1:15" x14ac:dyDescent="0.25">
      <c r="A93" s="9" t="s">
        <v>156</v>
      </c>
      <c r="B93" s="63">
        <f>B87/B46</f>
        <v>7.4865000000000001E-2</v>
      </c>
      <c r="E93" s="63">
        <f>E87/E46</f>
        <v>8.2905900000000116E-2</v>
      </c>
      <c r="H93" s="63">
        <f>H87/H46</f>
        <v>0.14782479600000026</v>
      </c>
      <c r="K93" s="63">
        <f>K87/K46</f>
        <v>0.10897572000000004</v>
      </c>
      <c r="N93" s="63">
        <f>N87/N46</f>
        <v>0.18997641600000006</v>
      </c>
    </row>
    <row r="94" spans="1:15" s="27" customFormat="1" hidden="1" x14ac:dyDescent="0.25">
      <c r="A94" s="11"/>
      <c r="B94" s="43"/>
      <c r="E94" s="43"/>
      <c r="H94" s="43"/>
      <c r="K94" s="43"/>
      <c r="N94" s="43"/>
    </row>
    <row r="95" spans="1:15" s="27" customFormat="1" hidden="1" x14ac:dyDescent="0.25">
      <c r="A95" s="11" t="s">
        <v>110</v>
      </c>
      <c r="B95" s="30">
        <f>B53/B13</f>
        <v>7.6271186440677967</v>
      </c>
      <c r="E95" s="30">
        <f>E53/E13</f>
        <v>7.6271186440677967</v>
      </c>
      <c r="H95" s="30">
        <f>H53/H13</f>
        <v>7.6271186440677967</v>
      </c>
      <c r="K95" s="30">
        <f>K53/K13</f>
        <v>7.6271186440677967</v>
      </c>
      <c r="N95" s="30">
        <f>N53/N13</f>
        <v>7.6271186440677967</v>
      </c>
    </row>
    <row r="96" spans="1:15" s="27" customFormat="1" hidden="1" x14ac:dyDescent="0.25">
      <c r="A96" s="10" t="s">
        <v>98</v>
      </c>
      <c r="B96" s="31">
        <f>SUM(B97:B99)</f>
        <v>100.12296591804571</v>
      </c>
      <c r="E96" s="31">
        <f>SUM(E97:E99)</f>
        <v>100.12296591804571</v>
      </c>
      <c r="H96" s="31">
        <f>SUM(H97:H99)</f>
        <v>100.12296591804571</v>
      </c>
      <c r="K96" s="31">
        <f>SUM(K97:K99)</f>
        <v>100.33287519660993</v>
      </c>
      <c r="N96" s="31">
        <f>SUM(N97:N99)</f>
        <v>100.33287519660992</v>
      </c>
    </row>
    <row r="97" spans="1:14" hidden="1" x14ac:dyDescent="0.25">
      <c r="A97" s="8" t="s">
        <v>55</v>
      </c>
      <c r="B97" s="32">
        <f>-365/(SUM(B55:B56)/B31)</f>
        <v>-34.919843380614658</v>
      </c>
      <c r="E97" s="32">
        <f>-365/(SUM(E55:E56)/E31)</f>
        <v>-17.482392631993697</v>
      </c>
      <c r="H97" s="32">
        <f>-365/(SUM(H55:H56)/H31)</f>
        <v>-34.919843380614658</v>
      </c>
      <c r="K97" s="32">
        <f>-365/(SUM(K55:K56)/K31)</f>
        <v>-35.060083715476566</v>
      </c>
      <c r="N97" s="32">
        <f>-365/(SUM(N55:N56)/N31)</f>
        <v>-17.552603044170379</v>
      </c>
    </row>
    <row r="98" spans="1:14" hidden="1" x14ac:dyDescent="0.25">
      <c r="A98" s="9" t="s">
        <v>56</v>
      </c>
      <c r="B98" s="32">
        <f>365/B90</f>
        <v>87.187253743104819</v>
      </c>
      <c r="E98" s="32">
        <f>365/E90</f>
        <v>69.749802994483844</v>
      </c>
      <c r="H98" s="32">
        <f>365/H90</f>
        <v>87.187253743104819</v>
      </c>
      <c r="K98" s="32">
        <f>365/K90</f>
        <v>87.537403356530945</v>
      </c>
      <c r="N98" s="32">
        <f>365/N90</f>
        <v>70.029922685224747</v>
      </c>
    </row>
    <row r="99" spans="1:14" hidden="1" x14ac:dyDescent="0.25">
      <c r="A99" s="9" t="s">
        <v>57</v>
      </c>
      <c r="B99" s="32">
        <f>365/B95</f>
        <v>47.855555555555554</v>
      </c>
      <c r="E99" s="32">
        <f>365/E95</f>
        <v>47.855555555555554</v>
      </c>
      <c r="H99" s="32">
        <f>365/H95</f>
        <v>47.855555555555554</v>
      </c>
      <c r="K99" s="32">
        <f>365/K95</f>
        <v>47.855555555555554</v>
      </c>
      <c r="N99" s="32">
        <f>365/N95</f>
        <v>47.855555555555554</v>
      </c>
    </row>
    <row r="100" spans="1:14" x14ac:dyDescent="0.25">
      <c r="A100" s="9" t="s">
        <v>179</v>
      </c>
      <c r="B100" s="63">
        <f>(B82/B53)*(B53/B28)*(B28/B46)</f>
        <v>0.14175000000000001</v>
      </c>
      <c r="E100" s="63">
        <f>(E82/E53)*(E53/E28)*(E28/E46)</f>
        <v>0.15175650000000021</v>
      </c>
      <c r="H100" s="63">
        <f>(H82/H53)*(H53/H28)*(H28/H46)</f>
        <v>0.26334966000000054</v>
      </c>
      <c r="K100" s="63">
        <f>(K82/K53)*(K53/K28)*(K28/K46)</f>
        <v>0.19860120000000014</v>
      </c>
      <c r="N100" s="63">
        <f>(N82/N53)*(N53/N28)*(N28/N46)</f>
        <v>0.33020736000000012</v>
      </c>
    </row>
    <row r="101" spans="1:14" x14ac:dyDescent="0.25">
      <c r="A101" s="9"/>
      <c r="B101" s="32"/>
      <c r="E101" s="32"/>
      <c r="H101" s="32"/>
      <c r="K101" s="32"/>
      <c r="N101" s="32"/>
    </row>
    <row r="102" spans="1:14" ht="21" x14ac:dyDescent="0.4">
      <c r="A102" s="25" t="s">
        <v>178</v>
      </c>
    </row>
    <row r="103" spans="1:14" x14ac:dyDescent="0.25">
      <c r="A103" s="8" t="s">
        <v>22</v>
      </c>
    </row>
    <row r="104" spans="1:14" x14ac:dyDescent="0.25">
      <c r="A104" s="8" t="s">
        <v>52</v>
      </c>
      <c r="E104" s="32">
        <f>E87-$B87</f>
        <v>3.8290000000000575</v>
      </c>
      <c r="H104" s="32">
        <f>H87-$B87</f>
        <v>34.742760000000125</v>
      </c>
      <c r="K104" s="32">
        <f>K87-$B87</f>
        <v>16.243200000000023</v>
      </c>
      <c r="N104" s="32">
        <f>N87-$B87</f>
        <v>54.814960000000035</v>
      </c>
    </row>
    <row r="105" spans="1:14" x14ac:dyDescent="0.25">
      <c r="A105" s="9" t="s">
        <v>115</v>
      </c>
      <c r="E105" s="33">
        <f>(SUM($B31:$B32)-SUM(E31:E32))</f>
        <v>97</v>
      </c>
      <c r="H105" s="33">
        <f>(SUM($B31:$B32)-SUM(H31:H32))</f>
        <v>0</v>
      </c>
      <c r="K105" s="33">
        <f>(SUM($B31:$B32)-SUM(K31:K32))</f>
        <v>0</v>
      </c>
      <c r="N105" s="33">
        <f>(SUM($B31:$B32)-SUM(N31:N32))</f>
        <v>97</v>
      </c>
    </row>
    <row r="106" spans="1:14" s="27" customFormat="1" x14ac:dyDescent="0.25">
      <c r="A106" s="11" t="s">
        <v>99</v>
      </c>
      <c r="E106" s="31">
        <f>SUM(E104:E105)</f>
        <v>100.82900000000006</v>
      </c>
      <c r="H106" s="31">
        <f>SUM(H104:H105)</f>
        <v>34.742760000000125</v>
      </c>
      <c r="K106" s="31">
        <f>SUM(K104:K105)</f>
        <v>16.243200000000023</v>
      </c>
      <c r="N106" s="31">
        <f>SUM(N104:N105)</f>
        <v>151.81496000000004</v>
      </c>
    </row>
    <row r="107" spans="1:14" x14ac:dyDescent="0.25">
      <c r="N107" s="32"/>
    </row>
  </sheetData>
  <phoneticPr fontId="0" type="noConversion"/>
  <pageMargins left="0.5" right="0.5" top="0.5" bottom="0.5" header="0.5" footer="0.5"/>
  <pageSetup scale="60" fitToHeight="0" orientation="landscape" r:id="rId1"/>
  <headerFooter alignWithMargins="0">
    <oddFooter>&amp;LSource: SCMRG/The Ohio State University, 2002</oddFooter>
  </headerFooter>
  <rowBreaks count="1" manualBreakCount="1">
    <brk id="48" max="14" man="1"/>
  </row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47"/>
  <sheetViews>
    <sheetView zoomScale="85" workbookViewId="0">
      <selection activeCell="B27" sqref="B27"/>
    </sheetView>
  </sheetViews>
  <sheetFormatPr defaultRowHeight="13.2" x14ac:dyDescent="0.25"/>
  <cols>
    <col min="1" max="1" width="4.5546875" customWidth="1"/>
    <col min="2" max="2" width="24.109375" customWidth="1"/>
    <col min="3" max="3" width="7.44140625" customWidth="1"/>
    <col min="4" max="4" width="26.6640625" customWidth="1"/>
    <col min="6" max="6" width="11.109375" customWidth="1"/>
    <col min="7" max="7" width="23.109375" customWidth="1"/>
    <col min="8" max="8" width="10.6640625" customWidth="1"/>
    <col min="9" max="9" width="7.88671875" customWidth="1"/>
    <col min="10" max="10" width="18.6640625" customWidth="1"/>
  </cols>
  <sheetData>
    <row r="1" spans="1:12" ht="25.2" thickBot="1" x14ac:dyDescent="0.45">
      <c r="A1" s="1" t="s">
        <v>187</v>
      </c>
    </row>
    <row r="2" spans="1:12" ht="20.25" customHeight="1" thickBot="1" x14ac:dyDescent="0.45">
      <c r="A2" s="1"/>
      <c r="F2" s="19" t="s">
        <v>111</v>
      </c>
      <c r="G2" s="20">
        <f>E14*H8*K9</f>
        <v>0.14175000000000001</v>
      </c>
    </row>
    <row r="3" spans="1:12" ht="18" customHeight="1" thickBot="1" x14ac:dyDescent="0.35">
      <c r="F3" s="19" t="s">
        <v>112</v>
      </c>
      <c r="G3" s="20">
        <f>G6*K9</f>
        <v>7.4865000000000001E-2</v>
      </c>
      <c r="H3" s="6" t="str">
        <f>IF(G3&lt;&gt;Financials!B87/Financials!B46,"ERROR","")</f>
        <v/>
      </c>
      <c r="I3" s="6" t="str">
        <f>IF(G3&lt;&gt;(Financials!B87/Financials!B46),"ERROR","")</f>
        <v/>
      </c>
    </row>
    <row r="4" spans="1:12" ht="15" customHeight="1" x14ac:dyDescent="0.3">
      <c r="F4" s="19"/>
      <c r="G4" s="92"/>
      <c r="I4" s="6"/>
    </row>
    <row r="5" spans="1:12" ht="13.8" thickBot="1" x14ac:dyDescent="0.3">
      <c r="I5" s="6"/>
    </row>
    <row r="6" spans="1:12" ht="16.5" customHeight="1" thickBot="1" x14ac:dyDescent="0.3">
      <c r="B6" s="3"/>
      <c r="F6" s="2" t="s">
        <v>1</v>
      </c>
      <c r="G6" s="17">
        <f>E9*H8</f>
        <v>3.5650000000000001E-2</v>
      </c>
      <c r="H6" s="6" t="str">
        <f>IF(G6&lt;&gt;(Financials!B87/Financials!B28),"ERROR","")</f>
        <v/>
      </c>
    </row>
    <row r="7" spans="1:12" ht="13.8" thickBot="1" x14ac:dyDescent="0.3">
      <c r="L7" s="72"/>
    </row>
    <row r="8" spans="1:12" ht="13.8" thickBot="1" x14ac:dyDescent="0.3">
      <c r="E8" s="5"/>
      <c r="G8" s="2" t="s">
        <v>4</v>
      </c>
      <c r="H8" s="18">
        <f>E43/H13</f>
        <v>2.7</v>
      </c>
      <c r="L8" s="72"/>
    </row>
    <row r="9" spans="1:12" ht="13.8" thickBot="1" x14ac:dyDescent="0.3">
      <c r="B9" s="114"/>
      <c r="C9" s="114"/>
      <c r="D9" s="106" t="s">
        <v>3</v>
      </c>
      <c r="E9" s="104">
        <f>Financials!C87</f>
        <v>1.3203703703703704E-2</v>
      </c>
      <c r="F9" s="106"/>
      <c r="G9" s="128"/>
      <c r="H9" s="128"/>
      <c r="I9" s="129" t="str">
        <f>IF((E43/H13)&lt;&gt;H8,"ERROR","")</f>
        <v/>
      </c>
      <c r="J9" s="101" t="s">
        <v>0</v>
      </c>
      <c r="K9" s="16">
        <f>H13/K11</f>
        <v>2.1</v>
      </c>
      <c r="L9" s="128"/>
    </row>
    <row r="10" spans="1:12" ht="13.8" thickBot="1" x14ac:dyDescent="0.3">
      <c r="B10" s="114"/>
      <c r="C10" s="114"/>
      <c r="D10" s="107"/>
      <c r="E10" s="108" t="str">
        <f>IF(E14-E11&lt;&gt;E9,"ERROR","")</f>
        <v/>
      </c>
      <c r="F10" s="109"/>
      <c r="G10" s="130"/>
      <c r="H10" s="128"/>
      <c r="I10" s="128"/>
      <c r="J10" s="93"/>
      <c r="K10" s="93"/>
      <c r="L10" s="128"/>
    </row>
    <row r="11" spans="1:12" ht="13.8" thickBot="1" x14ac:dyDescent="0.3">
      <c r="B11" s="114"/>
      <c r="C11" s="114"/>
      <c r="D11" s="107" t="s">
        <v>48</v>
      </c>
      <c r="E11" s="110">
        <f>SUM(Financials!C84:C86)</f>
        <v>1.1796296296296296E-2</v>
      </c>
      <c r="F11" s="105"/>
      <c r="G11" s="130"/>
      <c r="H11" s="128"/>
      <c r="I11" s="128"/>
      <c r="J11" s="93" t="s">
        <v>5</v>
      </c>
      <c r="K11" s="98">
        <f>Financials!B46</f>
        <v>476.19047619047615</v>
      </c>
      <c r="L11" s="128"/>
    </row>
    <row r="12" spans="1:12" ht="13.8" thickBot="1" x14ac:dyDescent="0.3">
      <c r="A12" s="4"/>
      <c r="B12" s="114"/>
      <c r="C12" s="114"/>
      <c r="D12" s="107"/>
      <c r="E12" s="111"/>
      <c r="F12" s="105"/>
      <c r="G12" s="130"/>
      <c r="H12" s="128"/>
      <c r="I12" s="128"/>
      <c r="J12" s="96"/>
      <c r="K12" s="96"/>
      <c r="L12" s="128"/>
    </row>
    <row r="13" spans="1:12" ht="13.8" thickBot="1" x14ac:dyDescent="0.3">
      <c r="B13" s="114"/>
      <c r="C13" s="143"/>
      <c r="D13" s="112"/>
      <c r="E13" s="113" t="str">
        <f>IF(ABS(E44-E37-E32-E27-E23-E18-E16-E14)&gt;0.0001,"ERROR","")</f>
        <v/>
      </c>
      <c r="F13" s="105"/>
      <c r="G13" s="93" t="s">
        <v>176</v>
      </c>
      <c r="H13" s="98">
        <f>Financials!B28</f>
        <v>1000</v>
      </c>
      <c r="I13" s="95"/>
      <c r="J13" s="95"/>
      <c r="K13" s="96"/>
      <c r="L13" s="128"/>
    </row>
    <row r="14" spans="1:12" ht="13.8" thickBot="1" x14ac:dyDescent="0.3">
      <c r="B14" s="114"/>
      <c r="C14" s="114"/>
      <c r="D14" s="107" t="s">
        <v>6</v>
      </c>
      <c r="E14" s="110">
        <f>Financials!C82</f>
        <v>2.5000000000000001E-2</v>
      </c>
      <c r="F14" s="109"/>
      <c r="G14" s="97"/>
      <c r="H14" s="94">
        <f>Financials!C28</f>
        <v>1</v>
      </c>
      <c r="I14" s="95"/>
      <c r="J14" s="96"/>
      <c r="K14" s="96"/>
      <c r="L14" s="128"/>
    </row>
    <row r="15" spans="1:12" ht="13.8" thickBot="1" x14ac:dyDescent="0.3">
      <c r="B15" s="114"/>
      <c r="C15" s="114"/>
      <c r="D15" s="107"/>
      <c r="E15" s="112"/>
      <c r="F15" s="109"/>
      <c r="G15" s="96"/>
      <c r="H15" s="133" t="str">
        <f>IF(H14&lt;&gt;(H17+K17),"ERROR","")</f>
        <v/>
      </c>
      <c r="I15" s="96"/>
      <c r="J15" s="96"/>
      <c r="K15" s="96"/>
      <c r="L15" s="128"/>
    </row>
    <row r="16" spans="1:12" ht="13.8" thickBot="1" x14ac:dyDescent="0.3">
      <c r="B16" s="114"/>
      <c r="C16" s="114"/>
      <c r="D16" s="107" t="s">
        <v>81</v>
      </c>
      <c r="E16" s="110">
        <f>Financials!C81</f>
        <v>-6.0000000000000001E-3</v>
      </c>
      <c r="F16" s="105"/>
      <c r="G16" s="93"/>
      <c r="H16" s="96"/>
      <c r="I16" s="96"/>
      <c r="J16" s="96"/>
      <c r="K16" s="96"/>
      <c r="L16" s="128"/>
    </row>
    <row r="17" spans="2:12" ht="13.8" thickBot="1" x14ac:dyDescent="0.3">
      <c r="B17" s="114"/>
      <c r="C17" s="114"/>
      <c r="D17" s="107"/>
      <c r="E17" s="105"/>
      <c r="F17" s="105"/>
      <c r="G17" s="93" t="s">
        <v>64</v>
      </c>
      <c r="H17" s="99">
        <f>Financials!C27</f>
        <v>0.114</v>
      </c>
      <c r="I17" s="96"/>
      <c r="J17" s="93" t="s">
        <v>58</v>
      </c>
      <c r="K17" s="99">
        <f>Financials!C16</f>
        <v>0.88600000000000001</v>
      </c>
      <c r="L17" s="129"/>
    </row>
    <row r="18" spans="2:12" ht="13.8" thickBot="1" x14ac:dyDescent="0.3">
      <c r="B18" s="114"/>
      <c r="C18" s="115"/>
      <c r="D18" s="114" t="s">
        <v>80</v>
      </c>
      <c r="E18" s="116">
        <f>SUM(C19:C21)</f>
        <v>7.0000000000000001E-3</v>
      </c>
      <c r="F18" s="117"/>
      <c r="G18" s="93"/>
      <c r="H18" s="96"/>
      <c r="I18" s="96"/>
      <c r="J18" s="93"/>
      <c r="K18" s="133" t="str">
        <f>IF(K17&lt;&gt;(K19+K21+K23+K25),"ERROR","")</f>
        <v/>
      </c>
      <c r="L18" s="128"/>
    </row>
    <row r="19" spans="2:12" ht="13.8" thickBot="1" x14ac:dyDescent="0.3">
      <c r="B19" s="114" t="s">
        <v>91</v>
      </c>
      <c r="C19" s="118">
        <f>Financials!C78</f>
        <v>2E-3</v>
      </c>
      <c r="D19" s="114"/>
      <c r="E19" s="115"/>
      <c r="F19" s="115"/>
      <c r="G19" s="93" t="s">
        <v>26</v>
      </c>
      <c r="H19" s="99">
        <f>Financials!C26</f>
        <v>2.8500000000000001E-2</v>
      </c>
      <c r="I19" s="96"/>
      <c r="J19" s="93" t="s">
        <v>7</v>
      </c>
      <c r="K19" s="99">
        <f>Financials!C14</f>
        <v>0.48499999999999999</v>
      </c>
      <c r="L19" s="128"/>
    </row>
    <row r="20" spans="2:12" ht="13.8" thickBot="1" x14ac:dyDescent="0.3">
      <c r="B20" s="114" t="s">
        <v>92</v>
      </c>
      <c r="C20" s="119">
        <f>Financials!C79</f>
        <v>3.0000000000000001E-3</v>
      </c>
      <c r="D20" s="114"/>
      <c r="E20" s="115"/>
      <c r="F20" s="115"/>
      <c r="G20" s="93"/>
      <c r="H20" s="96"/>
      <c r="I20" s="96"/>
      <c r="J20" s="96"/>
      <c r="K20" s="96"/>
      <c r="L20" s="128"/>
    </row>
    <row r="21" spans="2:12" ht="13.8" thickBot="1" x14ac:dyDescent="0.3">
      <c r="B21" s="114" t="s">
        <v>93</v>
      </c>
      <c r="C21" s="120">
        <f>Financials!C80</f>
        <v>2E-3</v>
      </c>
      <c r="D21" s="114"/>
      <c r="E21" s="121"/>
      <c r="F21" s="115"/>
      <c r="G21" s="93" t="s">
        <v>66</v>
      </c>
      <c r="H21" s="99">
        <f>Financials!C25</f>
        <v>8.5500000000000007E-2</v>
      </c>
      <c r="I21" s="96"/>
      <c r="J21" s="93" t="s">
        <v>23</v>
      </c>
      <c r="K21" s="99">
        <f>Financials!C13</f>
        <v>0.35399999999999998</v>
      </c>
      <c r="L21" s="128"/>
    </row>
    <row r="22" spans="2:12" ht="13.8" thickBot="1" x14ac:dyDescent="0.3">
      <c r="B22" s="114"/>
      <c r="C22" s="122"/>
      <c r="D22" s="115"/>
      <c r="E22" s="115"/>
      <c r="F22" s="115"/>
      <c r="G22" s="93"/>
      <c r="H22" s="133" t="str">
        <f>IF(H21&lt;&gt;(H25+H26+H28+H29),"ERROR","")</f>
        <v/>
      </c>
      <c r="I22" s="96"/>
      <c r="J22" s="93"/>
      <c r="K22" s="96"/>
      <c r="L22" s="128"/>
    </row>
    <row r="23" spans="2:12" ht="13.8" thickBot="1" x14ac:dyDescent="0.3">
      <c r="B23" s="114"/>
      <c r="C23" s="122"/>
      <c r="D23" s="114" t="s">
        <v>78</v>
      </c>
      <c r="E23" s="116">
        <f>SUM(C24:C25)</f>
        <v>4.0000000000000001E-3</v>
      </c>
      <c r="F23" s="115"/>
      <c r="G23" s="96"/>
      <c r="H23" s="96"/>
      <c r="I23" s="96"/>
      <c r="J23" s="93" t="s">
        <v>10</v>
      </c>
      <c r="K23" s="99">
        <f>Financials!C15</f>
        <v>2.1999999999999999E-2</v>
      </c>
      <c r="L23" s="128"/>
    </row>
    <row r="24" spans="2:12" ht="13.8" thickBot="1" x14ac:dyDescent="0.3">
      <c r="B24" s="114" t="s">
        <v>86</v>
      </c>
      <c r="C24" s="119">
        <f>Financials!C74</f>
        <v>2E-3</v>
      </c>
      <c r="D24" s="114"/>
      <c r="E24" s="115"/>
      <c r="F24" s="115"/>
      <c r="G24" s="93"/>
      <c r="H24" s="96"/>
      <c r="I24" s="96"/>
      <c r="J24" s="93"/>
      <c r="K24" s="96"/>
      <c r="L24" s="128"/>
    </row>
    <row r="25" spans="2:12" ht="13.8" thickBot="1" x14ac:dyDescent="0.3">
      <c r="B25" s="114" t="s">
        <v>87</v>
      </c>
      <c r="C25" s="120">
        <f>Financials!C75</f>
        <v>2E-3</v>
      </c>
      <c r="D25" s="114"/>
      <c r="E25" s="115"/>
      <c r="F25" s="115"/>
      <c r="G25" s="93" t="s">
        <v>69</v>
      </c>
      <c r="H25" s="99">
        <f>Financials!C19</f>
        <v>0.12825</v>
      </c>
      <c r="I25" s="96"/>
      <c r="J25" s="93" t="s">
        <v>59</v>
      </c>
      <c r="K25" s="99">
        <f>Financials!C12</f>
        <v>2.5000000000000001E-2</v>
      </c>
      <c r="L25" s="128"/>
    </row>
    <row r="26" spans="2:12" ht="13.8" thickBot="1" x14ac:dyDescent="0.3">
      <c r="B26" s="114"/>
      <c r="C26" s="122"/>
      <c r="D26" s="115"/>
      <c r="E26" s="115"/>
      <c r="F26" s="115"/>
      <c r="G26" s="93" t="s">
        <v>70</v>
      </c>
      <c r="H26" s="99">
        <f>Financials!C20</f>
        <v>-6.4125000000000001E-2</v>
      </c>
      <c r="I26" s="96"/>
      <c r="J26" s="96"/>
      <c r="K26" s="96"/>
      <c r="L26" s="128"/>
    </row>
    <row r="27" spans="2:12" ht="13.8" thickBot="1" x14ac:dyDescent="0.3">
      <c r="B27" s="114"/>
      <c r="C27" s="122"/>
      <c r="D27" s="114" t="s">
        <v>94</v>
      </c>
      <c r="E27" s="116">
        <f>SUM(C28:C30)</f>
        <v>0.10609333333333333</v>
      </c>
      <c r="F27" s="115"/>
      <c r="G27" s="93"/>
      <c r="H27" s="100"/>
      <c r="I27" s="96"/>
      <c r="J27" s="96"/>
      <c r="K27" s="96"/>
      <c r="L27" s="128"/>
    </row>
    <row r="28" spans="2:12" ht="13.8" thickBot="1" x14ac:dyDescent="0.3">
      <c r="B28" s="114" t="s">
        <v>82</v>
      </c>
      <c r="C28" s="118">
        <f>Financials!C70</f>
        <v>6.6000000000000003E-2</v>
      </c>
      <c r="D28" s="114"/>
      <c r="E28" s="115" t="str">
        <f>IF((E44-E37)&lt;&gt;E35,"ERROR","")</f>
        <v/>
      </c>
      <c r="F28" s="115"/>
      <c r="G28" s="93" t="s">
        <v>67</v>
      </c>
      <c r="H28" s="99">
        <f>Financials!C22</f>
        <v>4.2750000000000003E-2</v>
      </c>
      <c r="I28" s="96"/>
      <c r="J28" s="96"/>
      <c r="K28" s="96"/>
      <c r="L28" s="128"/>
    </row>
    <row r="29" spans="2:12" ht="13.8" thickBot="1" x14ac:dyDescent="0.3">
      <c r="B29" s="114" t="s">
        <v>83</v>
      </c>
      <c r="C29" s="119">
        <f>Financials!C71</f>
        <v>3.5093333333333324E-2</v>
      </c>
      <c r="D29" s="114"/>
      <c r="E29" s="115"/>
      <c r="F29" s="115"/>
      <c r="G29" s="93" t="s">
        <v>68</v>
      </c>
      <c r="H29" s="99">
        <f>Financials!C23</f>
        <v>-2.1375000000000002E-2</v>
      </c>
      <c r="I29" s="96"/>
      <c r="J29" s="96"/>
      <c r="K29" s="96"/>
      <c r="L29" s="128"/>
    </row>
    <row r="30" spans="2:12" ht="13.8" thickBot="1" x14ac:dyDescent="0.3">
      <c r="B30" s="114" t="s">
        <v>84</v>
      </c>
      <c r="C30" s="120">
        <f>Financials!C72</f>
        <v>5.0000000000000001E-3</v>
      </c>
      <c r="D30" s="115"/>
      <c r="E30" s="115"/>
      <c r="F30" s="115"/>
      <c r="G30" s="93"/>
      <c r="H30" s="100"/>
      <c r="I30" s="96"/>
      <c r="J30" s="96"/>
      <c r="K30" s="96"/>
      <c r="L30" s="128"/>
    </row>
    <row r="31" spans="2:12" ht="13.8" thickBot="1" x14ac:dyDescent="0.3">
      <c r="B31" s="114"/>
      <c r="C31" s="115"/>
      <c r="D31" s="115"/>
      <c r="E31" s="115"/>
      <c r="F31" s="123"/>
      <c r="G31" s="96"/>
      <c r="H31" s="96"/>
      <c r="I31" s="96"/>
      <c r="J31" s="96"/>
      <c r="K31" s="96"/>
      <c r="L31" s="128"/>
    </row>
    <row r="32" spans="2:12" ht="13.8" thickBot="1" x14ac:dyDescent="0.3">
      <c r="B32" s="114"/>
      <c r="C32" s="115"/>
      <c r="D32" s="114" t="s">
        <v>95</v>
      </c>
      <c r="E32" s="116">
        <f>SUM(C33:C37)</f>
        <v>0.11190666666666668</v>
      </c>
      <c r="F32" s="123"/>
      <c r="G32" s="96"/>
      <c r="H32" s="96"/>
      <c r="I32" s="96"/>
      <c r="J32" s="96"/>
      <c r="K32" s="96"/>
      <c r="L32" s="128"/>
    </row>
    <row r="33" spans="2:12" ht="13.8" thickBot="1" x14ac:dyDescent="0.3">
      <c r="B33" s="114" t="s">
        <v>75</v>
      </c>
      <c r="C33" s="118">
        <f>Financials!C60</f>
        <v>0.10223074074074075</v>
      </c>
      <c r="D33" s="114"/>
      <c r="E33" s="115"/>
      <c r="F33" s="115"/>
      <c r="G33" s="96"/>
      <c r="H33" s="96"/>
      <c r="I33" s="96"/>
      <c r="J33" s="96"/>
      <c r="K33" s="96"/>
      <c r="L33" s="128"/>
    </row>
    <row r="34" spans="2:12" ht="13.8" thickBot="1" x14ac:dyDescent="0.3">
      <c r="B34" s="124" t="s">
        <v>175</v>
      </c>
      <c r="C34" s="118">
        <f>Financials!C61</f>
        <v>8.9814814814814813E-4</v>
      </c>
      <c r="D34" s="114"/>
      <c r="E34" s="121"/>
      <c r="F34" s="115"/>
      <c r="G34" s="96"/>
      <c r="H34" s="95"/>
      <c r="I34" s="96"/>
      <c r="J34" s="96"/>
      <c r="K34" s="96"/>
      <c r="L34" s="128"/>
    </row>
    <row r="35" spans="2:12" ht="13.8" thickBot="1" x14ac:dyDescent="0.3">
      <c r="B35" s="114" t="s">
        <v>76</v>
      </c>
      <c r="C35" s="119">
        <f>Financials!C63</f>
        <v>3.0000000000000001E-3</v>
      </c>
      <c r="D35" s="114" t="s">
        <v>8</v>
      </c>
      <c r="E35" s="116">
        <f>E44-E37</f>
        <v>0.248</v>
      </c>
      <c r="F35" s="115"/>
      <c r="G35" s="96"/>
      <c r="H35" s="96"/>
      <c r="I35" s="96"/>
      <c r="J35" s="96"/>
      <c r="K35" s="96"/>
      <c r="L35" s="128"/>
    </row>
    <row r="36" spans="2:12" ht="13.8" thickBot="1" x14ac:dyDescent="0.3">
      <c r="B36" s="114" t="s">
        <v>77</v>
      </c>
      <c r="C36" s="120">
        <f>Financials!C64</f>
        <v>3.0000000000000001E-3</v>
      </c>
      <c r="D36" s="114"/>
      <c r="E36" s="117"/>
      <c r="F36" s="115"/>
      <c r="G36" s="96"/>
      <c r="H36" s="96"/>
      <c r="I36" s="96"/>
      <c r="J36" s="96"/>
      <c r="K36" s="96"/>
      <c r="L36" s="128"/>
    </row>
    <row r="37" spans="2:12" ht="13.8" thickBot="1" x14ac:dyDescent="0.3">
      <c r="B37" s="114" t="s">
        <v>174</v>
      </c>
      <c r="C37" s="119">
        <f>SUM(Financials!C65:C68)</f>
        <v>2.7777777777777775E-3</v>
      </c>
      <c r="D37" s="114" t="s">
        <v>39</v>
      </c>
      <c r="E37" s="116">
        <f>SUM(C39:C40)</f>
        <v>0.752</v>
      </c>
      <c r="F37" s="115"/>
      <c r="G37" s="96"/>
      <c r="H37" s="96"/>
      <c r="I37" s="96"/>
      <c r="J37" s="96"/>
      <c r="K37" s="96"/>
      <c r="L37" s="128"/>
    </row>
    <row r="38" spans="2:12" ht="13.8" thickBot="1" x14ac:dyDescent="0.3">
      <c r="B38" s="115"/>
      <c r="C38" s="115"/>
      <c r="D38" s="114"/>
      <c r="E38" s="115"/>
      <c r="F38" s="115"/>
      <c r="G38" s="96"/>
      <c r="H38" s="96"/>
      <c r="I38" s="96"/>
      <c r="J38" s="96"/>
      <c r="K38" s="96"/>
      <c r="L38" s="128"/>
    </row>
    <row r="39" spans="2:12" ht="13.8" thickBot="1" x14ac:dyDescent="0.3">
      <c r="B39" s="114" t="s">
        <v>72</v>
      </c>
      <c r="C39" s="119">
        <f>Financials!C55</f>
        <v>0.73695999999999995</v>
      </c>
      <c r="D39" s="114"/>
      <c r="E39" s="115"/>
      <c r="F39" s="115"/>
      <c r="G39" s="96"/>
      <c r="H39" s="96"/>
      <c r="I39" s="96"/>
      <c r="J39" s="96"/>
      <c r="K39" s="96"/>
      <c r="L39" s="128"/>
    </row>
    <row r="40" spans="2:12" ht="13.8" thickBot="1" x14ac:dyDescent="0.3">
      <c r="B40" s="114" t="s">
        <v>71</v>
      </c>
      <c r="C40" s="120">
        <f>Financials!C56</f>
        <v>1.504E-2</v>
      </c>
      <c r="D40" s="115"/>
      <c r="E40" s="115"/>
      <c r="F40" s="115"/>
      <c r="G40" s="96"/>
      <c r="H40" s="96"/>
      <c r="I40" s="96"/>
      <c r="J40" s="96"/>
      <c r="K40" s="96"/>
      <c r="L40" s="128"/>
    </row>
    <row r="41" spans="2:12" ht="13.8" thickBot="1" x14ac:dyDescent="0.3">
      <c r="B41" s="114"/>
      <c r="C41" s="115"/>
      <c r="D41" s="114" t="s">
        <v>96</v>
      </c>
      <c r="E41" s="116">
        <f>Financials!C51</f>
        <v>1.03</v>
      </c>
      <c r="F41" s="115"/>
      <c r="G41" s="96"/>
      <c r="H41" s="96"/>
      <c r="I41" s="96"/>
      <c r="J41" s="96"/>
      <c r="K41" s="96"/>
      <c r="L41" s="128"/>
    </row>
    <row r="42" spans="2:12" ht="13.8" thickBot="1" x14ac:dyDescent="0.3">
      <c r="B42" s="114"/>
      <c r="C42" s="115"/>
      <c r="D42" s="114" t="s">
        <v>101</v>
      </c>
      <c r="E42" s="116">
        <f>Financials!C52</f>
        <v>0.03</v>
      </c>
      <c r="F42" s="115"/>
      <c r="G42" s="96"/>
      <c r="H42" s="96"/>
      <c r="I42" s="96"/>
      <c r="J42" s="96"/>
      <c r="K42" s="96"/>
      <c r="L42" s="128"/>
    </row>
    <row r="43" spans="2:12" ht="13.8" thickBot="1" x14ac:dyDescent="0.3">
      <c r="B43" s="115"/>
      <c r="C43" s="115"/>
      <c r="D43" s="114" t="s">
        <v>177</v>
      </c>
      <c r="E43" s="125">
        <f>Financials!B53</f>
        <v>2700</v>
      </c>
      <c r="F43" s="115"/>
      <c r="G43" s="96"/>
      <c r="H43" s="96"/>
      <c r="I43" s="96"/>
      <c r="J43" s="96"/>
      <c r="K43" s="96"/>
      <c r="L43" s="128"/>
    </row>
    <row r="44" spans="2:12" ht="13.8" thickBot="1" x14ac:dyDescent="0.3">
      <c r="B44" s="115"/>
      <c r="C44" s="115"/>
      <c r="D44" s="114"/>
      <c r="E44" s="116">
        <f>Financials!C53</f>
        <v>1</v>
      </c>
      <c r="F44" s="115"/>
      <c r="G44" s="96"/>
      <c r="H44" s="96"/>
      <c r="I44" s="96"/>
      <c r="J44" s="96"/>
      <c r="K44" s="96"/>
      <c r="L44" s="128"/>
    </row>
    <row r="45" spans="2:12" x14ac:dyDescent="0.25">
      <c r="B45" s="115"/>
      <c r="C45" s="115"/>
      <c r="D45" s="115"/>
      <c r="E45" s="115"/>
      <c r="F45" s="115"/>
      <c r="G45" s="96"/>
      <c r="H45" s="96"/>
      <c r="I45" s="96"/>
      <c r="J45" s="96"/>
      <c r="K45" s="96"/>
      <c r="L45" s="128"/>
    </row>
    <row r="46" spans="2:12" x14ac:dyDescent="0.25">
      <c r="B46" s="115"/>
      <c r="C46" s="115"/>
      <c r="D46" s="115"/>
      <c r="E46" s="115"/>
      <c r="F46" s="115"/>
      <c r="G46" s="96"/>
      <c r="H46" s="96"/>
      <c r="I46" s="96"/>
      <c r="J46" s="96"/>
      <c r="K46" s="96"/>
      <c r="L46" s="128"/>
    </row>
    <row r="47" spans="2:12" ht="24.6" x14ac:dyDescent="0.4">
      <c r="B47" s="127" t="s">
        <v>33</v>
      </c>
      <c r="C47" s="126"/>
      <c r="D47" s="126"/>
      <c r="E47" s="126"/>
      <c r="F47" s="126"/>
      <c r="G47" s="103" t="s">
        <v>9</v>
      </c>
      <c r="H47" s="102"/>
      <c r="I47" s="102"/>
      <c r="J47" s="102"/>
      <c r="K47" s="102"/>
      <c r="L47" s="128"/>
    </row>
  </sheetData>
  <phoneticPr fontId="0" type="noConversion"/>
  <pageMargins left="0.5" right="0.5" top="0.5" bottom="0.5" header="0.5" footer="0.5"/>
  <pageSetup scale="76" orientation="landscape" r:id="rId1"/>
  <headerFooter alignWithMargins="0">
    <oddFooter>&amp;LSCMRG/The Ohio State University, 2002</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47"/>
  <sheetViews>
    <sheetView zoomScale="85" workbookViewId="0">
      <selection activeCell="B27" sqref="B27"/>
    </sheetView>
  </sheetViews>
  <sheetFormatPr defaultRowHeight="13.2" x14ac:dyDescent="0.25"/>
  <cols>
    <col min="1" max="1" width="4.5546875" customWidth="1"/>
    <col min="2" max="2" width="24.109375" customWidth="1"/>
    <col min="3" max="3" width="7.44140625" customWidth="1"/>
    <col min="4" max="4" width="26.6640625" customWidth="1"/>
    <col min="6" max="6" width="11.109375" customWidth="1"/>
    <col min="7" max="7" width="23.109375" customWidth="1"/>
    <col min="8" max="8" width="10.6640625" customWidth="1"/>
    <col min="9" max="9" width="7.88671875" customWidth="1"/>
    <col min="10" max="10" width="18.6640625" customWidth="1"/>
  </cols>
  <sheetData>
    <row r="1" spans="1:12" ht="25.2" thickBot="1" x14ac:dyDescent="0.45">
      <c r="A1" s="1" t="s">
        <v>180</v>
      </c>
    </row>
    <row r="2" spans="1:12" ht="20.25" customHeight="1" thickBot="1" x14ac:dyDescent="0.45">
      <c r="A2" s="1"/>
      <c r="F2" s="19" t="s">
        <v>111</v>
      </c>
      <c r="G2" s="20">
        <f>E14*H8*K9</f>
        <v>0.15175650000000021</v>
      </c>
    </row>
    <row r="3" spans="1:12" ht="18" customHeight="1" thickBot="1" x14ac:dyDescent="0.35">
      <c r="F3" s="19" t="s">
        <v>112</v>
      </c>
      <c r="G3" s="20">
        <f>G6*K9</f>
        <v>8.2905900000000116E-2</v>
      </c>
      <c r="H3" s="6" t="str">
        <f>IF(G3&lt;&gt;Financials!E87/Financials!E46,"ERROR","")</f>
        <v/>
      </c>
      <c r="I3" s="6"/>
    </row>
    <row r="4" spans="1:12" ht="15" customHeight="1" x14ac:dyDescent="0.3">
      <c r="F4" s="19"/>
      <c r="G4" s="92"/>
      <c r="I4" s="6"/>
    </row>
    <row r="5" spans="1:12" ht="13.8" thickBot="1" x14ac:dyDescent="0.3">
      <c r="I5" s="6"/>
    </row>
    <row r="6" spans="1:12" ht="16.5" customHeight="1" thickBot="1" x14ac:dyDescent="0.3">
      <c r="B6" s="3"/>
      <c r="F6" s="2" t="s">
        <v>1</v>
      </c>
      <c r="G6" s="17">
        <f>E9*H8</f>
        <v>4.3719822812846129E-2</v>
      </c>
      <c r="H6" s="6" t="str">
        <f>IF(G6&lt;&gt;(Financials!E87/Financials!E28),"ERROR","")</f>
        <v/>
      </c>
    </row>
    <row r="7" spans="1:12" ht="13.8" thickBot="1" x14ac:dyDescent="0.3">
      <c r="L7" s="72"/>
    </row>
    <row r="8" spans="1:12" ht="13.8" thickBot="1" x14ac:dyDescent="0.3">
      <c r="E8" s="5"/>
      <c r="G8" s="2" t="s">
        <v>4</v>
      </c>
      <c r="H8" s="18">
        <f>E43/H13</f>
        <v>2.9900332225913622</v>
      </c>
      <c r="L8" s="72"/>
    </row>
    <row r="9" spans="1:12" ht="13.8" thickBot="1" x14ac:dyDescent="0.3">
      <c r="B9" s="114"/>
      <c r="C9" s="114"/>
      <c r="D9" s="106" t="s">
        <v>3</v>
      </c>
      <c r="E9" s="104">
        <f>Financials!F87</f>
        <v>1.4621851851851872E-2</v>
      </c>
      <c r="F9" s="106"/>
      <c r="G9" s="128"/>
      <c r="H9" s="128"/>
      <c r="I9" s="129" t="str">
        <f>IF((E43/H13)&lt;&gt;H8,"ERROR","")</f>
        <v/>
      </c>
      <c r="J9" s="101" t="s">
        <v>0</v>
      </c>
      <c r="K9" s="16">
        <f>H13/K11</f>
        <v>1.8962999999999999</v>
      </c>
      <c r="L9" s="128"/>
    </row>
    <row r="10" spans="1:12" ht="13.8" thickBot="1" x14ac:dyDescent="0.3">
      <c r="B10" s="114"/>
      <c r="C10" s="114"/>
      <c r="D10" s="107"/>
      <c r="E10" s="108" t="str">
        <f>IF(E14-E11&lt;&gt;E9,"ERROR","")</f>
        <v/>
      </c>
      <c r="F10" s="109"/>
      <c r="G10" s="130"/>
      <c r="H10" s="128"/>
      <c r="I10" s="128"/>
      <c r="J10" s="93"/>
      <c r="K10" s="93"/>
      <c r="L10" s="128"/>
    </row>
    <row r="11" spans="1:12" ht="13.8" thickBot="1" x14ac:dyDescent="0.3">
      <c r="B11" s="114"/>
      <c r="C11" s="114"/>
      <c r="D11" s="107" t="s">
        <v>48</v>
      </c>
      <c r="E11" s="110">
        <f>SUM(Financials!F84:F86)</f>
        <v>1.2142962962962979E-2</v>
      </c>
      <c r="F11" s="105"/>
      <c r="G11" s="130"/>
      <c r="H11" s="128"/>
      <c r="I11" s="128"/>
      <c r="J11" s="93" t="s">
        <v>5</v>
      </c>
      <c r="K11" s="98">
        <f>Financials!E46</f>
        <v>476.1904761904762</v>
      </c>
      <c r="L11" s="128"/>
    </row>
    <row r="12" spans="1:12" ht="13.8" thickBot="1" x14ac:dyDescent="0.3">
      <c r="A12" s="4"/>
      <c r="B12" s="114"/>
      <c r="C12" s="114"/>
      <c r="D12" s="107"/>
      <c r="E12" s="111"/>
      <c r="F12" s="105"/>
      <c r="G12" s="130"/>
      <c r="H12" s="128"/>
      <c r="I12" s="128"/>
      <c r="J12" s="96"/>
      <c r="K12" s="96"/>
      <c r="L12" s="128"/>
    </row>
    <row r="13" spans="1:12" ht="13.8" thickBot="1" x14ac:dyDescent="0.3">
      <c r="B13" s="114"/>
      <c r="C13" s="143"/>
      <c r="D13" s="137"/>
      <c r="E13" s="113" t="str">
        <f>IF(ABS(E44-E37-E32-E27-E23-E18-E16-E14)&gt;0.0001,"ERROR","")</f>
        <v/>
      </c>
      <c r="F13" s="105"/>
      <c r="G13" s="93" t="s">
        <v>176</v>
      </c>
      <c r="H13" s="98">
        <f>Financials!E28</f>
        <v>903</v>
      </c>
      <c r="I13" s="95"/>
      <c r="J13" s="95"/>
      <c r="K13" s="96"/>
      <c r="L13" s="128"/>
    </row>
    <row r="14" spans="1:12" ht="13.8" thickBot="1" x14ac:dyDescent="0.3">
      <c r="B14" s="114"/>
      <c r="C14" s="114"/>
      <c r="D14" s="107" t="s">
        <v>6</v>
      </c>
      <c r="E14" s="110">
        <f>Financials!F82</f>
        <v>2.6764814814814852E-2</v>
      </c>
      <c r="F14" s="109"/>
      <c r="G14" s="97"/>
      <c r="H14" s="94">
        <f>Financials!F28</f>
        <v>1</v>
      </c>
      <c r="I14" s="95"/>
      <c r="J14" s="96"/>
      <c r="K14" s="96"/>
      <c r="L14" s="128"/>
    </row>
    <row r="15" spans="1:12" ht="13.8" thickBot="1" x14ac:dyDescent="0.3">
      <c r="B15" s="114"/>
      <c r="C15" s="114"/>
      <c r="D15" s="107"/>
      <c r="E15" s="112"/>
      <c r="F15" s="109"/>
      <c r="G15" s="96"/>
      <c r="H15" s="133" t="str">
        <f>IF(H14&lt;&gt;(H17+K17),"ERROR","")</f>
        <v/>
      </c>
      <c r="I15" s="96"/>
      <c r="J15" s="96"/>
      <c r="K15" s="96"/>
      <c r="L15" s="128"/>
    </row>
    <row r="16" spans="1:12" ht="13.8" thickBot="1" x14ac:dyDescent="0.3">
      <c r="B16" s="114"/>
      <c r="C16" s="114"/>
      <c r="D16" s="107" t="s">
        <v>81</v>
      </c>
      <c r="E16" s="110">
        <f>Financials!F81</f>
        <v>-6.0000000000000001E-3</v>
      </c>
      <c r="F16" s="105"/>
      <c r="G16" s="93"/>
      <c r="H16" s="96"/>
      <c r="I16" s="96"/>
      <c r="J16" s="96"/>
      <c r="K16" s="96"/>
      <c r="L16" s="128"/>
    </row>
    <row r="17" spans="2:12" ht="13.8" thickBot="1" x14ac:dyDescent="0.3">
      <c r="B17" s="114"/>
      <c r="C17" s="114"/>
      <c r="D17" s="107"/>
      <c r="E17" s="105"/>
      <c r="F17" s="105"/>
      <c r="G17" s="93" t="s">
        <v>64</v>
      </c>
      <c r="H17" s="99">
        <f>Financials!F27</f>
        <v>0.12624584717607973</v>
      </c>
      <c r="I17" s="96"/>
      <c r="J17" s="93" t="s">
        <v>58</v>
      </c>
      <c r="K17" s="99">
        <f>Financials!F16</f>
        <v>0.87375415282392022</v>
      </c>
      <c r="L17" s="129"/>
    </row>
    <row r="18" spans="2:12" ht="13.8" thickBot="1" x14ac:dyDescent="0.3">
      <c r="B18" s="114"/>
      <c r="C18" s="115"/>
      <c r="D18" s="114" t="s">
        <v>80</v>
      </c>
      <c r="E18" s="116">
        <f>SUM(C19:C21)</f>
        <v>6.6E-3</v>
      </c>
      <c r="F18" s="117"/>
      <c r="G18" s="93"/>
      <c r="H18" s="96"/>
      <c r="I18" s="96"/>
      <c r="J18" s="93"/>
      <c r="K18" s="133" t="str">
        <f>IF(K17&lt;&gt;(K19+K21+K23+K25),"ERROR","")</f>
        <v/>
      </c>
      <c r="L18" s="128"/>
    </row>
    <row r="19" spans="2:12" ht="13.8" thickBot="1" x14ac:dyDescent="0.3">
      <c r="B19" s="114" t="s">
        <v>91</v>
      </c>
      <c r="C19" s="118">
        <f>Financials!F78</f>
        <v>2E-3</v>
      </c>
      <c r="D19" s="114"/>
      <c r="E19" s="115"/>
      <c r="F19" s="115"/>
      <c r="G19" s="93" t="s">
        <v>26</v>
      </c>
      <c r="H19" s="99">
        <f>Financials!F26</f>
        <v>3.1561461794019932E-2</v>
      </c>
      <c r="I19" s="96"/>
      <c r="J19" s="93" t="s">
        <v>7</v>
      </c>
      <c r="K19" s="99">
        <f>Financials!F14</f>
        <v>0.42967884828349945</v>
      </c>
      <c r="L19" s="128"/>
    </row>
    <row r="20" spans="2:12" ht="13.8" thickBot="1" x14ac:dyDescent="0.3">
      <c r="B20" s="114" t="s">
        <v>92</v>
      </c>
      <c r="C20" s="119">
        <f>Financials!F79</f>
        <v>3.0000000000000001E-3</v>
      </c>
      <c r="D20" s="114"/>
      <c r="E20" s="115"/>
      <c r="F20" s="115"/>
      <c r="G20" s="93"/>
      <c r="H20" s="96"/>
      <c r="I20" s="96"/>
      <c r="J20" s="96"/>
      <c r="K20" s="96"/>
      <c r="L20" s="128"/>
    </row>
    <row r="21" spans="2:12" ht="13.8" thickBot="1" x14ac:dyDescent="0.3">
      <c r="B21" s="114" t="s">
        <v>93</v>
      </c>
      <c r="C21" s="120">
        <f>Financials!F80</f>
        <v>1.6000000000000001E-3</v>
      </c>
      <c r="D21" s="114"/>
      <c r="E21" s="121"/>
      <c r="F21" s="115"/>
      <c r="G21" s="93" t="s">
        <v>66</v>
      </c>
      <c r="H21" s="99">
        <f>Financials!F25</f>
        <v>9.4684385382059796E-2</v>
      </c>
      <c r="I21" s="96"/>
      <c r="J21" s="93" t="s">
        <v>23</v>
      </c>
      <c r="K21" s="99">
        <f>Financials!F13</f>
        <v>0.39202657807308972</v>
      </c>
      <c r="L21" s="128"/>
    </row>
    <row r="22" spans="2:12" ht="13.8" thickBot="1" x14ac:dyDescent="0.3">
      <c r="B22" s="114"/>
      <c r="C22" s="122"/>
      <c r="D22" s="115"/>
      <c r="E22" s="115"/>
      <c r="F22" s="115"/>
      <c r="G22" s="93"/>
      <c r="H22" s="133" t="str">
        <f>IF(H21&lt;&gt;(H25+H26+H28+H29),"ERROR","")</f>
        <v/>
      </c>
      <c r="I22" s="96"/>
      <c r="J22" s="93"/>
      <c r="K22" s="96"/>
      <c r="L22" s="128"/>
    </row>
    <row r="23" spans="2:12" ht="13.8" thickBot="1" x14ac:dyDescent="0.3">
      <c r="B23" s="114"/>
      <c r="C23" s="122"/>
      <c r="D23" s="114" t="s">
        <v>78</v>
      </c>
      <c r="E23" s="116">
        <f>SUM(C24:C25)</f>
        <v>4.0000000000000001E-3</v>
      </c>
      <c r="F23" s="115"/>
      <c r="G23" s="96"/>
      <c r="H23" s="96"/>
      <c r="I23" s="96"/>
      <c r="J23" s="93" t="s">
        <v>10</v>
      </c>
      <c r="K23" s="99">
        <f>Financials!F15</f>
        <v>2.4363233665559248E-2</v>
      </c>
      <c r="L23" s="128"/>
    </row>
    <row r="24" spans="2:12" ht="13.8" thickBot="1" x14ac:dyDescent="0.3">
      <c r="B24" s="114" t="s">
        <v>86</v>
      </c>
      <c r="C24" s="119">
        <f>Financials!F74</f>
        <v>2E-3</v>
      </c>
      <c r="D24" s="114"/>
      <c r="E24" s="115"/>
      <c r="F24" s="115"/>
      <c r="G24" s="93"/>
      <c r="H24" s="96"/>
      <c r="I24" s="96"/>
      <c r="J24" s="93"/>
      <c r="K24" s="96"/>
      <c r="L24" s="128"/>
    </row>
    <row r="25" spans="2:12" ht="13.8" thickBot="1" x14ac:dyDescent="0.3">
      <c r="B25" s="114" t="s">
        <v>87</v>
      </c>
      <c r="C25" s="120">
        <f>Financials!F75</f>
        <v>2E-3</v>
      </c>
      <c r="D25" s="114"/>
      <c r="E25" s="115"/>
      <c r="F25" s="115"/>
      <c r="G25" s="93" t="s">
        <v>69</v>
      </c>
      <c r="H25" s="99">
        <f>Financials!F19</f>
        <v>0.14202657807308969</v>
      </c>
      <c r="I25" s="96"/>
      <c r="J25" s="93" t="s">
        <v>59</v>
      </c>
      <c r="K25" s="99">
        <f>Financials!F12</f>
        <v>2.768549280177187E-2</v>
      </c>
      <c r="L25" s="128"/>
    </row>
    <row r="26" spans="2:12" ht="13.8" thickBot="1" x14ac:dyDescent="0.3">
      <c r="B26" s="114"/>
      <c r="C26" s="122"/>
      <c r="D26" s="115"/>
      <c r="E26" s="115"/>
      <c r="F26" s="115"/>
      <c r="G26" s="93" t="s">
        <v>70</v>
      </c>
      <c r="H26" s="99">
        <f>Financials!F20</f>
        <v>-7.1013289036544844E-2</v>
      </c>
      <c r="I26" s="96"/>
      <c r="J26" s="96"/>
      <c r="K26" s="96"/>
      <c r="L26" s="128"/>
    </row>
    <row r="27" spans="2:12" ht="13.8" thickBot="1" x14ac:dyDescent="0.3">
      <c r="B27" s="114"/>
      <c r="C27" s="122"/>
      <c r="D27" s="114" t="s">
        <v>94</v>
      </c>
      <c r="E27" s="116">
        <f>SUM(C28:C30)</f>
        <v>0.10609333333333333</v>
      </c>
      <c r="F27" s="115"/>
      <c r="G27" s="93"/>
      <c r="H27" s="100"/>
      <c r="I27" s="96"/>
      <c r="J27" s="96"/>
      <c r="K27" s="96"/>
      <c r="L27" s="128"/>
    </row>
    <row r="28" spans="2:12" ht="13.8" thickBot="1" x14ac:dyDescent="0.3">
      <c r="B28" s="114" t="s">
        <v>82</v>
      </c>
      <c r="C28" s="118">
        <f>Financials!F70</f>
        <v>6.6000000000000003E-2</v>
      </c>
      <c r="D28" s="114"/>
      <c r="E28" s="115" t="str">
        <f>IF((E44-E37)&lt;&gt;E35,"ERROR","")</f>
        <v/>
      </c>
      <c r="F28" s="115"/>
      <c r="G28" s="93" t="s">
        <v>67</v>
      </c>
      <c r="H28" s="99">
        <f>Financials!F22</f>
        <v>4.7342192691029898E-2</v>
      </c>
      <c r="I28" s="96"/>
      <c r="J28" s="96"/>
      <c r="K28" s="96"/>
      <c r="L28" s="128"/>
    </row>
    <row r="29" spans="2:12" ht="13.8" thickBot="1" x14ac:dyDescent="0.3">
      <c r="B29" s="114" t="s">
        <v>83</v>
      </c>
      <c r="C29" s="119">
        <f>Financials!F71</f>
        <v>3.5093333333333324E-2</v>
      </c>
      <c r="D29" s="114"/>
      <c r="E29" s="115"/>
      <c r="F29" s="115"/>
      <c r="G29" s="93" t="s">
        <v>68</v>
      </c>
      <c r="H29" s="99">
        <f>Financials!F23</f>
        <v>-2.3671096345514949E-2</v>
      </c>
      <c r="I29" s="96"/>
      <c r="J29" s="96"/>
      <c r="K29" s="96"/>
      <c r="L29" s="128"/>
    </row>
    <row r="30" spans="2:12" ht="13.8" thickBot="1" x14ac:dyDescent="0.3">
      <c r="B30" s="114" t="s">
        <v>84</v>
      </c>
      <c r="C30" s="120">
        <f>Financials!F72</f>
        <v>5.0000000000000001E-3</v>
      </c>
      <c r="D30" s="115"/>
      <c r="E30" s="115"/>
      <c r="F30" s="115"/>
      <c r="G30" s="93"/>
      <c r="H30" s="100"/>
      <c r="I30" s="96"/>
      <c r="J30" s="96"/>
      <c r="K30" s="96"/>
      <c r="L30" s="128"/>
    </row>
    <row r="31" spans="2:12" ht="13.8" thickBot="1" x14ac:dyDescent="0.3">
      <c r="B31" s="114"/>
      <c r="C31" s="115"/>
      <c r="D31" s="115"/>
      <c r="E31" s="115"/>
      <c r="F31" s="123"/>
      <c r="G31" s="96"/>
      <c r="H31" s="96"/>
      <c r="I31" s="96"/>
      <c r="J31" s="96"/>
      <c r="K31" s="96"/>
      <c r="L31" s="128"/>
    </row>
    <row r="32" spans="2:12" ht="13.8" thickBot="1" x14ac:dyDescent="0.3">
      <c r="B32" s="114"/>
      <c r="C32" s="115"/>
      <c r="D32" s="114" t="s">
        <v>95</v>
      </c>
      <c r="E32" s="116">
        <f>SUM(C33:C37)</f>
        <v>0.11054185185185186</v>
      </c>
      <c r="F32" s="123"/>
      <c r="G32" s="96"/>
      <c r="H32" s="96"/>
      <c r="I32" s="96"/>
      <c r="J32" s="96"/>
      <c r="K32" s="96"/>
      <c r="L32" s="128"/>
    </row>
    <row r="33" spans="2:12" ht="13.8" thickBot="1" x14ac:dyDescent="0.3">
      <c r="B33" s="114" t="s">
        <v>75</v>
      </c>
      <c r="C33" s="118">
        <f>Financials!F60</f>
        <v>0.10223074074074075</v>
      </c>
      <c r="D33" s="114"/>
      <c r="E33" s="115"/>
      <c r="F33" s="115"/>
      <c r="G33" s="96"/>
      <c r="H33" s="96"/>
      <c r="I33" s="96"/>
      <c r="J33" s="96"/>
      <c r="K33" s="96"/>
      <c r="L33" s="128"/>
    </row>
    <row r="34" spans="2:12" ht="13.8" thickBot="1" x14ac:dyDescent="0.3">
      <c r="B34" s="124" t="s">
        <v>175</v>
      </c>
      <c r="C34" s="118">
        <f>Financials!F61</f>
        <v>7.185185185185184E-4</v>
      </c>
      <c r="D34" s="114"/>
      <c r="E34" s="121"/>
      <c r="F34" s="115"/>
      <c r="G34" s="96"/>
      <c r="H34" s="95"/>
      <c r="I34" s="96"/>
      <c r="J34" s="96"/>
      <c r="K34" s="96"/>
      <c r="L34" s="128"/>
    </row>
    <row r="35" spans="2:12" ht="13.8" thickBot="1" x14ac:dyDescent="0.3">
      <c r="B35" s="114" t="s">
        <v>76</v>
      </c>
      <c r="C35" s="119">
        <f>Financials!F63</f>
        <v>2.9703703703703702E-3</v>
      </c>
      <c r="D35" s="114" t="s">
        <v>8</v>
      </c>
      <c r="E35" s="116">
        <f>E44-E37</f>
        <v>0.248</v>
      </c>
      <c r="F35" s="115"/>
      <c r="G35" s="96"/>
      <c r="H35" s="96"/>
      <c r="I35" s="96"/>
      <c r="J35" s="96"/>
      <c r="K35" s="96"/>
      <c r="L35" s="128"/>
    </row>
    <row r="36" spans="2:12" ht="13.8" thickBot="1" x14ac:dyDescent="0.3">
      <c r="B36" s="114" t="s">
        <v>77</v>
      </c>
      <c r="C36" s="120">
        <f>Financials!F64</f>
        <v>2.3999999999999998E-3</v>
      </c>
      <c r="D36" s="114"/>
      <c r="E36" s="117"/>
      <c r="F36" s="115"/>
      <c r="G36" s="96"/>
      <c r="H36" s="96"/>
      <c r="I36" s="96"/>
      <c r="J36" s="96"/>
      <c r="K36" s="96"/>
      <c r="L36" s="128"/>
    </row>
    <row r="37" spans="2:12" ht="13.8" thickBot="1" x14ac:dyDescent="0.3">
      <c r="B37" s="114" t="s">
        <v>174</v>
      </c>
      <c r="C37" s="119">
        <f>SUM(Financials!F65:F68)</f>
        <v>2.2222222222222222E-3</v>
      </c>
      <c r="D37" s="114" t="s">
        <v>39</v>
      </c>
      <c r="E37" s="116">
        <f>SUM(C39:C40)</f>
        <v>0.752</v>
      </c>
      <c r="F37" s="115"/>
      <c r="G37" s="96"/>
      <c r="H37" s="96"/>
      <c r="I37" s="96"/>
      <c r="J37" s="96"/>
      <c r="K37" s="96"/>
      <c r="L37" s="128"/>
    </row>
    <row r="38" spans="2:12" ht="13.8" thickBot="1" x14ac:dyDescent="0.3">
      <c r="B38" s="115"/>
      <c r="C38" s="115"/>
      <c r="D38" s="114"/>
      <c r="E38" s="115"/>
      <c r="F38" s="115"/>
      <c r="G38" s="96"/>
      <c r="H38" s="96"/>
      <c r="I38" s="96"/>
      <c r="J38" s="96"/>
      <c r="K38" s="96"/>
      <c r="L38" s="128"/>
    </row>
    <row r="39" spans="2:12" ht="13.8" thickBot="1" x14ac:dyDescent="0.3">
      <c r="B39" s="114" t="s">
        <v>72</v>
      </c>
      <c r="C39" s="119">
        <f>Financials!F55</f>
        <v>0.73695999999999995</v>
      </c>
      <c r="D39" s="114"/>
      <c r="E39" s="115"/>
      <c r="F39" s="115"/>
      <c r="G39" s="96"/>
      <c r="H39" s="96"/>
      <c r="I39" s="96"/>
      <c r="J39" s="96"/>
      <c r="K39" s="96"/>
      <c r="L39" s="128"/>
    </row>
    <row r="40" spans="2:12" ht="13.8" thickBot="1" x14ac:dyDescent="0.3">
      <c r="B40" s="114" t="s">
        <v>71</v>
      </c>
      <c r="C40" s="120">
        <f>Financials!F56</f>
        <v>1.504E-2</v>
      </c>
      <c r="D40" s="115"/>
      <c r="E40" s="115"/>
      <c r="F40" s="115"/>
      <c r="G40" s="96"/>
      <c r="H40" s="96"/>
      <c r="I40" s="96"/>
      <c r="J40" s="96"/>
      <c r="K40" s="96"/>
      <c r="L40" s="128"/>
    </row>
    <row r="41" spans="2:12" ht="13.8" thickBot="1" x14ac:dyDescent="0.3">
      <c r="B41" s="114"/>
      <c r="C41" s="115"/>
      <c r="D41" s="114" t="s">
        <v>96</v>
      </c>
      <c r="E41" s="116">
        <f>Financials!F51</f>
        <v>1.03</v>
      </c>
      <c r="F41" s="115"/>
      <c r="G41" s="96"/>
      <c r="H41" s="96"/>
      <c r="I41" s="96"/>
      <c r="J41" s="96"/>
      <c r="K41" s="96"/>
      <c r="L41" s="128"/>
    </row>
    <row r="42" spans="2:12" ht="13.8" thickBot="1" x14ac:dyDescent="0.3">
      <c r="B42" s="114"/>
      <c r="C42" s="115"/>
      <c r="D42" s="114" t="s">
        <v>101</v>
      </c>
      <c r="E42" s="116">
        <f>Financials!F52</f>
        <v>0.03</v>
      </c>
      <c r="F42" s="115"/>
      <c r="G42" s="96"/>
      <c r="H42" s="96"/>
      <c r="I42" s="96"/>
      <c r="J42" s="96"/>
      <c r="K42" s="96"/>
      <c r="L42" s="128"/>
    </row>
    <row r="43" spans="2:12" ht="13.8" thickBot="1" x14ac:dyDescent="0.3">
      <c r="B43" s="115"/>
      <c r="C43" s="115"/>
      <c r="D43" s="114" t="s">
        <v>177</v>
      </c>
      <c r="E43" s="125">
        <f>Financials!E53</f>
        <v>2700</v>
      </c>
      <c r="F43" s="115"/>
      <c r="G43" s="96"/>
      <c r="H43" s="96"/>
      <c r="I43" s="96"/>
      <c r="J43" s="96"/>
      <c r="K43" s="96"/>
      <c r="L43" s="128"/>
    </row>
    <row r="44" spans="2:12" ht="13.8" thickBot="1" x14ac:dyDescent="0.3">
      <c r="B44" s="115"/>
      <c r="C44" s="115"/>
      <c r="D44" s="114"/>
      <c r="E44" s="116">
        <f>Financials!F53</f>
        <v>1</v>
      </c>
      <c r="F44" s="115"/>
      <c r="G44" s="96"/>
      <c r="H44" s="96"/>
      <c r="I44" s="96"/>
      <c r="J44" s="96"/>
      <c r="K44" s="96"/>
      <c r="L44" s="128"/>
    </row>
    <row r="45" spans="2:12" x14ac:dyDescent="0.25">
      <c r="B45" s="115"/>
      <c r="C45" s="115"/>
      <c r="D45" s="115"/>
      <c r="E45" s="115"/>
      <c r="F45" s="115"/>
      <c r="G45" s="96"/>
      <c r="H45" s="96"/>
      <c r="I45" s="96"/>
      <c r="J45" s="96"/>
      <c r="K45" s="96"/>
      <c r="L45" s="128"/>
    </row>
    <row r="46" spans="2:12" x14ac:dyDescent="0.25">
      <c r="B46" s="115"/>
      <c r="C46" s="115"/>
      <c r="D46" s="115"/>
      <c r="E46" s="115"/>
      <c r="F46" s="115"/>
      <c r="G46" s="96"/>
      <c r="H46" s="96"/>
      <c r="I46" s="96"/>
      <c r="J46" s="96"/>
      <c r="K46" s="96"/>
      <c r="L46" s="128"/>
    </row>
    <row r="47" spans="2:12" ht="24.6" x14ac:dyDescent="0.4">
      <c r="B47" s="127" t="s">
        <v>33</v>
      </c>
      <c r="C47" s="126"/>
      <c r="D47" s="126"/>
      <c r="E47" s="126"/>
      <c r="F47" s="126"/>
      <c r="G47" s="103" t="s">
        <v>9</v>
      </c>
      <c r="H47" s="102"/>
      <c r="I47" s="102"/>
      <c r="J47" s="102"/>
      <c r="K47" s="102"/>
      <c r="L47" s="128"/>
    </row>
  </sheetData>
  <phoneticPr fontId="0" type="noConversion"/>
  <pageMargins left="0.5" right="0.5" top="0.5" bottom="0.5" header="0.5" footer="0.5"/>
  <pageSetup scale="76" orientation="landscape" r:id="rId1"/>
  <headerFooter alignWithMargins="0">
    <oddFooter>&amp;LSCMRG/The Ohio State University, 2002</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47"/>
  <sheetViews>
    <sheetView zoomScale="85" workbookViewId="0">
      <selection activeCell="B27" sqref="B27"/>
    </sheetView>
  </sheetViews>
  <sheetFormatPr defaultRowHeight="13.2" x14ac:dyDescent="0.25"/>
  <cols>
    <col min="1" max="1" width="4.5546875" customWidth="1"/>
    <col min="2" max="2" width="24.109375" customWidth="1"/>
    <col min="3" max="3" width="7.44140625" customWidth="1"/>
    <col min="4" max="4" width="26.6640625" customWidth="1"/>
    <col min="6" max="6" width="11.109375" customWidth="1"/>
    <col min="7" max="7" width="23.109375" customWidth="1"/>
    <col min="8" max="8" width="10.6640625" customWidth="1"/>
    <col min="9" max="9" width="7.88671875" customWidth="1"/>
    <col min="10" max="10" width="18.6640625" customWidth="1"/>
  </cols>
  <sheetData>
    <row r="1" spans="1:12" ht="25.2" thickBot="1" x14ac:dyDescent="0.45">
      <c r="A1" s="1" t="s">
        <v>181</v>
      </c>
    </row>
    <row r="2" spans="1:12" ht="20.25" customHeight="1" thickBot="1" x14ac:dyDescent="0.45">
      <c r="A2" s="1"/>
      <c r="F2" s="19" t="s">
        <v>111</v>
      </c>
      <c r="G2" s="20">
        <f>E14*H8*K9</f>
        <v>0.26334966000000054</v>
      </c>
    </row>
    <row r="3" spans="1:12" ht="18" customHeight="1" thickBot="1" x14ac:dyDescent="0.35">
      <c r="F3" s="19" t="s">
        <v>112</v>
      </c>
      <c r="G3" s="20">
        <f>G6*K9</f>
        <v>0.14782479600000026</v>
      </c>
      <c r="H3" s="6" t="str">
        <f>IF(G3&lt;&gt;Financials!H87/Financials!H46,"ERROR","")</f>
        <v/>
      </c>
      <c r="I3" s="6"/>
    </row>
    <row r="4" spans="1:12" ht="15" customHeight="1" x14ac:dyDescent="0.3">
      <c r="F4" s="19"/>
      <c r="G4" s="92"/>
      <c r="I4" s="6"/>
    </row>
    <row r="5" spans="1:12" ht="13.8" thickBot="1" x14ac:dyDescent="0.3">
      <c r="I5" s="6"/>
    </row>
    <row r="6" spans="1:12" ht="16.5" customHeight="1" thickBot="1" x14ac:dyDescent="0.3">
      <c r="B6" s="3"/>
      <c r="F6" s="2" t="s">
        <v>1</v>
      </c>
      <c r="G6" s="17">
        <f>E9*H8</f>
        <v>7.0392760000000124E-2</v>
      </c>
      <c r="H6" s="6" t="str">
        <f>IF(G6&lt;&gt;(Financials!H87/Financials!H28),"ERROR","")</f>
        <v/>
      </c>
    </row>
    <row r="7" spans="1:12" ht="13.8" thickBot="1" x14ac:dyDescent="0.3">
      <c r="L7" s="72"/>
    </row>
    <row r="8" spans="1:12" ht="13.8" thickBot="1" x14ac:dyDescent="0.3">
      <c r="E8" s="5"/>
      <c r="G8" s="2" t="s">
        <v>4</v>
      </c>
      <c r="H8" s="18">
        <f>E43/H13</f>
        <v>2.7</v>
      </c>
      <c r="L8" s="72"/>
    </row>
    <row r="9" spans="1:12" ht="13.8" thickBot="1" x14ac:dyDescent="0.3">
      <c r="B9" s="114"/>
      <c r="C9" s="114"/>
      <c r="D9" s="106" t="s">
        <v>3</v>
      </c>
      <c r="E9" s="104">
        <f>Financials!I87</f>
        <v>2.6071392592592637E-2</v>
      </c>
      <c r="F9" s="106"/>
      <c r="G9" s="128"/>
      <c r="H9" s="128"/>
      <c r="I9" s="129" t="str">
        <f>IF((E43/H13)&lt;&gt;H8,"ERROR","")</f>
        <v/>
      </c>
      <c r="J9" s="101" t="s">
        <v>0</v>
      </c>
      <c r="K9" s="16">
        <f>H13/K11</f>
        <v>2.1</v>
      </c>
      <c r="L9" s="128"/>
    </row>
    <row r="10" spans="1:12" ht="13.8" thickBot="1" x14ac:dyDescent="0.3">
      <c r="B10" s="114"/>
      <c r="C10" s="114"/>
      <c r="D10" s="107"/>
      <c r="E10" s="108" t="str">
        <f>IF(E14-E11&lt;&gt;E9,"ERROR","")</f>
        <v/>
      </c>
      <c r="F10" s="109"/>
      <c r="G10" s="130"/>
      <c r="H10" s="128"/>
      <c r="I10" s="128"/>
      <c r="J10" s="93"/>
      <c r="K10" s="93"/>
      <c r="L10" s="128"/>
    </row>
    <row r="11" spans="1:12" ht="13.8" thickBot="1" x14ac:dyDescent="0.3">
      <c r="B11" s="114"/>
      <c r="C11" s="114"/>
      <c r="D11" s="107" t="s">
        <v>48</v>
      </c>
      <c r="E11" s="110">
        <f>SUM(Financials!I84:I86)</f>
        <v>2.0374755555555592E-2</v>
      </c>
      <c r="F11" s="105"/>
      <c r="G11" s="130"/>
      <c r="H11" s="128"/>
      <c r="I11" s="128"/>
      <c r="J11" s="93" t="s">
        <v>5</v>
      </c>
      <c r="K11" s="98">
        <f>Financials!H46</f>
        <v>476.1904761904762</v>
      </c>
      <c r="L11" s="128"/>
    </row>
    <row r="12" spans="1:12" ht="13.8" thickBot="1" x14ac:dyDescent="0.3">
      <c r="A12" s="4"/>
      <c r="B12" s="114"/>
      <c r="C12" s="114"/>
      <c r="D12" s="107"/>
      <c r="E12" s="111"/>
      <c r="F12" s="105"/>
      <c r="G12" s="130"/>
      <c r="H12" s="128"/>
      <c r="I12" s="128"/>
      <c r="J12" s="96"/>
      <c r="K12" s="96"/>
      <c r="L12" s="128"/>
    </row>
    <row r="13" spans="1:12" ht="13.8" thickBot="1" x14ac:dyDescent="0.3">
      <c r="B13" s="114"/>
      <c r="C13" s="143"/>
      <c r="D13" s="137"/>
      <c r="E13" s="113" t="str">
        <f>IF(ABS(E44-E37-E32-E27-E23-E18-E16-E14)&gt;0.0001,"ERROR","")</f>
        <v/>
      </c>
      <c r="F13" s="105"/>
      <c r="G13" s="93" t="s">
        <v>176</v>
      </c>
      <c r="H13" s="98">
        <f>Financials!H28</f>
        <v>1000</v>
      </c>
      <c r="I13" s="95"/>
      <c r="J13" s="95"/>
      <c r="K13" s="96"/>
      <c r="L13" s="128"/>
    </row>
    <row r="14" spans="1:12" ht="13.8" thickBot="1" x14ac:dyDescent="0.3">
      <c r="B14" s="114"/>
      <c r="C14" s="114"/>
      <c r="D14" s="107" t="s">
        <v>6</v>
      </c>
      <c r="E14" s="110">
        <f>Financials!I82</f>
        <v>4.6446148148148236E-2</v>
      </c>
      <c r="F14" s="109"/>
      <c r="G14" s="97"/>
      <c r="H14" s="94">
        <f>Financials!I28</f>
        <v>1</v>
      </c>
      <c r="I14" s="95"/>
      <c r="J14" s="96"/>
      <c r="K14" s="96"/>
      <c r="L14" s="128"/>
    </row>
    <row r="15" spans="1:12" ht="13.8" thickBot="1" x14ac:dyDescent="0.3">
      <c r="B15" s="114"/>
      <c r="C15" s="114"/>
      <c r="D15" s="107"/>
      <c r="E15" s="112"/>
      <c r="F15" s="109"/>
      <c r="G15" s="96"/>
      <c r="H15" s="133" t="str">
        <f>IF(H14&lt;&gt;(H17+K17),"ERROR","")</f>
        <v/>
      </c>
      <c r="I15" s="96"/>
      <c r="J15" s="96"/>
      <c r="K15" s="96"/>
      <c r="L15" s="128"/>
    </row>
    <row r="16" spans="1:12" ht="13.8" thickBot="1" x14ac:dyDescent="0.3">
      <c r="B16" s="114"/>
      <c r="C16" s="114"/>
      <c r="D16" s="107" t="s">
        <v>81</v>
      </c>
      <c r="E16" s="110">
        <f>Financials!I81</f>
        <v>-6.0000000000000001E-3</v>
      </c>
      <c r="F16" s="105"/>
      <c r="G16" s="93"/>
      <c r="H16" s="96"/>
      <c r="I16" s="96"/>
      <c r="J16" s="96"/>
      <c r="K16" s="96"/>
      <c r="L16" s="128"/>
    </row>
    <row r="17" spans="2:12" ht="13.8" thickBot="1" x14ac:dyDescent="0.3">
      <c r="B17" s="114"/>
      <c r="C17" s="114"/>
      <c r="D17" s="107"/>
      <c r="E17" s="105"/>
      <c r="F17" s="105"/>
      <c r="G17" s="93" t="s">
        <v>64</v>
      </c>
      <c r="H17" s="99">
        <f>Financials!I27</f>
        <v>0.114</v>
      </c>
      <c r="I17" s="96"/>
      <c r="J17" s="93" t="s">
        <v>58</v>
      </c>
      <c r="K17" s="99">
        <f>Financials!I16</f>
        <v>0.88600000000000001</v>
      </c>
      <c r="L17" s="129"/>
    </row>
    <row r="18" spans="2:12" ht="13.8" thickBot="1" x14ac:dyDescent="0.3">
      <c r="B18" s="114"/>
      <c r="C18" s="115"/>
      <c r="D18" s="114" t="s">
        <v>80</v>
      </c>
      <c r="E18" s="116">
        <f>SUM(C19:C21)</f>
        <v>7.0000000000000001E-3</v>
      </c>
      <c r="F18" s="117"/>
      <c r="G18" s="93"/>
      <c r="H18" s="96"/>
      <c r="I18" s="96"/>
      <c r="J18" s="93"/>
      <c r="K18" s="133" t="str">
        <f>IF(K17&lt;&gt;(K19+K21+K23+K25),"ERROR","")</f>
        <v/>
      </c>
      <c r="L18" s="128"/>
    </row>
    <row r="19" spans="2:12" ht="13.8" thickBot="1" x14ac:dyDescent="0.3">
      <c r="B19" s="114" t="s">
        <v>91</v>
      </c>
      <c r="C19" s="118">
        <f>Financials!I78</f>
        <v>2E-3</v>
      </c>
      <c r="D19" s="114"/>
      <c r="E19" s="115"/>
      <c r="F19" s="115"/>
      <c r="G19" s="93" t="s">
        <v>26</v>
      </c>
      <c r="H19" s="99">
        <f>Financials!I26</f>
        <v>2.8500000000000001E-2</v>
      </c>
      <c r="I19" s="96"/>
      <c r="J19" s="93" t="s">
        <v>7</v>
      </c>
      <c r="K19" s="99">
        <f>Financials!I14</f>
        <v>0.48499999999999999</v>
      </c>
      <c r="L19" s="128"/>
    </row>
    <row r="20" spans="2:12" ht="13.8" thickBot="1" x14ac:dyDescent="0.3">
      <c r="B20" s="114" t="s">
        <v>92</v>
      </c>
      <c r="C20" s="119">
        <f>Financials!I79</f>
        <v>3.0000000000000001E-3</v>
      </c>
      <c r="D20" s="114"/>
      <c r="E20" s="115"/>
      <c r="F20" s="115"/>
      <c r="G20" s="93"/>
      <c r="H20" s="96"/>
      <c r="I20" s="96"/>
      <c r="J20" s="96"/>
      <c r="K20" s="96"/>
      <c r="L20" s="128"/>
    </row>
    <row r="21" spans="2:12" ht="13.8" thickBot="1" x14ac:dyDescent="0.3">
      <c r="B21" s="114" t="s">
        <v>93</v>
      </c>
      <c r="C21" s="120">
        <f>Financials!I80</f>
        <v>2E-3</v>
      </c>
      <c r="D21" s="114"/>
      <c r="E21" s="121"/>
      <c r="F21" s="115"/>
      <c r="G21" s="93" t="s">
        <v>66</v>
      </c>
      <c r="H21" s="99">
        <f>Financials!I25</f>
        <v>8.5500000000000007E-2</v>
      </c>
      <c r="I21" s="96"/>
      <c r="J21" s="93" t="s">
        <v>23</v>
      </c>
      <c r="K21" s="99">
        <f>Financials!I13</f>
        <v>0.35399999999999998</v>
      </c>
      <c r="L21" s="128"/>
    </row>
    <row r="22" spans="2:12" ht="13.8" thickBot="1" x14ac:dyDescent="0.3">
      <c r="B22" s="114"/>
      <c r="C22" s="122"/>
      <c r="D22" s="115"/>
      <c r="E22" s="115"/>
      <c r="F22" s="115"/>
      <c r="G22" s="93"/>
      <c r="H22" s="133" t="str">
        <f>IF(H21&lt;&gt;(H25+H26+H28+H29),"ERROR","")</f>
        <v/>
      </c>
      <c r="I22" s="96"/>
      <c r="J22" s="93"/>
      <c r="K22" s="96"/>
      <c r="L22" s="128"/>
    </row>
    <row r="23" spans="2:12" ht="13.8" thickBot="1" x14ac:dyDescent="0.3">
      <c r="B23" s="114"/>
      <c r="C23" s="122"/>
      <c r="D23" s="114" t="s">
        <v>78</v>
      </c>
      <c r="E23" s="116">
        <f>SUM(C24:C25)</f>
        <v>4.0000000000000001E-3</v>
      </c>
      <c r="F23" s="115"/>
      <c r="G23" s="96"/>
      <c r="H23" s="96"/>
      <c r="I23" s="96"/>
      <c r="J23" s="93" t="s">
        <v>10</v>
      </c>
      <c r="K23" s="99">
        <f>Financials!I15</f>
        <v>2.1999999999999999E-2</v>
      </c>
      <c r="L23" s="128"/>
    </row>
    <row r="24" spans="2:12" ht="13.8" thickBot="1" x14ac:dyDescent="0.3">
      <c r="B24" s="114" t="s">
        <v>86</v>
      </c>
      <c r="C24" s="119">
        <f>Financials!I74</f>
        <v>2E-3</v>
      </c>
      <c r="D24" s="114"/>
      <c r="E24" s="115"/>
      <c r="F24" s="115"/>
      <c r="G24" s="93"/>
      <c r="H24" s="96"/>
      <c r="I24" s="96"/>
      <c r="J24" s="93"/>
      <c r="K24" s="96"/>
      <c r="L24" s="128"/>
    </row>
    <row r="25" spans="2:12" ht="13.8" thickBot="1" x14ac:dyDescent="0.3">
      <c r="B25" s="114" t="s">
        <v>87</v>
      </c>
      <c r="C25" s="120">
        <f>Financials!I75</f>
        <v>2E-3</v>
      </c>
      <c r="D25" s="114"/>
      <c r="E25" s="115"/>
      <c r="F25" s="115"/>
      <c r="G25" s="93" t="s">
        <v>69</v>
      </c>
      <c r="H25" s="99">
        <f>Financials!I19</f>
        <v>0.12825</v>
      </c>
      <c r="I25" s="96"/>
      <c r="J25" s="93" t="s">
        <v>59</v>
      </c>
      <c r="K25" s="99">
        <f>Financials!I12</f>
        <v>2.5000000000000001E-2</v>
      </c>
      <c r="L25" s="128"/>
    </row>
    <row r="26" spans="2:12" ht="13.8" thickBot="1" x14ac:dyDescent="0.3">
      <c r="B26" s="114"/>
      <c r="C26" s="122"/>
      <c r="D26" s="115"/>
      <c r="E26" s="115"/>
      <c r="F26" s="115"/>
      <c r="G26" s="93" t="s">
        <v>70</v>
      </c>
      <c r="H26" s="99">
        <f>Financials!I20</f>
        <v>-6.4125000000000001E-2</v>
      </c>
      <c r="I26" s="96"/>
      <c r="J26" s="96"/>
      <c r="K26" s="96"/>
      <c r="L26" s="128"/>
    </row>
    <row r="27" spans="2:12" ht="13.8" thickBot="1" x14ac:dyDescent="0.3">
      <c r="B27" s="114"/>
      <c r="C27" s="122"/>
      <c r="D27" s="114" t="s">
        <v>94</v>
      </c>
      <c r="E27" s="116">
        <f>SUM(C28:C30)</f>
        <v>0.10509333333333333</v>
      </c>
      <c r="F27" s="115"/>
      <c r="G27" s="93"/>
      <c r="H27" s="100"/>
      <c r="I27" s="96"/>
      <c r="J27" s="96"/>
      <c r="K27" s="96"/>
      <c r="L27" s="128"/>
    </row>
    <row r="28" spans="2:12" ht="13.8" thickBot="1" x14ac:dyDescent="0.3">
      <c r="B28" s="114" t="s">
        <v>82</v>
      </c>
      <c r="C28" s="118">
        <f>Financials!I70</f>
        <v>6.6000000000000003E-2</v>
      </c>
      <c r="D28" s="114"/>
      <c r="E28" s="115" t="str">
        <f>IF((E44-E37)&lt;&gt;E35,"ERROR","")</f>
        <v/>
      </c>
      <c r="F28" s="115"/>
      <c r="G28" s="93" t="s">
        <v>67</v>
      </c>
      <c r="H28" s="99">
        <f>Financials!I22</f>
        <v>4.2750000000000003E-2</v>
      </c>
      <c r="I28" s="96"/>
      <c r="J28" s="96"/>
      <c r="K28" s="96"/>
      <c r="L28" s="128"/>
    </row>
    <row r="29" spans="2:12" ht="13.8" thickBot="1" x14ac:dyDescent="0.3">
      <c r="B29" s="114" t="s">
        <v>83</v>
      </c>
      <c r="C29" s="119">
        <f>Financials!I71</f>
        <v>3.5093333333333324E-2</v>
      </c>
      <c r="D29" s="114"/>
      <c r="E29" s="115"/>
      <c r="F29" s="115"/>
      <c r="G29" s="93" t="s">
        <v>68</v>
      </c>
      <c r="H29" s="99">
        <f>Financials!I23</f>
        <v>-2.1375000000000002E-2</v>
      </c>
      <c r="I29" s="96"/>
      <c r="J29" s="96"/>
      <c r="K29" s="96"/>
      <c r="L29" s="128"/>
    </row>
    <row r="30" spans="2:12" ht="13.8" thickBot="1" x14ac:dyDescent="0.3">
      <c r="B30" s="114" t="s">
        <v>84</v>
      </c>
      <c r="C30" s="120">
        <f>Financials!I72</f>
        <v>4.0000000000000001E-3</v>
      </c>
      <c r="D30" s="115"/>
      <c r="E30" s="115"/>
      <c r="F30" s="115"/>
      <c r="G30" s="93"/>
      <c r="H30" s="100"/>
      <c r="I30" s="96"/>
      <c r="J30" s="96"/>
      <c r="K30" s="96"/>
      <c r="L30" s="128"/>
    </row>
    <row r="31" spans="2:12" ht="13.8" thickBot="1" x14ac:dyDescent="0.3">
      <c r="B31" s="114"/>
      <c r="C31" s="115"/>
      <c r="D31" s="115"/>
      <c r="E31" s="115"/>
      <c r="F31" s="123"/>
      <c r="G31" s="96"/>
      <c r="H31" s="96"/>
      <c r="I31" s="96"/>
      <c r="J31" s="96"/>
      <c r="K31" s="96"/>
      <c r="L31" s="128"/>
    </row>
    <row r="32" spans="2:12" ht="13.8" thickBot="1" x14ac:dyDescent="0.3">
      <c r="B32" s="114"/>
      <c r="C32" s="115"/>
      <c r="D32" s="114" t="s">
        <v>95</v>
      </c>
      <c r="E32" s="116">
        <f>SUM(C33:C37)</f>
        <v>9.1460518518518538E-2</v>
      </c>
      <c r="F32" s="123"/>
      <c r="G32" s="96"/>
      <c r="H32" s="96"/>
      <c r="I32" s="96"/>
      <c r="J32" s="96"/>
      <c r="K32" s="96"/>
      <c r="L32" s="128"/>
    </row>
    <row r="33" spans="2:12" ht="13.8" thickBot="1" x14ac:dyDescent="0.3">
      <c r="B33" s="114" t="s">
        <v>75</v>
      </c>
      <c r="C33" s="118">
        <f>Financials!I60</f>
        <v>8.1784592592592603E-2</v>
      </c>
      <c r="D33" s="114"/>
      <c r="E33" s="115"/>
      <c r="F33" s="115"/>
      <c r="G33" s="96"/>
      <c r="H33" s="96"/>
      <c r="I33" s="96"/>
      <c r="J33" s="96"/>
      <c r="K33" s="96"/>
      <c r="L33" s="128"/>
    </row>
    <row r="34" spans="2:12" ht="13.8" thickBot="1" x14ac:dyDescent="0.3">
      <c r="B34" s="124" t="s">
        <v>175</v>
      </c>
      <c r="C34" s="118">
        <f>Financials!I61</f>
        <v>8.9814814814814813E-4</v>
      </c>
      <c r="D34" s="114"/>
      <c r="E34" s="121"/>
      <c r="F34" s="115"/>
      <c r="G34" s="96"/>
      <c r="H34" s="95"/>
      <c r="I34" s="96"/>
      <c r="J34" s="96"/>
      <c r="K34" s="96"/>
      <c r="L34" s="128"/>
    </row>
    <row r="35" spans="2:12" ht="13.8" thickBot="1" x14ac:dyDescent="0.3">
      <c r="B35" s="114" t="s">
        <v>76</v>
      </c>
      <c r="C35" s="119">
        <f>Financials!I63</f>
        <v>3.0000000000000001E-3</v>
      </c>
      <c r="D35" s="114" t="s">
        <v>8</v>
      </c>
      <c r="E35" s="116">
        <f>E44-E37</f>
        <v>0.248</v>
      </c>
      <c r="F35" s="115"/>
      <c r="G35" s="96"/>
      <c r="H35" s="96"/>
      <c r="I35" s="96"/>
      <c r="J35" s="96"/>
      <c r="K35" s="96"/>
      <c r="L35" s="128"/>
    </row>
    <row r="36" spans="2:12" ht="13.8" thickBot="1" x14ac:dyDescent="0.3">
      <c r="B36" s="114" t="s">
        <v>77</v>
      </c>
      <c r="C36" s="120">
        <f>Financials!I64</f>
        <v>3.0000000000000001E-3</v>
      </c>
      <c r="D36" s="114"/>
      <c r="E36" s="117"/>
      <c r="F36" s="115"/>
      <c r="G36" s="96"/>
      <c r="H36" s="96"/>
      <c r="I36" s="96"/>
      <c r="J36" s="96"/>
      <c r="K36" s="96"/>
      <c r="L36" s="128"/>
    </row>
    <row r="37" spans="2:12" ht="13.8" thickBot="1" x14ac:dyDescent="0.3">
      <c r="B37" s="114" t="s">
        <v>174</v>
      </c>
      <c r="C37" s="119">
        <f>SUM(Financials!I65:I68)</f>
        <v>2.7777777777777775E-3</v>
      </c>
      <c r="D37" s="114" t="s">
        <v>39</v>
      </c>
      <c r="E37" s="116">
        <f>SUM(C39:C40)</f>
        <v>0.752</v>
      </c>
      <c r="F37" s="115"/>
      <c r="G37" s="96"/>
      <c r="H37" s="96"/>
      <c r="I37" s="96"/>
      <c r="J37" s="96"/>
      <c r="K37" s="96"/>
      <c r="L37" s="128"/>
    </row>
    <row r="38" spans="2:12" ht="13.8" thickBot="1" x14ac:dyDescent="0.3">
      <c r="B38" s="115"/>
      <c r="C38" s="115"/>
      <c r="D38" s="114"/>
      <c r="E38" s="115"/>
      <c r="F38" s="115"/>
      <c r="G38" s="96"/>
      <c r="H38" s="96"/>
      <c r="I38" s="96"/>
      <c r="J38" s="96"/>
      <c r="K38" s="96"/>
      <c r="L38" s="128"/>
    </row>
    <row r="39" spans="2:12" ht="13.8" thickBot="1" x14ac:dyDescent="0.3">
      <c r="B39" s="114" t="s">
        <v>72</v>
      </c>
      <c r="C39" s="119">
        <f>Financials!I55</f>
        <v>0.73695999999999995</v>
      </c>
      <c r="D39" s="114"/>
      <c r="E39" s="115"/>
      <c r="F39" s="115"/>
      <c r="G39" s="96"/>
      <c r="H39" s="96"/>
      <c r="I39" s="96"/>
      <c r="J39" s="96"/>
      <c r="K39" s="96"/>
      <c r="L39" s="128"/>
    </row>
    <row r="40" spans="2:12" ht="13.8" thickBot="1" x14ac:dyDescent="0.3">
      <c r="B40" s="114" t="s">
        <v>71</v>
      </c>
      <c r="C40" s="120">
        <f>Financials!I56</f>
        <v>1.504E-2</v>
      </c>
      <c r="D40" s="115"/>
      <c r="E40" s="115"/>
      <c r="F40" s="115"/>
      <c r="G40" s="96"/>
      <c r="H40" s="96"/>
      <c r="I40" s="96"/>
      <c r="J40" s="96"/>
      <c r="K40" s="96"/>
      <c r="L40" s="128"/>
    </row>
    <row r="41" spans="2:12" ht="13.8" thickBot="1" x14ac:dyDescent="0.3">
      <c r="B41" s="114"/>
      <c r="C41" s="115"/>
      <c r="D41" s="114" t="s">
        <v>96</v>
      </c>
      <c r="E41" s="116">
        <f>Financials!I51</f>
        <v>1.03</v>
      </c>
      <c r="F41" s="115"/>
      <c r="G41" s="96"/>
      <c r="H41" s="96"/>
      <c r="I41" s="96"/>
      <c r="J41" s="96"/>
      <c r="K41" s="96"/>
      <c r="L41" s="128"/>
    </row>
    <row r="42" spans="2:12" ht="13.8" thickBot="1" x14ac:dyDescent="0.3">
      <c r="B42" s="114"/>
      <c r="C42" s="115"/>
      <c r="D42" s="114" t="s">
        <v>101</v>
      </c>
      <c r="E42" s="116">
        <f>Financials!I52</f>
        <v>0.03</v>
      </c>
      <c r="F42" s="115"/>
      <c r="G42" s="96"/>
      <c r="H42" s="96"/>
      <c r="I42" s="96"/>
      <c r="J42" s="96"/>
      <c r="K42" s="96"/>
      <c r="L42" s="128"/>
    </row>
    <row r="43" spans="2:12" ht="13.8" thickBot="1" x14ac:dyDescent="0.3">
      <c r="B43" s="115"/>
      <c r="C43" s="115"/>
      <c r="D43" s="114" t="s">
        <v>177</v>
      </c>
      <c r="E43" s="125">
        <f>Financials!H53</f>
        <v>2700</v>
      </c>
      <c r="F43" s="115"/>
      <c r="G43" s="96"/>
      <c r="H43" s="96"/>
      <c r="I43" s="96"/>
      <c r="J43" s="96"/>
      <c r="K43" s="96"/>
      <c r="L43" s="128"/>
    </row>
    <row r="44" spans="2:12" ht="13.8" thickBot="1" x14ac:dyDescent="0.3">
      <c r="B44" s="115"/>
      <c r="C44" s="115"/>
      <c r="D44" s="114"/>
      <c r="E44" s="116">
        <f>Financials!I53</f>
        <v>1</v>
      </c>
      <c r="F44" s="115"/>
      <c r="G44" s="96"/>
      <c r="H44" s="96"/>
      <c r="I44" s="96"/>
      <c r="J44" s="96"/>
      <c r="K44" s="96"/>
      <c r="L44" s="128"/>
    </row>
    <row r="45" spans="2:12" x14ac:dyDescent="0.25">
      <c r="B45" s="115"/>
      <c r="C45" s="115"/>
      <c r="D45" s="115"/>
      <c r="E45" s="115"/>
      <c r="F45" s="115"/>
      <c r="G45" s="96"/>
      <c r="H45" s="96"/>
      <c r="I45" s="96"/>
      <c r="J45" s="96"/>
      <c r="K45" s="96"/>
      <c r="L45" s="128"/>
    </row>
    <row r="46" spans="2:12" x14ac:dyDescent="0.25">
      <c r="B46" s="115"/>
      <c r="C46" s="115"/>
      <c r="D46" s="115"/>
      <c r="E46" s="115"/>
      <c r="F46" s="115"/>
      <c r="G46" s="96"/>
      <c r="H46" s="96"/>
      <c r="I46" s="96"/>
      <c r="J46" s="96"/>
      <c r="K46" s="96"/>
      <c r="L46" s="128"/>
    </row>
    <row r="47" spans="2:12" ht="24.6" x14ac:dyDescent="0.4">
      <c r="B47" s="127" t="s">
        <v>33</v>
      </c>
      <c r="C47" s="126"/>
      <c r="D47" s="126"/>
      <c r="E47" s="126"/>
      <c r="F47" s="126"/>
      <c r="G47" s="103" t="s">
        <v>9</v>
      </c>
      <c r="H47" s="102"/>
      <c r="I47" s="102"/>
      <c r="J47" s="102"/>
      <c r="K47" s="102"/>
      <c r="L47" s="128"/>
    </row>
  </sheetData>
  <phoneticPr fontId="0" type="noConversion"/>
  <pageMargins left="0.5" right="0.5" top="0.5" bottom="0.5" header="0.5" footer="0.5"/>
  <pageSetup scale="76" orientation="landscape" r:id="rId1"/>
  <headerFooter alignWithMargins="0">
    <oddFooter>&amp;LSCMRG/The Ohio State University, 2002</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47"/>
  <sheetViews>
    <sheetView zoomScale="85" workbookViewId="0">
      <selection activeCell="B27" sqref="B27"/>
    </sheetView>
  </sheetViews>
  <sheetFormatPr defaultRowHeight="13.2" x14ac:dyDescent="0.25"/>
  <cols>
    <col min="1" max="1" width="4.5546875" customWidth="1"/>
    <col min="2" max="2" width="24.109375" customWidth="1"/>
    <col min="3" max="3" width="7.44140625" customWidth="1"/>
    <col min="4" max="4" width="26.6640625" customWidth="1"/>
    <col min="6" max="6" width="11.109375" customWidth="1"/>
    <col min="7" max="7" width="23.109375" customWidth="1"/>
    <col min="8" max="8" width="10.6640625" customWidth="1"/>
    <col min="9" max="9" width="7.88671875" customWidth="1"/>
    <col min="10" max="10" width="18.6640625" customWidth="1"/>
  </cols>
  <sheetData>
    <row r="1" spans="1:12" ht="25.2" thickBot="1" x14ac:dyDescent="0.45">
      <c r="A1" s="1" t="s">
        <v>182</v>
      </c>
    </row>
    <row r="2" spans="1:12" ht="20.25" customHeight="1" thickBot="1" x14ac:dyDescent="0.45">
      <c r="A2" s="1"/>
      <c r="F2" s="19" t="s">
        <v>111</v>
      </c>
      <c r="G2" s="20">
        <f>E14*H8*K9</f>
        <v>0.19860120000000014</v>
      </c>
    </row>
    <row r="3" spans="1:12" ht="18" customHeight="1" thickBot="1" x14ac:dyDescent="0.35">
      <c r="F3" s="19" t="s">
        <v>112</v>
      </c>
      <c r="G3" s="20">
        <f>G6*K9</f>
        <v>0.10897572000000005</v>
      </c>
      <c r="H3" s="6" t="str">
        <f>IF(G3&lt;&gt;Financials!K87/Financials!K46,"ERROR","")</f>
        <v/>
      </c>
      <c r="I3" s="6"/>
    </row>
    <row r="4" spans="1:12" ht="15" customHeight="1" x14ac:dyDescent="0.3">
      <c r="F4" s="19"/>
      <c r="G4" s="92"/>
      <c r="I4" s="6"/>
    </row>
    <row r="5" spans="1:12" ht="13.8" thickBot="1" x14ac:dyDescent="0.3">
      <c r="I5" s="6"/>
    </row>
    <row r="6" spans="1:12" ht="16.5" customHeight="1" thickBot="1" x14ac:dyDescent="0.3">
      <c r="B6" s="3"/>
      <c r="F6" s="2" t="s">
        <v>1</v>
      </c>
      <c r="G6" s="17">
        <f>E9*H8</f>
        <v>5.1893200000000021E-2</v>
      </c>
      <c r="H6" s="6" t="str">
        <f>IF(G6&lt;&gt;(Financials!K87/Financials!K28),"ERROR","")</f>
        <v/>
      </c>
    </row>
    <row r="7" spans="1:12" ht="13.8" thickBot="1" x14ac:dyDescent="0.3">
      <c r="L7" s="72"/>
    </row>
    <row r="8" spans="1:12" ht="13.8" thickBot="1" x14ac:dyDescent="0.3">
      <c r="E8" s="5"/>
      <c r="G8" s="2" t="s">
        <v>4</v>
      </c>
      <c r="H8" s="18">
        <f>E43/H13</f>
        <v>2.7</v>
      </c>
      <c r="L8" s="72"/>
    </row>
    <row r="9" spans="1:12" ht="13.8" thickBot="1" x14ac:dyDescent="0.3">
      <c r="B9" s="114"/>
      <c r="C9" s="114"/>
      <c r="D9" s="106" t="s">
        <v>3</v>
      </c>
      <c r="E9" s="104">
        <f>Financials!L87</f>
        <v>1.9219703703703711E-2</v>
      </c>
      <c r="F9" s="106"/>
      <c r="G9" s="128"/>
      <c r="H9" s="128"/>
      <c r="I9" s="129" t="str">
        <f>IF((E43/H13)&lt;&gt;H8,"ERROR","")</f>
        <v/>
      </c>
      <c r="J9" s="101" t="s">
        <v>0</v>
      </c>
      <c r="K9" s="16">
        <f>H13/K11</f>
        <v>2.1</v>
      </c>
      <c r="L9" s="128"/>
    </row>
    <row r="10" spans="1:12" ht="13.8" thickBot="1" x14ac:dyDescent="0.3">
      <c r="B10" s="114"/>
      <c r="C10" s="114"/>
      <c r="D10" s="107"/>
      <c r="E10" s="108" t="str">
        <f>IF(E14-E11&lt;&gt;E9,"ERROR","")</f>
        <v/>
      </c>
      <c r="F10" s="109"/>
      <c r="G10" s="130"/>
      <c r="H10" s="128"/>
      <c r="I10" s="128"/>
      <c r="J10" s="93"/>
      <c r="K10" s="93"/>
      <c r="L10" s="128"/>
    </row>
    <row r="11" spans="1:12" ht="13.8" thickBot="1" x14ac:dyDescent="0.3">
      <c r="B11" s="114"/>
      <c r="C11" s="114"/>
      <c r="D11" s="107" t="s">
        <v>48</v>
      </c>
      <c r="E11" s="110">
        <f>SUM(Financials!L84:L86)</f>
        <v>1.5806962962962971E-2</v>
      </c>
      <c r="F11" s="105"/>
      <c r="G11" s="130"/>
      <c r="H11" s="128"/>
      <c r="I11" s="128"/>
      <c r="J11" s="93" t="s">
        <v>5</v>
      </c>
      <c r="K11" s="98">
        <f>Financials!K46</f>
        <v>476.1904761904762</v>
      </c>
      <c r="L11" s="128"/>
    </row>
    <row r="12" spans="1:12" ht="13.8" thickBot="1" x14ac:dyDescent="0.3">
      <c r="A12" s="4"/>
      <c r="B12" s="114"/>
      <c r="C12" s="114"/>
      <c r="D12" s="107"/>
      <c r="E12" s="111"/>
      <c r="F12" s="105"/>
      <c r="G12" s="130"/>
      <c r="H12" s="128"/>
      <c r="I12" s="128"/>
      <c r="J12" s="96"/>
      <c r="K12" s="96"/>
      <c r="L12" s="128"/>
    </row>
    <row r="13" spans="1:12" ht="13.8" thickBot="1" x14ac:dyDescent="0.3">
      <c r="B13" s="114"/>
      <c r="C13" s="143"/>
      <c r="D13" s="137"/>
      <c r="E13" s="113" t="str">
        <f>IF(ABS(E44-E37-E32-E27-E23-E18-E16-E14)&gt;0.0001,"ERROR","")</f>
        <v/>
      </c>
      <c r="F13" s="105"/>
      <c r="G13" s="93" t="s">
        <v>176</v>
      </c>
      <c r="H13" s="98">
        <f>Financials!K28</f>
        <v>1000</v>
      </c>
      <c r="I13" s="95"/>
      <c r="J13" s="95"/>
      <c r="K13" s="96"/>
      <c r="L13" s="128"/>
    </row>
    <row r="14" spans="1:12" ht="13.8" thickBot="1" x14ac:dyDescent="0.3">
      <c r="B14" s="114"/>
      <c r="C14" s="114"/>
      <c r="D14" s="107" t="s">
        <v>6</v>
      </c>
      <c r="E14" s="110">
        <f>Financials!L82</f>
        <v>3.5026666666666685E-2</v>
      </c>
      <c r="F14" s="109"/>
      <c r="G14" s="97"/>
      <c r="H14" s="94">
        <f>Financials!L28</f>
        <v>1</v>
      </c>
      <c r="I14" s="95"/>
      <c r="J14" s="96"/>
      <c r="K14" s="96"/>
      <c r="L14" s="128"/>
    </row>
    <row r="15" spans="1:12" ht="13.8" thickBot="1" x14ac:dyDescent="0.3">
      <c r="B15" s="114"/>
      <c r="C15" s="114"/>
      <c r="D15" s="107"/>
      <c r="E15" s="112"/>
      <c r="F15" s="109"/>
      <c r="G15" s="96"/>
      <c r="H15" s="133" t="str">
        <f>IF(H14&lt;&gt;(H17+K17),"ERROR","")</f>
        <v/>
      </c>
      <c r="I15" s="96"/>
      <c r="J15" s="96"/>
      <c r="K15" s="96"/>
      <c r="L15" s="128"/>
    </row>
    <row r="16" spans="1:12" ht="13.8" thickBot="1" x14ac:dyDescent="0.3">
      <c r="B16" s="114"/>
      <c r="C16" s="114"/>
      <c r="D16" s="107" t="s">
        <v>81</v>
      </c>
      <c r="E16" s="110">
        <f>Financials!L81</f>
        <v>-6.0000000000000001E-3</v>
      </c>
      <c r="F16" s="105"/>
      <c r="G16" s="93"/>
      <c r="H16" s="96"/>
      <c r="I16" s="96"/>
      <c r="J16" s="96"/>
      <c r="K16" s="96"/>
      <c r="L16" s="128"/>
    </row>
    <row r="17" spans="2:12" ht="13.8" thickBot="1" x14ac:dyDescent="0.3">
      <c r="B17" s="114"/>
      <c r="C17" s="114"/>
      <c r="D17" s="107"/>
      <c r="E17" s="105"/>
      <c r="F17" s="105"/>
      <c r="G17" s="93" t="s">
        <v>64</v>
      </c>
      <c r="H17" s="99">
        <f>Financials!L27</f>
        <v>0.114</v>
      </c>
      <c r="I17" s="96"/>
      <c r="J17" s="93" t="s">
        <v>58</v>
      </c>
      <c r="K17" s="99">
        <f>Financials!L16</f>
        <v>0.88600000000000001</v>
      </c>
      <c r="L17" s="129"/>
    </row>
    <row r="18" spans="2:12" ht="13.8" thickBot="1" x14ac:dyDescent="0.3">
      <c r="B18" s="114"/>
      <c r="C18" s="115"/>
      <c r="D18" s="114" t="s">
        <v>80</v>
      </c>
      <c r="E18" s="116">
        <f>SUM(C19:C21)</f>
        <v>7.0000000000000001E-3</v>
      </c>
      <c r="F18" s="117"/>
      <c r="G18" s="93"/>
      <c r="H18" s="96"/>
      <c r="I18" s="96"/>
      <c r="J18" s="93"/>
      <c r="K18" s="133" t="str">
        <f>IF(K17&lt;&gt;(K19+K21+K23+K25),"ERROR","")</f>
        <v/>
      </c>
      <c r="L18" s="128"/>
    </row>
    <row r="19" spans="2:12" ht="13.8" thickBot="1" x14ac:dyDescent="0.3">
      <c r="B19" s="114" t="s">
        <v>91</v>
      </c>
      <c r="C19" s="118">
        <f>Financials!L78</f>
        <v>2E-3</v>
      </c>
      <c r="D19" s="114"/>
      <c r="E19" s="115"/>
      <c r="F19" s="115"/>
      <c r="G19" s="93" t="s">
        <v>26</v>
      </c>
      <c r="H19" s="99">
        <f>Financials!L26</f>
        <v>2.8500000000000001E-2</v>
      </c>
      <c r="I19" s="96"/>
      <c r="J19" s="93" t="s">
        <v>7</v>
      </c>
      <c r="K19" s="99">
        <f>Financials!L14</f>
        <v>0.48499999999999999</v>
      </c>
      <c r="L19" s="128"/>
    </row>
    <row r="20" spans="2:12" ht="13.8" thickBot="1" x14ac:dyDescent="0.3">
      <c r="B20" s="114" t="s">
        <v>92</v>
      </c>
      <c r="C20" s="119">
        <f>Financials!L79</f>
        <v>3.0000000000000001E-3</v>
      </c>
      <c r="D20" s="114"/>
      <c r="E20" s="115"/>
      <c r="F20" s="115"/>
      <c r="G20" s="93"/>
      <c r="H20" s="96"/>
      <c r="I20" s="96"/>
      <c r="J20" s="96"/>
      <c r="K20" s="96"/>
      <c r="L20" s="128"/>
    </row>
    <row r="21" spans="2:12" ht="13.8" thickBot="1" x14ac:dyDescent="0.3">
      <c r="B21" s="114" t="s">
        <v>93</v>
      </c>
      <c r="C21" s="120">
        <f>Financials!L80</f>
        <v>2E-3</v>
      </c>
      <c r="D21" s="114"/>
      <c r="E21" s="121"/>
      <c r="F21" s="115"/>
      <c r="G21" s="93" t="s">
        <v>66</v>
      </c>
      <c r="H21" s="99">
        <f>Financials!L25</f>
        <v>8.5500000000000007E-2</v>
      </c>
      <c r="I21" s="96"/>
      <c r="J21" s="93" t="s">
        <v>23</v>
      </c>
      <c r="K21" s="99">
        <f>Financials!L13</f>
        <v>0.35399999999999998</v>
      </c>
      <c r="L21" s="128"/>
    </row>
    <row r="22" spans="2:12" ht="13.8" thickBot="1" x14ac:dyDescent="0.3">
      <c r="B22" s="114"/>
      <c r="C22" s="122"/>
      <c r="D22" s="115"/>
      <c r="E22" s="115"/>
      <c r="F22" s="115"/>
      <c r="G22" s="93"/>
      <c r="H22" s="133" t="str">
        <f>IF(H21&lt;&gt;(H25+H26+H28+H29),"ERROR","")</f>
        <v/>
      </c>
      <c r="I22" s="96"/>
      <c r="J22" s="93"/>
      <c r="K22" s="96"/>
      <c r="L22" s="128"/>
    </row>
    <row r="23" spans="2:12" ht="13.8" thickBot="1" x14ac:dyDescent="0.3">
      <c r="B23" s="114"/>
      <c r="C23" s="122"/>
      <c r="D23" s="114" t="s">
        <v>78</v>
      </c>
      <c r="E23" s="116">
        <f>SUM(C24:C25)</f>
        <v>4.0000000000000001E-3</v>
      </c>
      <c r="F23" s="115"/>
      <c r="G23" s="96"/>
      <c r="H23" s="96"/>
      <c r="I23" s="96"/>
      <c r="J23" s="93" t="s">
        <v>10</v>
      </c>
      <c r="K23" s="99">
        <f>Financials!L15</f>
        <v>2.1999999999999999E-2</v>
      </c>
      <c r="L23" s="128"/>
    </row>
    <row r="24" spans="2:12" ht="13.8" thickBot="1" x14ac:dyDescent="0.3">
      <c r="B24" s="114" t="s">
        <v>86</v>
      </c>
      <c r="C24" s="119">
        <f>Financials!L74</f>
        <v>2E-3</v>
      </c>
      <c r="D24" s="114"/>
      <c r="E24" s="115"/>
      <c r="F24" s="115"/>
      <c r="G24" s="93"/>
      <c r="H24" s="96"/>
      <c r="I24" s="96"/>
      <c r="J24" s="93"/>
      <c r="K24" s="96"/>
      <c r="L24" s="128"/>
    </row>
    <row r="25" spans="2:12" ht="13.8" thickBot="1" x14ac:dyDescent="0.3">
      <c r="B25" s="114" t="s">
        <v>87</v>
      </c>
      <c r="C25" s="120">
        <f>Financials!L75</f>
        <v>2E-3</v>
      </c>
      <c r="D25" s="114"/>
      <c r="E25" s="115"/>
      <c r="F25" s="115"/>
      <c r="G25" s="93" t="s">
        <v>69</v>
      </c>
      <c r="H25" s="99">
        <f>Financials!L19</f>
        <v>0.12825</v>
      </c>
      <c r="I25" s="96"/>
      <c r="J25" s="93" t="s">
        <v>59</v>
      </c>
      <c r="K25" s="99">
        <f>Financials!L12</f>
        <v>2.5000000000000001E-2</v>
      </c>
      <c r="L25" s="128"/>
    </row>
    <row r="26" spans="2:12" ht="13.8" thickBot="1" x14ac:dyDescent="0.3">
      <c r="B26" s="114"/>
      <c r="C26" s="122"/>
      <c r="D26" s="115"/>
      <c r="E26" s="115"/>
      <c r="F26" s="115"/>
      <c r="G26" s="93" t="s">
        <v>70</v>
      </c>
      <c r="H26" s="99">
        <f>Financials!L20</f>
        <v>-6.4125000000000001E-2</v>
      </c>
      <c r="I26" s="96"/>
      <c r="J26" s="96"/>
      <c r="K26" s="96"/>
      <c r="L26" s="128"/>
    </row>
    <row r="27" spans="2:12" ht="13.8" thickBot="1" x14ac:dyDescent="0.3">
      <c r="B27" s="114"/>
      <c r="C27" s="122"/>
      <c r="D27" s="114" t="s">
        <v>94</v>
      </c>
      <c r="E27" s="116">
        <f>SUM(C28:C30)</f>
        <v>9.9074666666666672E-2</v>
      </c>
      <c r="F27" s="115"/>
      <c r="G27" s="93"/>
      <c r="H27" s="100"/>
      <c r="I27" s="96"/>
      <c r="J27" s="96"/>
      <c r="K27" s="96"/>
      <c r="L27" s="128"/>
    </row>
    <row r="28" spans="2:12" ht="13.8" thickBot="1" x14ac:dyDescent="0.3">
      <c r="B28" s="114" t="s">
        <v>82</v>
      </c>
      <c r="C28" s="118">
        <f>Financials!L70</f>
        <v>6.6000000000000003E-2</v>
      </c>
      <c r="D28" s="114"/>
      <c r="E28" s="115" t="str">
        <f>IF((E44-E37)&lt;&gt;E35,"ERROR","")</f>
        <v/>
      </c>
      <c r="F28" s="115"/>
      <c r="G28" s="93" t="s">
        <v>67</v>
      </c>
      <c r="H28" s="99">
        <f>Financials!L22</f>
        <v>4.2750000000000003E-2</v>
      </c>
      <c r="I28" s="96"/>
      <c r="J28" s="96"/>
      <c r="K28" s="96"/>
      <c r="L28" s="128"/>
    </row>
    <row r="29" spans="2:12" ht="13.8" thickBot="1" x14ac:dyDescent="0.3">
      <c r="B29" s="114" t="s">
        <v>83</v>
      </c>
      <c r="C29" s="119">
        <f>Financials!L71</f>
        <v>2.8074666666666664E-2</v>
      </c>
      <c r="D29" s="114"/>
      <c r="E29" s="115"/>
      <c r="F29" s="115"/>
      <c r="G29" s="93" t="s">
        <v>68</v>
      </c>
      <c r="H29" s="99">
        <f>Financials!L23</f>
        <v>-2.1375000000000002E-2</v>
      </c>
      <c r="I29" s="96"/>
      <c r="J29" s="96"/>
      <c r="K29" s="96"/>
      <c r="L29" s="128"/>
    </row>
    <row r="30" spans="2:12" ht="13.8" thickBot="1" x14ac:dyDescent="0.3">
      <c r="B30" s="114" t="s">
        <v>84</v>
      </c>
      <c r="C30" s="120">
        <f>Financials!L72</f>
        <v>5.0000000000000001E-3</v>
      </c>
      <c r="D30" s="115"/>
      <c r="E30" s="115"/>
      <c r="F30" s="115"/>
      <c r="G30" s="93"/>
      <c r="H30" s="100"/>
      <c r="I30" s="96"/>
      <c r="J30" s="96"/>
      <c r="K30" s="96"/>
      <c r="L30" s="128"/>
    </row>
    <row r="31" spans="2:12" ht="13.8" thickBot="1" x14ac:dyDescent="0.3">
      <c r="B31" s="114"/>
      <c r="C31" s="115"/>
      <c r="D31" s="115"/>
      <c r="E31" s="115"/>
      <c r="F31" s="123"/>
      <c r="G31" s="96"/>
      <c r="H31" s="96"/>
      <c r="I31" s="96"/>
      <c r="J31" s="96"/>
      <c r="K31" s="96"/>
      <c r="L31" s="128"/>
    </row>
    <row r="32" spans="2:12" ht="13.8" thickBot="1" x14ac:dyDescent="0.3">
      <c r="B32" s="114"/>
      <c r="C32" s="115"/>
      <c r="D32" s="114" t="s">
        <v>95</v>
      </c>
      <c r="E32" s="116">
        <f>SUM(C33:C37)</f>
        <v>0.11190666666666668</v>
      </c>
      <c r="F32" s="123"/>
      <c r="G32" s="96"/>
      <c r="H32" s="96"/>
      <c r="I32" s="96"/>
      <c r="J32" s="96"/>
      <c r="K32" s="96"/>
      <c r="L32" s="128"/>
    </row>
    <row r="33" spans="2:12" ht="13.8" thickBot="1" x14ac:dyDescent="0.3">
      <c r="B33" s="114" t="s">
        <v>75</v>
      </c>
      <c r="C33" s="118">
        <f>Financials!L60</f>
        <v>0.10223074074074075</v>
      </c>
      <c r="D33" s="114"/>
      <c r="E33" s="115"/>
      <c r="F33" s="115"/>
      <c r="G33" s="96"/>
      <c r="H33" s="96"/>
      <c r="I33" s="96"/>
      <c r="J33" s="96"/>
      <c r="K33" s="96"/>
      <c r="L33" s="128"/>
    </row>
    <row r="34" spans="2:12" ht="13.8" thickBot="1" x14ac:dyDescent="0.3">
      <c r="B34" s="124" t="s">
        <v>175</v>
      </c>
      <c r="C34" s="118">
        <f>Financials!L61</f>
        <v>8.9814814814814813E-4</v>
      </c>
      <c r="D34" s="114"/>
      <c r="E34" s="121"/>
      <c r="F34" s="115"/>
      <c r="G34" s="96"/>
      <c r="H34" s="95"/>
      <c r="I34" s="96"/>
      <c r="J34" s="96"/>
      <c r="K34" s="96"/>
      <c r="L34" s="128"/>
    </row>
    <row r="35" spans="2:12" ht="13.8" thickBot="1" x14ac:dyDescent="0.3">
      <c r="B35" s="114" t="s">
        <v>76</v>
      </c>
      <c r="C35" s="119">
        <f>Financials!L63</f>
        <v>3.0000000000000001E-3</v>
      </c>
      <c r="D35" s="114" t="s">
        <v>8</v>
      </c>
      <c r="E35" s="116">
        <f>E44-E37</f>
        <v>0.25100800000000001</v>
      </c>
      <c r="F35" s="115"/>
      <c r="G35" s="96"/>
      <c r="H35" s="96"/>
      <c r="I35" s="96"/>
      <c r="J35" s="96"/>
      <c r="K35" s="96"/>
      <c r="L35" s="128"/>
    </row>
    <row r="36" spans="2:12" ht="13.8" thickBot="1" x14ac:dyDescent="0.3">
      <c r="B36" s="114" t="s">
        <v>77</v>
      </c>
      <c r="C36" s="120">
        <f>Financials!L64</f>
        <v>3.0000000000000001E-3</v>
      </c>
      <c r="D36" s="114"/>
      <c r="E36" s="117"/>
      <c r="F36" s="115"/>
      <c r="G36" s="96"/>
      <c r="H36" s="96"/>
      <c r="I36" s="96"/>
      <c r="J36" s="96"/>
      <c r="K36" s="96"/>
      <c r="L36" s="128"/>
    </row>
    <row r="37" spans="2:12" ht="13.8" thickBot="1" x14ac:dyDescent="0.3">
      <c r="B37" s="114" t="s">
        <v>174</v>
      </c>
      <c r="C37" s="119">
        <f>SUM(Financials!L65:L68)</f>
        <v>2.7777777777777775E-3</v>
      </c>
      <c r="D37" s="114" t="s">
        <v>39</v>
      </c>
      <c r="E37" s="116">
        <f>SUM(C39:C40)</f>
        <v>0.74899199999999999</v>
      </c>
      <c r="F37" s="115"/>
      <c r="G37" s="96"/>
      <c r="H37" s="96"/>
      <c r="I37" s="96"/>
      <c r="J37" s="96"/>
      <c r="K37" s="96"/>
      <c r="L37" s="128"/>
    </row>
    <row r="38" spans="2:12" ht="13.8" thickBot="1" x14ac:dyDescent="0.3">
      <c r="B38" s="115"/>
      <c r="C38" s="115"/>
      <c r="D38" s="114"/>
      <c r="E38" s="115"/>
      <c r="F38" s="115"/>
      <c r="G38" s="96"/>
      <c r="H38" s="96"/>
      <c r="I38" s="96"/>
      <c r="J38" s="96"/>
      <c r="K38" s="96"/>
      <c r="L38" s="128"/>
    </row>
    <row r="39" spans="2:12" ht="13.8" thickBot="1" x14ac:dyDescent="0.3">
      <c r="B39" s="114" t="s">
        <v>72</v>
      </c>
      <c r="C39" s="119">
        <f>Financials!L55</f>
        <v>0.73695999999999995</v>
      </c>
      <c r="D39" s="114"/>
      <c r="E39" s="115"/>
      <c r="F39" s="115"/>
      <c r="G39" s="96"/>
      <c r="H39" s="96"/>
      <c r="I39" s="96"/>
      <c r="J39" s="96"/>
      <c r="K39" s="96"/>
      <c r="L39" s="128"/>
    </row>
    <row r="40" spans="2:12" ht="13.8" thickBot="1" x14ac:dyDescent="0.3">
      <c r="B40" s="114" t="s">
        <v>71</v>
      </c>
      <c r="C40" s="120">
        <f>Financials!L56</f>
        <v>1.2031999999999999E-2</v>
      </c>
      <c r="D40" s="115"/>
      <c r="E40" s="115"/>
      <c r="F40" s="115"/>
      <c r="G40" s="96"/>
      <c r="H40" s="96"/>
      <c r="I40" s="96"/>
      <c r="J40" s="96"/>
      <c r="K40" s="96"/>
      <c r="L40" s="128"/>
    </row>
    <row r="41" spans="2:12" ht="13.8" thickBot="1" x14ac:dyDescent="0.3">
      <c r="B41" s="114"/>
      <c r="C41" s="115"/>
      <c r="D41" s="114" t="s">
        <v>96</v>
      </c>
      <c r="E41" s="116">
        <f>Financials!L51</f>
        <v>1.03</v>
      </c>
      <c r="F41" s="115"/>
      <c r="G41" s="96"/>
      <c r="H41" s="96"/>
      <c r="I41" s="96"/>
      <c r="J41" s="96"/>
      <c r="K41" s="96"/>
      <c r="L41" s="128"/>
    </row>
    <row r="42" spans="2:12" ht="13.8" thickBot="1" x14ac:dyDescent="0.3">
      <c r="B42" s="114"/>
      <c r="C42" s="115"/>
      <c r="D42" s="114" t="s">
        <v>101</v>
      </c>
      <c r="E42" s="116">
        <f>Financials!L52</f>
        <v>0.03</v>
      </c>
      <c r="F42" s="115"/>
      <c r="G42" s="96"/>
      <c r="H42" s="96"/>
      <c r="I42" s="96"/>
      <c r="J42" s="96"/>
      <c r="K42" s="96"/>
      <c r="L42" s="128"/>
    </row>
    <row r="43" spans="2:12" ht="13.8" thickBot="1" x14ac:dyDescent="0.3">
      <c r="B43" s="115"/>
      <c r="C43" s="115"/>
      <c r="D43" s="114" t="s">
        <v>177</v>
      </c>
      <c r="E43" s="125">
        <f>Financials!K53</f>
        <v>2700</v>
      </c>
      <c r="F43" s="115"/>
      <c r="G43" s="96"/>
      <c r="H43" s="96"/>
      <c r="I43" s="96"/>
      <c r="J43" s="96"/>
      <c r="K43" s="96"/>
      <c r="L43" s="128"/>
    </row>
    <row r="44" spans="2:12" ht="13.8" thickBot="1" x14ac:dyDescent="0.3">
      <c r="B44" s="115"/>
      <c r="C44" s="115"/>
      <c r="D44" s="114"/>
      <c r="E44" s="116">
        <f>Financials!L53</f>
        <v>1</v>
      </c>
      <c r="F44" s="115"/>
      <c r="G44" s="96"/>
      <c r="H44" s="96"/>
      <c r="I44" s="96"/>
      <c r="J44" s="96"/>
      <c r="K44" s="96"/>
      <c r="L44" s="128"/>
    </row>
    <row r="45" spans="2:12" x14ac:dyDescent="0.25">
      <c r="B45" s="115"/>
      <c r="C45" s="115"/>
      <c r="D45" s="115"/>
      <c r="E45" s="115"/>
      <c r="F45" s="115"/>
      <c r="G45" s="96"/>
      <c r="H45" s="96"/>
      <c r="I45" s="96"/>
      <c r="J45" s="96"/>
      <c r="K45" s="96"/>
      <c r="L45" s="128"/>
    </row>
    <row r="46" spans="2:12" x14ac:dyDescent="0.25">
      <c r="B46" s="115"/>
      <c r="C46" s="115"/>
      <c r="D46" s="115"/>
      <c r="E46" s="115"/>
      <c r="F46" s="115"/>
      <c r="G46" s="96"/>
      <c r="H46" s="96"/>
      <c r="I46" s="96"/>
      <c r="J46" s="96"/>
      <c r="K46" s="96"/>
      <c r="L46" s="128"/>
    </row>
    <row r="47" spans="2:12" ht="24.6" x14ac:dyDescent="0.4">
      <c r="B47" s="127" t="s">
        <v>33</v>
      </c>
      <c r="C47" s="126"/>
      <c r="D47" s="126"/>
      <c r="E47" s="126"/>
      <c r="F47" s="126"/>
      <c r="G47" s="103" t="s">
        <v>9</v>
      </c>
      <c r="H47" s="102"/>
      <c r="I47" s="102"/>
      <c r="J47" s="102"/>
      <c r="K47" s="102"/>
      <c r="L47" s="128"/>
    </row>
  </sheetData>
  <phoneticPr fontId="0" type="noConversion"/>
  <pageMargins left="0.5" right="0.5" top="0.5" bottom="0.5" header="0.5" footer="0.5"/>
  <pageSetup scale="76" orientation="landscape" r:id="rId1"/>
  <headerFooter alignWithMargins="0">
    <oddFooter>&amp;LSCMRG/The Ohio State University, 2002</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47"/>
  <sheetViews>
    <sheetView zoomScale="85" workbookViewId="0">
      <selection activeCell="B27" sqref="B27"/>
    </sheetView>
  </sheetViews>
  <sheetFormatPr defaultRowHeight="13.2" x14ac:dyDescent="0.25"/>
  <cols>
    <col min="1" max="1" width="4.5546875" customWidth="1"/>
    <col min="2" max="2" width="24.109375" customWidth="1"/>
    <col min="3" max="3" width="7.44140625" customWidth="1"/>
    <col min="4" max="4" width="26.6640625" customWidth="1"/>
    <col min="6" max="6" width="11.109375" customWidth="1"/>
    <col min="7" max="7" width="23.109375" customWidth="1"/>
    <col min="8" max="8" width="10.6640625" customWidth="1"/>
    <col min="9" max="9" width="7.88671875" customWidth="1"/>
    <col min="10" max="10" width="18.6640625" customWidth="1"/>
  </cols>
  <sheetData>
    <row r="1" spans="1:12" ht="25.2" thickBot="1" x14ac:dyDescent="0.45">
      <c r="A1" s="1" t="s">
        <v>183</v>
      </c>
    </row>
    <row r="2" spans="1:12" ht="20.25" customHeight="1" thickBot="1" x14ac:dyDescent="0.45">
      <c r="A2" s="1"/>
      <c r="F2" s="19" t="s">
        <v>111</v>
      </c>
      <c r="G2" s="20">
        <f>E14*H8*K9</f>
        <v>0.33020736000000012</v>
      </c>
    </row>
    <row r="3" spans="1:12" ht="18" customHeight="1" thickBot="1" x14ac:dyDescent="0.35">
      <c r="F3" s="19" t="s">
        <v>112</v>
      </c>
      <c r="G3" s="20">
        <f>G6*K9</f>
        <v>0.18997641600000006</v>
      </c>
      <c r="H3" s="6" t="str">
        <f>IF(G3&lt;&gt;Financials!N87/Financials!N46,"ERROR","")</f>
        <v/>
      </c>
      <c r="I3" s="6"/>
    </row>
    <row r="4" spans="1:12" ht="15" customHeight="1" x14ac:dyDescent="0.3">
      <c r="F4" s="19"/>
      <c r="G4" s="92"/>
      <c r="I4" s="6"/>
    </row>
    <row r="5" spans="1:12" ht="13.8" thickBot="1" x14ac:dyDescent="0.3">
      <c r="I5" s="6"/>
    </row>
    <row r="6" spans="1:12" ht="16.5" customHeight="1" thickBot="1" x14ac:dyDescent="0.3">
      <c r="B6" s="3"/>
      <c r="F6" s="2" t="s">
        <v>1</v>
      </c>
      <c r="G6" s="17">
        <f>E9*H8</f>
        <v>0.10018267995570325</v>
      </c>
      <c r="H6" s="6" t="str">
        <f>IF(G6&lt;&gt;(Financials!N87/Financials!N28),"ERROR","")</f>
        <v/>
      </c>
    </row>
    <row r="7" spans="1:12" ht="13.8" thickBot="1" x14ac:dyDescent="0.3">
      <c r="L7" s="72"/>
    </row>
    <row r="8" spans="1:12" ht="13.8" thickBot="1" x14ac:dyDescent="0.3">
      <c r="E8" s="5"/>
      <c r="G8" s="2" t="s">
        <v>4</v>
      </c>
      <c r="H8" s="18">
        <f>E43/H13</f>
        <v>2.9900332225913622</v>
      </c>
      <c r="L8" s="72"/>
    </row>
    <row r="9" spans="1:12" ht="13.8" thickBot="1" x14ac:dyDescent="0.3">
      <c r="B9" s="114"/>
      <c r="C9" s="114"/>
      <c r="D9" s="106" t="s">
        <v>3</v>
      </c>
      <c r="E9" s="104">
        <f>Financials!O87</f>
        <v>3.3505540740740754E-2</v>
      </c>
      <c r="F9" s="106"/>
      <c r="G9" s="128"/>
      <c r="H9" s="128"/>
      <c r="I9" s="129" t="str">
        <f>IF((E43/H13)&lt;&gt;H8,"ERROR","")</f>
        <v/>
      </c>
      <c r="J9" s="101" t="s">
        <v>0</v>
      </c>
      <c r="K9" s="16">
        <f>H13/K11</f>
        <v>1.8962999999999999</v>
      </c>
      <c r="L9" s="128"/>
    </row>
    <row r="10" spans="1:12" ht="13.8" thickBot="1" x14ac:dyDescent="0.3">
      <c r="B10" s="114"/>
      <c r="C10" s="114"/>
      <c r="D10" s="107"/>
      <c r="E10" s="108" t="str">
        <f>IF(E14-E11&lt;&gt;E9,"ERROR","")</f>
        <v/>
      </c>
      <c r="F10" s="109"/>
      <c r="G10" s="130"/>
      <c r="H10" s="128"/>
      <c r="I10" s="128"/>
      <c r="J10" s="93"/>
      <c r="K10" s="93"/>
      <c r="L10" s="128"/>
    </row>
    <row r="11" spans="1:12" ht="13.8" thickBot="1" x14ac:dyDescent="0.3">
      <c r="B11" s="114"/>
      <c r="C11" s="114"/>
      <c r="D11" s="107" t="s">
        <v>48</v>
      </c>
      <c r="E11" s="110">
        <f>SUM(Financials!O84:O86)</f>
        <v>2.4732088888888896E-2</v>
      </c>
      <c r="F11" s="105"/>
      <c r="G11" s="130"/>
      <c r="H11" s="128"/>
      <c r="I11" s="128"/>
      <c r="J11" s="93" t="s">
        <v>5</v>
      </c>
      <c r="K11" s="98">
        <f>Financials!N46</f>
        <v>476.1904761904762</v>
      </c>
      <c r="L11" s="128"/>
    </row>
    <row r="12" spans="1:12" ht="13.8" thickBot="1" x14ac:dyDescent="0.3">
      <c r="A12" s="4"/>
      <c r="B12" s="114"/>
      <c r="C12" s="114"/>
      <c r="D12" s="107"/>
      <c r="E12" s="111"/>
      <c r="F12" s="105"/>
      <c r="G12" s="130"/>
      <c r="H12" s="128"/>
      <c r="I12" s="128"/>
      <c r="J12" s="96"/>
      <c r="K12" s="96"/>
      <c r="L12" s="128"/>
    </row>
    <row r="13" spans="1:12" ht="13.8" thickBot="1" x14ac:dyDescent="0.3">
      <c r="B13" s="114"/>
      <c r="C13" s="143"/>
      <c r="D13" s="137"/>
      <c r="E13" s="113" t="str">
        <f>IF(ABS(E44-E37-E32-E27-E23-E18-E16-E14)&gt;0.0001,"ERROR","")</f>
        <v/>
      </c>
      <c r="F13" s="105"/>
      <c r="G13" s="93" t="s">
        <v>176</v>
      </c>
      <c r="H13" s="98">
        <f>Financials!N28</f>
        <v>903</v>
      </c>
      <c r="I13" s="95"/>
      <c r="J13" s="95"/>
      <c r="K13" s="96"/>
      <c r="L13" s="128"/>
    </row>
    <row r="14" spans="1:12" ht="13.8" thickBot="1" x14ac:dyDescent="0.3">
      <c r="B14" s="114"/>
      <c r="C14" s="114"/>
      <c r="D14" s="107" t="s">
        <v>6</v>
      </c>
      <c r="E14" s="110">
        <f>Financials!O82</f>
        <v>5.8237629629629653E-2</v>
      </c>
      <c r="F14" s="109"/>
      <c r="G14" s="97"/>
      <c r="H14" s="94">
        <f>Financials!O28</f>
        <v>1</v>
      </c>
      <c r="I14" s="95"/>
      <c r="J14" s="96"/>
      <c r="K14" s="96"/>
      <c r="L14" s="128"/>
    </row>
    <row r="15" spans="1:12" ht="13.8" thickBot="1" x14ac:dyDescent="0.3">
      <c r="B15" s="114"/>
      <c r="C15" s="114"/>
      <c r="D15" s="107"/>
      <c r="E15" s="112"/>
      <c r="F15" s="109"/>
      <c r="G15" s="96"/>
      <c r="H15" s="133" t="str">
        <f>IF(H14&lt;&gt;(H17+K17),"ERROR","")</f>
        <v/>
      </c>
      <c r="I15" s="96"/>
      <c r="J15" s="96"/>
      <c r="K15" s="96"/>
      <c r="L15" s="128"/>
    </row>
    <row r="16" spans="1:12" ht="13.8" thickBot="1" x14ac:dyDescent="0.3">
      <c r="B16" s="114"/>
      <c r="C16" s="114"/>
      <c r="D16" s="107" t="s">
        <v>81</v>
      </c>
      <c r="E16" s="110">
        <f>Financials!O81</f>
        <v>-6.0000000000000001E-3</v>
      </c>
      <c r="F16" s="105"/>
      <c r="G16" s="93"/>
      <c r="H16" s="96"/>
      <c r="I16" s="96"/>
      <c r="J16" s="96"/>
      <c r="K16" s="96"/>
      <c r="L16" s="128"/>
    </row>
    <row r="17" spans="2:12" ht="13.8" thickBot="1" x14ac:dyDescent="0.3">
      <c r="B17" s="114"/>
      <c r="C17" s="114"/>
      <c r="D17" s="107"/>
      <c r="E17" s="105"/>
      <c r="F17" s="105"/>
      <c r="G17" s="93" t="s">
        <v>64</v>
      </c>
      <c r="H17" s="99">
        <f>Financials!O27</f>
        <v>0.12624584717607973</v>
      </c>
      <c r="I17" s="96"/>
      <c r="J17" s="93" t="s">
        <v>58</v>
      </c>
      <c r="K17" s="99">
        <f>Financials!O16</f>
        <v>0.87375415282392022</v>
      </c>
      <c r="L17" s="129"/>
    </row>
    <row r="18" spans="2:12" ht="13.8" thickBot="1" x14ac:dyDescent="0.3">
      <c r="B18" s="114"/>
      <c r="C18" s="115"/>
      <c r="D18" s="114" t="s">
        <v>80</v>
      </c>
      <c r="E18" s="116">
        <f>SUM(C19:C21)</f>
        <v>6.6E-3</v>
      </c>
      <c r="F18" s="117"/>
      <c r="G18" s="93"/>
      <c r="H18" s="96"/>
      <c r="I18" s="96"/>
      <c r="J18" s="93"/>
      <c r="K18" s="133" t="str">
        <f>IF(K17&lt;&gt;(K19+K21+K23+K25),"ERROR","")</f>
        <v/>
      </c>
      <c r="L18" s="128"/>
    </row>
    <row r="19" spans="2:12" ht="13.8" thickBot="1" x14ac:dyDescent="0.3">
      <c r="B19" s="114" t="s">
        <v>91</v>
      </c>
      <c r="C19" s="118">
        <f>Financials!O78</f>
        <v>2E-3</v>
      </c>
      <c r="D19" s="114"/>
      <c r="E19" s="115"/>
      <c r="F19" s="115"/>
      <c r="G19" s="93" t="s">
        <v>26</v>
      </c>
      <c r="H19" s="99">
        <f>Financials!O26</f>
        <v>3.1561461794019932E-2</v>
      </c>
      <c r="I19" s="96"/>
      <c r="J19" s="93" t="s">
        <v>7</v>
      </c>
      <c r="K19" s="99">
        <f>Financials!O14</f>
        <v>0.42967884828349945</v>
      </c>
      <c r="L19" s="128"/>
    </row>
    <row r="20" spans="2:12" ht="13.8" thickBot="1" x14ac:dyDescent="0.3">
      <c r="B20" s="114" t="s">
        <v>92</v>
      </c>
      <c r="C20" s="119">
        <f>Financials!O79</f>
        <v>3.0000000000000001E-3</v>
      </c>
      <c r="D20" s="114"/>
      <c r="E20" s="115"/>
      <c r="F20" s="115"/>
      <c r="G20" s="93"/>
      <c r="H20" s="96"/>
      <c r="I20" s="96"/>
      <c r="J20" s="96"/>
      <c r="K20" s="96"/>
      <c r="L20" s="128"/>
    </row>
    <row r="21" spans="2:12" ht="13.8" thickBot="1" x14ac:dyDescent="0.3">
      <c r="B21" s="114" t="s">
        <v>93</v>
      </c>
      <c r="C21" s="120">
        <f>Financials!O80</f>
        <v>1.6000000000000001E-3</v>
      </c>
      <c r="D21" s="114"/>
      <c r="E21" s="121"/>
      <c r="F21" s="115"/>
      <c r="G21" s="93" t="s">
        <v>66</v>
      </c>
      <c r="H21" s="99">
        <f>Financials!O25</f>
        <v>9.4684385382059796E-2</v>
      </c>
      <c r="I21" s="96"/>
      <c r="J21" s="93" t="s">
        <v>23</v>
      </c>
      <c r="K21" s="99">
        <f>Financials!O13</f>
        <v>0.39202657807308972</v>
      </c>
      <c r="L21" s="128"/>
    </row>
    <row r="22" spans="2:12" ht="13.8" thickBot="1" x14ac:dyDescent="0.3">
      <c r="B22" s="114"/>
      <c r="C22" s="122"/>
      <c r="D22" s="115"/>
      <c r="E22" s="115"/>
      <c r="F22" s="115"/>
      <c r="G22" s="93"/>
      <c r="H22" s="133" t="str">
        <f>IF(H21&lt;&gt;(H25+H26+H28+H29),"ERROR","")</f>
        <v/>
      </c>
      <c r="I22" s="96"/>
      <c r="J22" s="93"/>
      <c r="K22" s="96"/>
      <c r="L22" s="128"/>
    </row>
    <row r="23" spans="2:12" ht="13.8" thickBot="1" x14ac:dyDescent="0.3">
      <c r="B23" s="114"/>
      <c r="C23" s="122"/>
      <c r="D23" s="114" t="s">
        <v>78</v>
      </c>
      <c r="E23" s="116">
        <f>SUM(C24:C25)</f>
        <v>4.0000000000000001E-3</v>
      </c>
      <c r="F23" s="115"/>
      <c r="G23" s="96"/>
      <c r="H23" s="96"/>
      <c r="I23" s="96"/>
      <c r="J23" s="93" t="s">
        <v>10</v>
      </c>
      <c r="K23" s="99">
        <f>Financials!O15</f>
        <v>2.4363233665559248E-2</v>
      </c>
      <c r="L23" s="128"/>
    </row>
    <row r="24" spans="2:12" ht="13.8" thickBot="1" x14ac:dyDescent="0.3">
      <c r="B24" s="114" t="s">
        <v>86</v>
      </c>
      <c r="C24" s="119">
        <f>Financials!O74</f>
        <v>2E-3</v>
      </c>
      <c r="D24" s="114"/>
      <c r="E24" s="115"/>
      <c r="F24" s="115"/>
      <c r="G24" s="93"/>
      <c r="H24" s="96"/>
      <c r="I24" s="96"/>
      <c r="J24" s="93"/>
      <c r="K24" s="96"/>
      <c r="L24" s="128"/>
    </row>
    <row r="25" spans="2:12" ht="13.8" thickBot="1" x14ac:dyDescent="0.3">
      <c r="B25" s="114" t="s">
        <v>87</v>
      </c>
      <c r="C25" s="120">
        <f>Financials!O75</f>
        <v>2E-3</v>
      </c>
      <c r="D25" s="114"/>
      <c r="E25" s="115"/>
      <c r="F25" s="115"/>
      <c r="G25" s="93" t="s">
        <v>69</v>
      </c>
      <c r="H25" s="99">
        <f>Financials!O19</f>
        <v>0.14202657807308969</v>
      </c>
      <c r="I25" s="96"/>
      <c r="J25" s="93" t="s">
        <v>59</v>
      </c>
      <c r="K25" s="99">
        <f>Financials!O12</f>
        <v>2.768549280177187E-2</v>
      </c>
      <c r="L25" s="128"/>
    </row>
    <row r="26" spans="2:12" ht="13.8" thickBot="1" x14ac:dyDescent="0.3">
      <c r="B26" s="114"/>
      <c r="C26" s="122"/>
      <c r="D26" s="115"/>
      <c r="E26" s="115"/>
      <c r="F26" s="115"/>
      <c r="G26" s="93" t="s">
        <v>70</v>
      </c>
      <c r="H26" s="99">
        <f>Financials!O20</f>
        <v>-7.1013289036544844E-2</v>
      </c>
      <c r="I26" s="96"/>
      <c r="J26" s="96"/>
      <c r="K26" s="96"/>
      <c r="L26" s="128"/>
    </row>
    <row r="27" spans="2:12" ht="13.8" thickBot="1" x14ac:dyDescent="0.3">
      <c r="B27" s="114"/>
      <c r="C27" s="122"/>
      <c r="D27" s="114" t="s">
        <v>94</v>
      </c>
      <c r="E27" s="116">
        <f>SUM(C28:C30)</f>
        <v>9.8074666666666671E-2</v>
      </c>
      <c r="F27" s="115"/>
      <c r="G27" s="93"/>
      <c r="H27" s="100"/>
      <c r="I27" s="96"/>
      <c r="J27" s="96"/>
      <c r="K27" s="96"/>
      <c r="L27" s="128"/>
    </row>
    <row r="28" spans="2:12" ht="13.8" thickBot="1" x14ac:dyDescent="0.3">
      <c r="B28" s="114" t="s">
        <v>82</v>
      </c>
      <c r="C28" s="118">
        <f>Financials!O70</f>
        <v>6.6000000000000003E-2</v>
      </c>
      <c r="D28" s="114"/>
      <c r="E28" s="115" t="str">
        <f>IF((E44-E37)&lt;&gt;E35,"ERROR","")</f>
        <v/>
      </c>
      <c r="F28" s="115"/>
      <c r="G28" s="93" t="s">
        <v>67</v>
      </c>
      <c r="H28" s="99">
        <f>Financials!O22</f>
        <v>4.7342192691029898E-2</v>
      </c>
      <c r="I28" s="96"/>
      <c r="J28" s="96"/>
      <c r="K28" s="96"/>
      <c r="L28" s="128"/>
    </row>
    <row r="29" spans="2:12" ht="13.8" thickBot="1" x14ac:dyDescent="0.3">
      <c r="B29" s="114" t="s">
        <v>83</v>
      </c>
      <c r="C29" s="119">
        <f>Financials!O71</f>
        <v>2.8074666666666664E-2</v>
      </c>
      <c r="D29" s="114"/>
      <c r="E29" s="115"/>
      <c r="F29" s="115"/>
      <c r="G29" s="93" t="s">
        <v>68</v>
      </c>
      <c r="H29" s="99">
        <f>Financials!O23</f>
        <v>-2.3671096345514949E-2</v>
      </c>
      <c r="I29" s="96"/>
      <c r="J29" s="96"/>
      <c r="K29" s="96"/>
      <c r="L29" s="128"/>
    </row>
    <row r="30" spans="2:12" ht="13.8" thickBot="1" x14ac:dyDescent="0.3">
      <c r="B30" s="114" t="s">
        <v>84</v>
      </c>
      <c r="C30" s="120">
        <f>Financials!O72</f>
        <v>4.0000000000000001E-3</v>
      </c>
      <c r="D30" s="115"/>
      <c r="E30" s="115"/>
      <c r="F30" s="115"/>
      <c r="G30" s="93"/>
      <c r="H30" s="100"/>
      <c r="I30" s="96"/>
      <c r="J30" s="96"/>
      <c r="K30" s="96"/>
      <c r="L30" s="128"/>
    </row>
    <row r="31" spans="2:12" ht="13.8" thickBot="1" x14ac:dyDescent="0.3">
      <c r="B31" s="114"/>
      <c r="C31" s="115"/>
      <c r="D31" s="115"/>
      <c r="E31" s="115"/>
      <c r="F31" s="123"/>
      <c r="G31" s="96"/>
      <c r="H31" s="96"/>
      <c r="I31" s="96"/>
      <c r="J31" s="96"/>
      <c r="K31" s="96"/>
      <c r="L31" s="128"/>
    </row>
    <row r="32" spans="2:12" ht="13.8" thickBot="1" x14ac:dyDescent="0.3">
      <c r="B32" s="114"/>
      <c r="C32" s="115"/>
      <c r="D32" s="114" t="s">
        <v>95</v>
      </c>
      <c r="E32" s="116">
        <f>SUM(C33:C37)</f>
        <v>9.009570370370372E-2</v>
      </c>
      <c r="F32" s="123"/>
      <c r="G32" s="96"/>
      <c r="H32" s="96"/>
      <c r="I32" s="96"/>
      <c r="J32" s="96"/>
      <c r="K32" s="96"/>
      <c r="L32" s="128"/>
    </row>
    <row r="33" spans="2:12" ht="13.8" thickBot="1" x14ac:dyDescent="0.3">
      <c r="B33" s="114" t="s">
        <v>75</v>
      </c>
      <c r="C33" s="118">
        <f>Financials!O60</f>
        <v>8.1784592592592603E-2</v>
      </c>
      <c r="D33" s="114"/>
      <c r="E33" s="115"/>
      <c r="F33" s="115"/>
      <c r="G33" s="96"/>
      <c r="H33" s="96"/>
      <c r="I33" s="96"/>
      <c r="J33" s="96"/>
      <c r="K33" s="96"/>
      <c r="L33" s="128"/>
    </row>
    <row r="34" spans="2:12" ht="13.8" thickBot="1" x14ac:dyDescent="0.3">
      <c r="B34" s="124" t="s">
        <v>175</v>
      </c>
      <c r="C34" s="118">
        <f>Financials!O61</f>
        <v>7.185185185185184E-4</v>
      </c>
      <c r="D34" s="114"/>
      <c r="E34" s="121"/>
      <c r="F34" s="115"/>
      <c r="G34" s="96"/>
      <c r="H34" s="95"/>
      <c r="I34" s="96"/>
      <c r="J34" s="96"/>
      <c r="K34" s="96"/>
      <c r="L34" s="128"/>
    </row>
    <row r="35" spans="2:12" ht="13.8" thickBot="1" x14ac:dyDescent="0.3">
      <c r="B35" s="114" t="s">
        <v>76</v>
      </c>
      <c r="C35" s="119">
        <f>Financials!O63</f>
        <v>2.9703703703703702E-3</v>
      </c>
      <c r="D35" s="114" t="s">
        <v>8</v>
      </c>
      <c r="E35" s="116">
        <f>E44-E37</f>
        <v>0.25100800000000001</v>
      </c>
      <c r="F35" s="115"/>
      <c r="G35" s="96"/>
      <c r="H35" s="96"/>
      <c r="I35" s="96"/>
      <c r="J35" s="96"/>
      <c r="K35" s="96"/>
      <c r="L35" s="128"/>
    </row>
    <row r="36" spans="2:12" ht="13.8" thickBot="1" x14ac:dyDescent="0.3">
      <c r="B36" s="114" t="s">
        <v>77</v>
      </c>
      <c r="C36" s="120">
        <f>Financials!O64</f>
        <v>2.3999999999999998E-3</v>
      </c>
      <c r="D36" s="114"/>
      <c r="E36" s="117"/>
      <c r="F36" s="115"/>
      <c r="G36" s="96"/>
      <c r="H36" s="96"/>
      <c r="I36" s="96"/>
      <c r="J36" s="96"/>
      <c r="K36" s="96"/>
      <c r="L36" s="128"/>
    </row>
    <row r="37" spans="2:12" ht="13.8" thickBot="1" x14ac:dyDescent="0.3">
      <c r="B37" s="114" t="s">
        <v>174</v>
      </c>
      <c r="C37" s="119">
        <f>SUM(Financials!O65:O68)</f>
        <v>2.2222222222222222E-3</v>
      </c>
      <c r="D37" s="114" t="s">
        <v>39</v>
      </c>
      <c r="E37" s="116">
        <f>SUM(C39:C40)</f>
        <v>0.74899199999999999</v>
      </c>
      <c r="F37" s="115"/>
      <c r="G37" s="96"/>
      <c r="H37" s="96"/>
      <c r="I37" s="96"/>
      <c r="J37" s="96"/>
      <c r="K37" s="96"/>
      <c r="L37" s="128"/>
    </row>
    <row r="38" spans="2:12" ht="13.8" thickBot="1" x14ac:dyDescent="0.3">
      <c r="B38" s="115"/>
      <c r="C38" s="115"/>
      <c r="D38" s="114"/>
      <c r="E38" s="115"/>
      <c r="F38" s="115"/>
      <c r="G38" s="96"/>
      <c r="H38" s="96"/>
      <c r="I38" s="96"/>
      <c r="J38" s="96"/>
      <c r="K38" s="96"/>
      <c r="L38" s="128"/>
    </row>
    <row r="39" spans="2:12" ht="13.8" thickBot="1" x14ac:dyDescent="0.3">
      <c r="B39" s="114" t="s">
        <v>72</v>
      </c>
      <c r="C39" s="119">
        <f>Financials!O55</f>
        <v>0.73695999999999995</v>
      </c>
      <c r="D39" s="114"/>
      <c r="E39" s="115"/>
      <c r="F39" s="115"/>
      <c r="G39" s="96"/>
      <c r="H39" s="96"/>
      <c r="I39" s="96"/>
      <c r="J39" s="96"/>
      <c r="K39" s="96"/>
      <c r="L39" s="128"/>
    </row>
    <row r="40" spans="2:12" ht="13.8" thickBot="1" x14ac:dyDescent="0.3">
      <c r="B40" s="114" t="s">
        <v>71</v>
      </c>
      <c r="C40" s="120">
        <f>Financials!O56</f>
        <v>1.2031999999999999E-2</v>
      </c>
      <c r="D40" s="115"/>
      <c r="E40" s="115"/>
      <c r="F40" s="115"/>
      <c r="G40" s="96"/>
      <c r="H40" s="96"/>
      <c r="I40" s="96"/>
      <c r="J40" s="96"/>
      <c r="K40" s="96"/>
      <c r="L40" s="128"/>
    </row>
    <row r="41" spans="2:12" ht="13.8" thickBot="1" x14ac:dyDescent="0.3">
      <c r="B41" s="114"/>
      <c r="C41" s="115"/>
      <c r="D41" s="114" t="s">
        <v>96</v>
      </c>
      <c r="E41" s="116">
        <f>Financials!O51</f>
        <v>1.03</v>
      </c>
      <c r="F41" s="115"/>
      <c r="G41" s="96"/>
      <c r="H41" s="96"/>
      <c r="I41" s="96"/>
      <c r="J41" s="96"/>
      <c r="K41" s="96"/>
      <c r="L41" s="128"/>
    </row>
    <row r="42" spans="2:12" ht="13.8" thickBot="1" x14ac:dyDescent="0.3">
      <c r="B42" s="114"/>
      <c r="C42" s="115"/>
      <c r="D42" s="114" t="s">
        <v>101</v>
      </c>
      <c r="E42" s="116">
        <f>Financials!O52</f>
        <v>0.03</v>
      </c>
      <c r="F42" s="115"/>
      <c r="G42" s="96"/>
      <c r="H42" s="96"/>
      <c r="I42" s="96"/>
      <c r="J42" s="96"/>
      <c r="K42" s="96"/>
      <c r="L42" s="128"/>
    </row>
    <row r="43" spans="2:12" ht="13.8" thickBot="1" x14ac:dyDescent="0.3">
      <c r="B43" s="115"/>
      <c r="C43" s="115"/>
      <c r="D43" s="114" t="s">
        <v>177</v>
      </c>
      <c r="E43" s="125">
        <f>Financials!N53</f>
        <v>2700</v>
      </c>
      <c r="F43" s="115"/>
      <c r="G43" s="96"/>
      <c r="H43" s="96"/>
      <c r="I43" s="96"/>
      <c r="J43" s="96"/>
      <c r="K43" s="96"/>
      <c r="L43" s="128"/>
    </row>
    <row r="44" spans="2:12" ht="13.8" thickBot="1" x14ac:dyDescent="0.3">
      <c r="B44" s="115"/>
      <c r="C44" s="115"/>
      <c r="D44" s="114"/>
      <c r="E44" s="116">
        <f>Financials!O53</f>
        <v>1</v>
      </c>
      <c r="F44" s="115"/>
      <c r="G44" s="96"/>
      <c r="H44" s="96"/>
      <c r="I44" s="96"/>
      <c r="J44" s="96"/>
      <c r="K44" s="96"/>
      <c r="L44" s="128"/>
    </row>
    <row r="45" spans="2:12" x14ac:dyDescent="0.25">
      <c r="B45" s="115"/>
      <c r="C45" s="115"/>
      <c r="D45" s="115"/>
      <c r="E45" s="115"/>
      <c r="F45" s="115"/>
      <c r="G45" s="96"/>
      <c r="H45" s="96"/>
      <c r="I45" s="96"/>
      <c r="J45" s="96"/>
      <c r="K45" s="96"/>
      <c r="L45" s="128"/>
    </row>
    <row r="46" spans="2:12" x14ac:dyDescent="0.25">
      <c r="B46" s="115"/>
      <c r="C46" s="115"/>
      <c r="D46" s="115"/>
      <c r="E46" s="115"/>
      <c r="F46" s="115"/>
      <c r="G46" s="96"/>
      <c r="H46" s="96"/>
      <c r="I46" s="96"/>
      <c r="J46" s="96"/>
      <c r="K46" s="96"/>
      <c r="L46" s="128"/>
    </row>
    <row r="47" spans="2:12" ht="24.6" x14ac:dyDescent="0.4">
      <c r="B47" s="127" t="s">
        <v>33</v>
      </c>
      <c r="C47" s="126"/>
      <c r="D47" s="126"/>
      <c r="E47" s="126"/>
      <c r="F47" s="126"/>
      <c r="G47" s="103" t="s">
        <v>9</v>
      </c>
      <c r="H47" s="102"/>
      <c r="I47" s="102"/>
      <c r="J47" s="102"/>
      <c r="K47" s="102"/>
      <c r="L47" s="128"/>
    </row>
  </sheetData>
  <phoneticPr fontId="0" type="noConversion"/>
  <pageMargins left="0.5" right="0.5" top="0.5" bottom="0.5" header="0.5" footer="0.5"/>
  <pageSetup scale="76" orientation="landscape" r:id="rId1"/>
  <headerFooter alignWithMargins="0">
    <oddFooter>&amp;LSCMRG/The Ohio State University, 2002</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34"/>
  <sheetViews>
    <sheetView zoomScale="85" workbookViewId="0">
      <selection activeCell="B26" sqref="B26"/>
    </sheetView>
  </sheetViews>
  <sheetFormatPr defaultColWidth="18.44140625" defaultRowHeight="13.2" x14ac:dyDescent="0.25"/>
  <cols>
    <col min="1" max="1" width="28.109375" customWidth="1"/>
    <col min="2" max="2" width="8.44140625" bestFit="1" customWidth="1"/>
    <col min="3" max="3" width="9" customWidth="1"/>
  </cols>
  <sheetData>
    <row r="1" spans="1:3" x14ac:dyDescent="0.25">
      <c r="B1" s="46" t="s">
        <v>121</v>
      </c>
      <c r="C1" s="47"/>
    </row>
    <row r="2" spans="1:3" x14ac:dyDescent="0.25">
      <c r="A2" s="27" t="s">
        <v>9</v>
      </c>
      <c r="B2" s="64" t="s">
        <v>129</v>
      </c>
      <c r="C2" s="64" t="s">
        <v>102</v>
      </c>
    </row>
    <row r="3" spans="1:3" x14ac:dyDescent="0.25">
      <c r="A3" s="7" t="s">
        <v>132</v>
      </c>
      <c r="B3" s="15">
        <f>Financials!C12</f>
        <v>2.5000000000000001E-2</v>
      </c>
    </row>
    <row r="4" spans="1:3" x14ac:dyDescent="0.25">
      <c r="A4" s="7" t="s">
        <v>131</v>
      </c>
      <c r="B4" s="15">
        <f>Financials!C13</f>
        <v>0.35399999999999998</v>
      </c>
    </row>
    <row r="5" spans="1:3" x14ac:dyDescent="0.25">
      <c r="A5" s="8" t="s">
        <v>7</v>
      </c>
      <c r="B5" s="15">
        <f>Financials!C14</f>
        <v>0.48499999999999999</v>
      </c>
    </row>
    <row r="6" spans="1:3" x14ac:dyDescent="0.25">
      <c r="A6" s="8" t="s">
        <v>120</v>
      </c>
      <c r="B6" s="15">
        <f>Financials!C15</f>
        <v>2.1999999999999999E-2</v>
      </c>
    </row>
    <row r="7" spans="1:3" x14ac:dyDescent="0.25">
      <c r="A7" s="9" t="s">
        <v>130</v>
      </c>
      <c r="B7" s="15">
        <f>SUM(Financials!C25:C26)</f>
        <v>0.114</v>
      </c>
    </row>
    <row r="8" spans="1:3" x14ac:dyDescent="0.25">
      <c r="A8" s="9" t="s">
        <v>13</v>
      </c>
      <c r="B8" s="15">
        <f>SUM(B3:B7)</f>
        <v>1</v>
      </c>
    </row>
    <row r="10" spans="1:3" x14ac:dyDescent="0.25">
      <c r="A10" s="27" t="s">
        <v>122</v>
      </c>
    </row>
    <row r="11" spans="1:3" x14ac:dyDescent="0.25">
      <c r="A11" s="27" t="s">
        <v>96</v>
      </c>
      <c r="C11" s="141">
        <f>Financials!B51</f>
        <v>2781</v>
      </c>
    </row>
    <row r="12" spans="1:3" x14ac:dyDescent="0.25">
      <c r="A12" t="s">
        <v>39</v>
      </c>
      <c r="B12" s="15"/>
      <c r="C12" s="141">
        <f>SUM(Financials!B55:B56)</f>
        <v>2030.3999999999999</v>
      </c>
    </row>
    <row r="13" spans="1:3" x14ac:dyDescent="0.25">
      <c r="A13" t="s">
        <v>133</v>
      </c>
      <c r="B13" s="15"/>
      <c r="C13" s="81">
        <f>C11-C12</f>
        <v>750.60000000000014</v>
      </c>
    </row>
    <row r="14" spans="1:3" x14ac:dyDescent="0.25">
      <c r="A14" t="s">
        <v>123</v>
      </c>
      <c r="B14" s="15">
        <f>C14/$C$13</f>
        <v>0.10791366906474818</v>
      </c>
      <c r="C14" s="141">
        <f>Financials!B52</f>
        <v>81</v>
      </c>
    </row>
    <row r="15" spans="1:3" x14ac:dyDescent="0.25">
      <c r="A15" t="s">
        <v>124</v>
      </c>
      <c r="B15" s="15">
        <f t="shared" ref="B15:B20" si="0">C15/$C$13</f>
        <v>0.36773647748467891</v>
      </c>
      <c r="C15" s="141">
        <f>Financials!B60</f>
        <v>276.02300000000002</v>
      </c>
    </row>
    <row r="16" spans="1:3" x14ac:dyDescent="0.25">
      <c r="A16" t="s">
        <v>125</v>
      </c>
      <c r="B16" s="15">
        <f t="shared" si="0"/>
        <v>2.6245670130562213E-2</v>
      </c>
      <c r="C16" s="141">
        <f>SUM(Financials!B63:B65)</f>
        <v>19.7</v>
      </c>
    </row>
    <row r="17" spans="1:3" x14ac:dyDescent="0.25">
      <c r="A17" t="s">
        <v>126</v>
      </c>
      <c r="B17" s="15">
        <f t="shared" si="0"/>
        <v>0.38163069544364503</v>
      </c>
      <c r="C17" s="141">
        <f>SUM(Financials!B70:B72)</f>
        <v>286.452</v>
      </c>
    </row>
    <row r="18" spans="1:3" x14ac:dyDescent="0.25">
      <c r="A18" t="s">
        <v>127</v>
      </c>
      <c r="B18" s="15">
        <f t="shared" si="0"/>
        <v>1.4388489208633093E-2</v>
      </c>
      <c r="C18" s="141">
        <f>SUM(Financials!B74:B75)</f>
        <v>10.8</v>
      </c>
    </row>
    <row r="19" spans="1:3" x14ac:dyDescent="0.25">
      <c r="A19" t="s">
        <v>128</v>
      </c>
      <c r="B19" s="15">
        <f t="shared" si="0"/>
        <v>3.5971223021582718E-3</v>
      </c>
      <c r="C19" s="141">
        <f>SUM(Financials!B78:B81)</f>
        <v>2.6999999999999993</v>
      </c>
    </row>
    <row r="20" spans="1:3" x14ac:dyDescent="0.25">
      <c r="A20" t="s">
        <v>134</v>
      </c>
      <c r="B20" s="15">
        <f t="shared" si="0"/>
        <v>8.9928057553956817E-2</v>
      </c>
      <c r="C20" s="141">
        <f>Financials!B82</f>
        <v>67.5</v>
      </c>
    </row>
    <row r="23" spans="1:3" x14ac:dyDescent="0.25">
      <c r="A23" s="27" t="s">
        <v>96</v>
      </c>
      <c r="B23" s="15">
        <f>Financials!C51</f>
        <v>1.03</v>
      </c>
    </row>
    <row r="24" spans="1:3" x14ac:dyDescent="0.25">
      <c r="A24" t="s">
        <v>123</v>
      </c>
      <c r="B24" s="15">
        <f>Financials!C52</f>
        <v>0.03</v>
      </c>
    </row>
    <row r="25" spans="1:3" x14ac:dyDescent="0.25">
      <c r="A25" t="s">
        <v>38</v>
      </c>
      <c r="B25" s="28">
        <f>B23-B24</f>
        <v>1</v>
      </c>
    </row>
    <row r="26" spans="1:3" x14ac:dyDescent="0.25">
      <c r="A26" t="s">
        <v>39</v>
      </c>
      <c r="B26" s="15">
        <f>SUM(Financials!C55:C56)</f>
        <v>0.752</v>
      </c>
    </row>
    <row r="27" spans="1:3" x14ac:dyDescent="0.25">
      <c r="A27" t="s">
        <v>191</v>
      </c>
      <c r="B27" s="15">
        <f>B25-B26</f>
        <v>0.248</v>
      </c>
    </row>
    <row r="28" spans="1:3" x14ac:dyDescent="0.25">
      <c r="A28" t="s">
        <v>124</v>
      </c>
      <c r="B28" s="15">
        <f>SUM(Financials!C60:C61)</f>
        <v>0.10312888888888889</v>
      </c>
    </row>
    <row r="29" spans="1:3" x14ac:dyDescent="0.25">
      <c r="A29" t="s">
        <v>192</v>
      </c>
      <c r="B29" s="15">
        <f>SUM(Financials!C63:C68)</f>
        <v>8.7777777777777784E-3</v>
      </c>
    </row>
    <row r="30" spans="1:3" x14ac:dyDescent="0.25">
      <c r="A30" t="s">
        <v>126</v>
      </c>
      <c r="B30" s="15">
        <f>SUM(Financials!C70:C72)</f>
        <v>0.10609333333333333</v>
      </c>
    </row>
    <row r="31" spans="1:3" x14ac:dyDescent="0.25">
      <c r="A31" t="s">
        <v>127</v>
      </c>
      <c r="B31" s="15">
        <f>SUM(Financials!C74:C75)</f>
        <v>4.0000000000000001E-3</v>
      </c>
    </row>
    <row r="32" spans="1:3" x14ac:dyDescent="0.25">
      <c r="A32" t="s">
        <v>128</v>
      </c>
      <c r="B32" s="15">
        <f>SUM(Financials!C78:C81)</f>
        <v>1E-3</v>
      </c>
    </row>
    <row r="33" spans="1:2" x14ac:dyDescent="0.25">
      <c r="A33" t="s">
        <v>134</v>
      </c>
      <c r="B33" s="15">
        <f>Financials!C82</f>
        <v>2.5000000000000001E-2</v>
      </c>
    </row>
    <row r="34" spans="1:2" x14ac:dyDescent="0.25">
      <c r="B34" s="142"/>
    </row>
  </sheetData>
  <phoneticPr fontId="0" type="noConversion"/>
  <pageMargins left="0.25" right="0.25" top="0.25" bottom="0.25" header="0.5" footer="0.5"/>
  <pageSetup scale="66"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9</vt:i4>
      </vt:variant>
    </vt:vector>
  </HeadingPairs>
  <TitlesOfParts>
    <vt:vector size="19" baseType="lpstr">
      <vt:lpstr>INSTRUCTIONS</vt:lpstr>
      <vt:lpstr>Inv CC</vt:lpstr>
      <vt:lpstr>Financials</vt:lpstr>
      <vt:lpstr>Baseline SPM</vt:lpstr>
      <vt:lpstr>SC1 SPM </vt:lpstr>
      <vt:lpstr>SC2 SPM</vt:lpstr>
      <vt:lpstr>SC3 SPM</vt:lpstr>
      <vt:lpstr>SC4 SPM</vt:lpstr>
      <vt:lpstr>Composition Graphs</vt:lpstr>
      <vt:lpstr>Sheet3</vt:lpstr>
      <vt:lpstr>'Baseline SPM'!Print_Area</vt:lpstr>
      <vt:lpstr>'Composition Graphs'!Print_Area</vt:lpstr>
      <vt:lpstr>Financials!Print_Area</vt:lpstr>
      <vt:lpstr>'Inv CC'!Print_Area</vt:lpstr>
      <vt:lpstr>'SC1 SPM '!Print_Area</vt:lpstr>
      <vt:lpstr>'SC2 SPM'!Print_Area</vt:lpstr>
      <vt:lpstr>'SC3 SPM'!Print_Area</vt:lpstr>
      <vt:lpstr>'SC4 SPM'!Print_Area</vt:lpstr>
      <vt:lpstr>Financials!Print_Titles</vt:lpstr>
    </vt:vector>
  </TitlesOfParts>
  <Company>The Ohio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Fisher College of Business</dc:creator>
  <cp:lastModifiedBy>Aniket Gupta</cp:lastModifiedBy>
  <cp:lastPrinted>2002-06-12T16:43:26Z</cp:lastPrinted>
  <dcterms:created xsi:type="dcterms:W3CDTF">2002-05-08T15:41:09Z</dcterms:created>
  <dcterms:modified xsi:type="dcterms:W3CDTF">2024-02-03T22:30:45Z</dcterms:modified>
</cp:coreProperties>
</file>