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DBF77294-3117-424F-B0A2-D219715B8581}" xr6:coauthVersionLast="47" xr6:coauthVersionMax="47" xr10:uidLastSave="{00000000-0000-0000-0000-000000000000}"/>
  <bookViews>
    <workbookView xWindow="3348" yWindow="3348" windowWidth="17280" windowHeight="8880"/>
  </bookViews>
  <sheets>
    <sheet name="corn-size-con" sheetId="1" r:id="rId1"/>
  </sheets>
  <definedNames>
    <definedName name="_xlnm.Print_Area" localSheetId="0">'corn-size-con'!$A$1:$O$135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K11" i="1"/>
  <c r="L11" i="1"/>
  <c r="J14" i="1"/>
  <c r="K14" i="1"/>
  <c r="L14" i="1"/>
  <c r="J16" i="1"/>
  <c r="K16" i="1"/>
  <c r="L16" i="1"/>
  <c r="J17" i="1"/>
  <c r="K17" i="1"/>
  <c r="L17" i="1"/>
  <c r="J18" i="1"/>
  <c r="K18" i="1"/>
  <c r="L18" i="1"/>
  <c r="J19" i="1"/>
  <c r="K19" i="1"/>
  <c r="L19" i="1"/>
  <c r="J20" i="1"/>
  <c r="L20" i="1"/>
  <c r="J21" i="1"/>
  <c r="K21" i="1"/>
  <c r="L21" i="1"/>
  <c r="J22" i="1"/>
  <c r="K22" i="1"/>
  <c r="L22" i="1"/>
  <c r="J33" i="1"/>
  <c r="K33" i="1"/>
  <c r="L33" i="1"/>
  <c r="J36" i="1"/>
  <c r="K36" i="1"/>
  <c r="L36" i="1"/>
  <c r="L82" i="1"/>
  <c r="N82" i="1"/>
  <c r="N94" i="1" s="1"/>
  <c r="J24" i="1" s="1"/>
  <c r="J83" i="1"/>
  <c r="L83" i="1"/>
  <c r="N83" i="1"/>
  <c r="J84" i="1"/>
  <c r="L84" i="1"/>
  <c r="N84" i="1"/>
  <c r="J85" i="1"/>
  <c r="L85" i="1"/>
  <c r="N85" i="1"/>
  <c r="J86" i="1"/>
  <c r="L86" i="1"/>
  <c r="N86" i="1"/>
  <c r="J87" i="1"/>
  <c r="J94" i="1" s="1"/>
  <c r="G96" i="1" s="1"/>
  <c r="G97" i="1" s="1"/>
  <c r="J34" i="1" s="1"/>
  <c r="J38" i="1" s="1"/>
  <c r="L87" i="1"/>
  <c r="N87" i="1"/>
  <c r="J88" i="1"/>
  <c r="L88" i="1"/>
  <c r="N88" i="1"/>
  <c r="J89" i="1"/>
  <c r="L89" i="1"/>
  <c r="N89" i="1"/>
  <c r="J90" i="1"/>
  <c r="N90" i="1"/>
  <c r="J91" i="1"/>
  <c r="N91" i="1"/>
  <c r="J92" i="1"/>
  <c r="N92" i="1"/>
  <c r="J93" i="1"/>
  <c r="L93" i="1"/>
  <c r="N93" i="1"/>
  <c r="L94" i="1"/>
  <c r="J23" i="1" s="1"/>
  <c r="J26" i="1" s="1"/>
  <c r="J101" i="1"/>
  <c r="L101" i="1"/>
  <c r="L113" i="1" s="1"/>
  <c r="K23" i="1" s="1"/>
  <c r="N101" i="1"/>
  <c r="J102" i="1"/>
  <c r="L102" i="1"/>
  <c r="N102" i="1"/>
  <c r="J103" i="1"/>
  <c r="L103" i="1"/>
  <c r="N103" i="1"/>
  <c r="N113" i="1" s="1"/>
  <c r="K24" i="1" s="1"/>
  <c r="J104" i="1"/>
  <c r="L104" i="1"/>
  <c r="N104" i="1"/>
  <c r="J105" i="1"/>
  <c r="L105" i="1"/>
  <c r="N105" i="1"/>
  <c r="J106" i="1"/>
  <c r="L106" i="1"/>
  <c r="N106" i="1"/>
  <c r="J107" i="1"/>
  <c r="L107" i="1"/>
  <c r="N107" i="1"/>
  <c r="J108" i="1"/>
  <c r="L108" i="1"/>
  <c r="N108" i="1"/>
  <c r="J109" i="1"/>
  <c r="L109" i="1"/>
  <c r="N109" i="1"/>
  <c r="J110" i="1"/>
  <c r="L110" i="1"/>
  <c r="N110" i="1"/>
  <c r="J111" i="1"/>
  <c r="L111" i="1"/>
  <c r="N111" i="1"/>
  <c r="J112" i="1"/>
  <c r="L112" i="1"/>
  <c r="N112" i="1"/>
  <c r="J113" i="1"/>
  <c r="G115" i="1" s="1"/>
  <c r="G116" i="1" s="1"/>
  <c r="K34" i="1" s="1"/>
  <c r="K38" i="1" s="1"/>
  <c r="M113" i="1"/>
  <c r="L120" i="1"/>
  <c r="N120" i="1"/>
  <c r="N132" i="1" s="1"/>
  <c r="L24" i="1" s="1"/>
  <c r="J121" i="1"/>
  <c r="J132" i="1" s="1"/>
  <c r="G134" i="1" s="1"/>
  <c r="G135" i="1" s="1"/>
  <c r="L34" i="1" s="1"/>
  <c r="L38" i="1" s="1"/>
  <c r="L121" i="1"/>
  <c r="N121" i="1"/>
  <c r="J122" i="1"/>
  <c r="L122" i="1"/>
  <c r="L132" i="1" s="1"/>
  <c r="L23" i="1" s="1"/>
  <c r="N122" i="1"/>
  <c r="J123" i="1"/>
  <c r="L123" i="1"/>
  <c r="N123" i="1"/>
  <c r="J124" i="1"/>
  <c r="L124" i="1"/>
  <c r="N124" i="1"/>
  <c r="J125" i="1"/>
  <c r="L125" i="1"/>
  <c r="N125" i="1"/>
  <c r="J126" i="1"/>
  <c r="L126" i="1"/>
  <c r="N126" i="1"/>
  <c r="J127" i="1"/>
  <c r="L127" i="1"/>
  <c r="N127" i="1"/>
  <c r="J128" i="1"/>
  <c r="L128" i="1"/>
  <c r="N128" i="1"/>
  <c r="J129" i="1"/>
  <c r="L129" i="1"/>
  <c r="N129" i="1"/>
  <c r="J130" i="1"/>
  <c r="L130" i="1"/>
  <c r="N130" i="1"/>
  <c r="J131" i="1"/>
  <c r="L131" i="1"/>
  <c r="N131" i="1"/>
  <c r="M132" i="1"/>
  <c r="K26" i="1" l="1"/>
  <c r="K29" i="1" s="1"/>
  <c r="L26" i="1"/>
  <c r="L29" i="1" s="1"/>
  <c r="J29" i="1"/>
  <c r="L30" i="1" l="1"/>
  <c r="L43" i="1"/>
  <c r="L40" i="1"/>
  <c r="K43" i="1"/>
  <c r="K40" i="1"/>
  <c r="K30" i="1"/>
  <c r="J40" i="1"/>
  <c r="J43" i="1"/>
  <c r="J30" i="1"/>
  <c r="J41" i="1" l="1"/>
  <c r="J44" i="1"/>
  <c r="J45" i="1" s="1"/>
  <c r="J46" i="1" s="1"/>
  <c r="K41" i="1"/>
  <c r="K44" i="1"/>
  <c r="K45" i="1" s="1"/>
  <c r="K46" i="1" s="1"/>
  <c r="L44" i="1"/>
  <c r="L45" i="1" s="1"/>
  <c r="L46" i="1" s="1"/>
  <c r="L41" i="1"/>
</calcChain>
</file>

<file path=xl/sharedStrings.xml><?xml version="1.0" encoding="utf-8"?>
<sst xmlns="http://schemas.openxmlformats.org/spreadsheetml/2006/main" count="165" uniqueCount="120">
  <si>
    <t>500, 1000, and 2000 Acres</t>
  </si>
  <si>
    <t>130 Bushel/Acre Yield</t>
  </si>
  <si>
    <t>ITEM</t>
  </si>
  <si>
    <t>EXPLANATION</t>
  </si>
  <si>
    <t>PRICE PER</t>
  </si>
  <si>
    <t>YOUR</t>
  </si>
  <si>
    <t>UNIT</t>
  </si>
  <si>
    <t>BUDGET</t>
  </si>
  <si>
    <t>RECEIPTS</t>
  </si>
  <si>
    <t>Corn</t>
  </si>
  <si>
    <t>/bu</t>
  </si>
  <si>
    <t>Yield</t>
  </si>
  <si>
    <t>bu/A</t>
  </si>
  <si>
    <t>Seed (kernels)</t>
  </si>
  <si>
    <t>seed/acre</t>
  </si>
  <si>
    <t>price adjust</t>
  </si>
  <si>
    <t>N (lbs.)</t>
  </si>
  <si>
    <t>Lime(lbs)</t>
  </si>
  <si>
    <t>Drying - Fuel &amp; electric only</t>
  </si>
  <si>
    <t>Trucking - Fuel Only</t>
  </si>
  <si>
    <t xml:space="preserve">mo. </t>
  </si>
  <si>
    <t>TOTAL VARIABLE COSTS</t>
  </si>
  <si>
    <t>-Per Acre</t>
  </si>
  <si>
    <t>-Per Bushel</t>
  </si>
  <si>
    <t>FIXED COSTS</t>
  </si>
  <si>
    <t>/hr</t>
  </si>
  <si>
    <t>Land Charge</t>
  </si>
  <si>
    <t>Rent</t>
  </si>
  <si>
    <t>of gross revenue</t>
  </si>
  <si>
    <t>TOTAL FIXED COSTS</t>
  </si>
  <si>
    <t>TOTAL COSTS</t>
  </si>
  <si>
    <t>RETURN ABOVE VARIABLE COSTS (ACRE)</t>
  </si>
  <si>
    <t>RETURN ABOVE TOTAL COSTS (ACRE)</t>
  </si>
  <si>
    <t>1.</t>
  </si>
  <si>
    <t xml:space="preserve">This budget is intended to provide an example of how size of operations can affect the costs and returns of a crop enterprise.  It is only one of many possible scenarios and is not intended to provide the user with specific revenues, costs, or returns. </t>
  </si>
  <si>
    <t>2.</t>
  </si>
  <si>
    <t>Primary tillage implement is chisel plow.</t>
  </si>
  <si>
    <t>3</t>
  </si>
  <si>
    <t>Acreage is total acres of corn produced.  Does not include acreage of other crops produced on the same farm.</t>
  </si>
  <si>
    <t>4</t>
  </si>
  <si>
    <t>5</t>
  </si>
  <si>
    <t>Assumes only maintenance application of fertilizer needed, continuous corn 3.8 O.M., 20 CEC, and soil test values of 25 ppm P/A and 150 ppm K/A.</t>
  </si>
  <si>
    <t>6</t>
  </si>
  <si>
    <t>Based on use of Bicep II Magnum</t>
  </si>
  <si>
    <t>7.</t>
  </si>
  <si>
    <t xml:space="preserve">See specific calculations in Machinery Inventory. </t>
  </si>
  <si>
    <t>8.</t>
  </si>
  <si>
    <t>See specific calculations in Machinery Inventory.</t>
  </si>
  <si>
    <t>9</t>
  </si>
  <si>
    <t>Includes supplies, utilities, soil tests, small tools, crop insurance, etc…</t>
  </si>
  <si>
    <t>10</t>
  </si>
  <si>
    <t>Interest on all variable costs, except drying and trucking, for 7 months at 10% interest rate.</t>
  </si>
  <si>
    <t>11.</t>
  </si>
  <si>
    <t>Part or all of labor may be a variable cost if paid labor varies with acres farmed. It’s a fixed cost if labor costs do not change with acres farmed.  Labor required per acre is increased 10% for 500 acres and decreased 10% for 2000 acres.</t>
  </si>
  <si>
    <t>12.</t>
  </si>
  <si>
    <t>13.</t>
  </si>
  <si>
    <t>Management charges are greater for more acres due to the likelihood of having more fields/farms to manage and more transporting of equipment.</t>
  </si>
  <si>
    <t>14.</t>
  </si>
  <si>
    <t>Return to labor and management is the revenue less total expenses except operator labor and management charge.  It is a measure of the returns to the operator's labor and management.</t>
  </si>
  <si>
    <t>Total return that can be expected for the entire operation.  (Total Returns = return per acre x number of acres)</t>
  </si>
  <si>
    <t>Machinery Inventory</t>
  </si>
  <si>
    <t>500 Acres</t>
  </si>
  <si>
    <t>Number in Inventory</t>
  </si>
  <si>
    <t>Machine</t>
  </si>
  <si>
    <t>Purchase Price($)</t>
  </si>
  <si>
    <t>Inventory Value($)</t>
  </si>
  <si>
    <t>Fuel ($/A)</t>
  </si>
  <si>
    <t>Repair Costs ($/A)</t>
  </si>
  <si>
    <t># of times used</t>
  </si>
  <si>
    <t>Fertilizer Spreader</t>
  </si>
  <si>
    <t>11 ft. Chisel Plow</t>
  </si>
  <si>
    <t>18 ft. Cultivator</t>
  </si>
  <si>
    <t>6 Row Planter</t>
  </si>
  <si>
    <t>30 ft. Sprayer</t>
  </si>
  <si>
    <t>12 ft. Crop Cultivator</t>
  </si>
  <si>
    <t>Small Combine w/ 10' head</t>
  </si>
  <si>
    <t>185 bu. Gravity Wagons</t>
  </si>
  <si>
    <t>Small Tractor</t>
  </si>
  <si>
    <t>Medium Tractor</t>
  </si>
  <si>
    <t>Large Tractor</t>
  </si>
  <si>
    <t>Pickup Truck (1/2)</t>
  </si>
  <si>
    <t>TOTAL</t>
  </si>
  <si>
    <t xml:space="preserve">Fixed Cost Expense Rate = </t>
  </si>
  <si>
    <t xml:space="preserve">Total Annual Fixed Costs = </t>
  </si>
  <si>
    <t>Diesel Price ($/gal) =</t>
  </si>
  <si>
    <t xml:space="preserve">Fixed Costs per Acre = </t>
  </si>
  <si>
    <t>1000 Acres</t>
  </si>
  <si>
    <t>19 ft. Chisel Plow</t>
  </si>
  <si>
    <t>28 ft. Cultivator</t>
  </si>
  <si>
    <t>8 Row Planter</t>
  </si>
  <si>
    <t>60 ft. Sprayer</t>
  </si>
  <si>
    <t>20 ft. Row Crop Cultivator</t>
  </si>
  <si>
    <t>Med Combine w/ 20' head</t>
  </si>
  <si>
    <t>240 bu. Gravity Wagons</t>
  </si>
  <si>
    <t>2000 Acres</t>
  </si>
  <si>
    <t>30 ft. Chisel Plow</t>
  </si>
  <si>
    <t>40 ft. Cultivator</t>
  </si>
  <si>
    <t>12 Row Planter</t>
  </si>
  <si>
    <t>30 ft. Row Crop Cultivator</t>
  </si>
  <si>
    <t>Large Combine w/ 30' head</t>
  </si>
  <si>
    <r>
      <t xml:space="preserve">2001 Economies of Scale Corn Production Budgets </t>
    </r>
    <r>
      <rPr>
        <b/>
        <vertAlign val="superscript"/>
        <sz val="12"/>
        <rFont val="Arial"/>
        <family val="2"/>
      </rPr>
      <t>1</t>
    </r>
  </si>
  <si>
    <r>
      <t xml:space="preserve">Reduced Tillage Practices </t>
    </r>
    <r>
      <rPr>
        <b/>
        <vertAlign val="superscript"/>
        <sz val="12"/>
        <rFont val="Arial"/>
        <family val="2"/>
      </rPr>
      <t>2</t>
    </r>
  </si>
  <si>
    <r>
      <t>ACRES</t>
    </r>
    <r>
      <rPr>
        <b/>
        <vertAlign val="superscript"/>
        <sz val="10"/>
        <rFont val="Arial"/>
        <family val="2"/>
      </rPr>
      <t xml:space="preserve"> 3</t>
    </r>
  </si>
  <si>
    <r>
      <t xml:space="preserve">VARIABLE  COSTS </t>
    </r>
    <r>
      <rPr>
        <b/>
        <vertAlign val="superscript"/>
        <sz val="10"/>
        <rFont val="Arial"/>
        <family val="2"/>
      </rPr>
      <t>4</t>
    </r>
  </si>
  <si>
    <r>
      <t xml:space="preserve">Fertilizer </t>
    </r>
    <r>
      <rPr>
        <vertAlign val="superscript"/>
        <sz val="10"/>
        <rFont val="Arial"/>
        <family val="2"/>
      </rPr>
      <t>5</t>
    </r>
  </si>
  <si>
    <r>
      <t>P</t>
    </r>
    <r>
      <rPr>
        <vertAlign val="subscript"/>
        <sz val="10"/>
        <rFont val="Arial"/>
        <family val="2"/>
      </rPr>
      <t>2</t>
    </r>
    <r>
      <rPr>
        <sz val="10"/>
        <rFont val="Arial"/>
        <family val="2"/>
      </rPr>
      <t>O</t>
    </r>
    <r>
      <rPr>
        <vertAlign val="subscript"/>
        <sz val="10"/>
        <rFont val="Arial"/>
        <family val="2"/>
      </rPr>
      <t>5</t>
    </r>
    <r>
      <rPr>
        <sz val="10"/>
        <rFont val="Arial"/>
        <family val="2"/>
      </rPr>
      <t>(lbs)</t>
    </r>
  </si>
  <si>
    <r>
      <t>K</t>
    </r>
    <r>
      <rPr>
        <vertAlign val="subscript"/>
        <sz val="10"/>
        <rFont val="Arial"/>
        <family val="2"/>
      </rPr>
      <t>2</t>
    </r>
    <r>
      <rPr>
        <sz val="10"/>
        <rFont val="Arial"/>
        <family val="2"/>
      </rPr>
      <t>O(lbs)</t>
    </r>
  </si>
  <si>
    <r>
      <t xml:space="preserve">Chemicals </t>
    </r>
    <r>
      <rPr>
        <vertAlign val="superscript"/>
        <sz val="10"/>
        <rFont val="Arial"/>
        <family val="2"/>
      </rPr>
      <t>6</t>
    </r>
  </si>
  <si>
    <r>
      <t xml:space="preserve">Fuel, Oil, Grease </t>
    </r>
    <r>
      <rPr>
        <vertAlign val="superscript"/>
        <sz val="10"/>
        <rFont val="Arial"/>
        <family val="2"/>
      </rPr>
      <t>7</t>
    </r>
  </si>
  <si>
    <r>
      <t xml:space="preserve">Repairs </t>
    </r>
    <r>
      <rPr>
        <vertAlign val="superscript"/>
        <sz val="10"/>
        <rFont val="Arial"/>
        <family val="2"/>
      </rPr>
      <t>8</t>
    </r>
  </si>
  <si>
    <r>
      <t xml:space="preserve">Miscellaneous </t>
    </r>
    <r>
      <rPr>
        <vertAlign val="superscript"/>
        <sz val="10"/>
        <rFont val="Arial"/>
        <family val="2"/>
      </rPr>
      <t>9</t>
    </r>
  </si>
  <si>
    <r>
      <t>Int. on Oper. Cap.</t>
    </r>
    <r>
      <rPr>
        <vertAlign val="superscript"/>
        <sz val="10"/>
        <rFont val="Arial"/>
        <family val="2"/>
      </rPr>
      <t xml:space="preserve"> 10</t>
    </r>
  </si>
  <si>
    <r>
      <t xml:space="preserve">Hired Labor </t>
    </r>
    <r>
      <rPr>
        <vertAlign val="superscript"/>
        <sz val="10"/>
        <rFont val="Arial"/>
        <family val="2"/>
      </rPr>
      <t>11</t>
    </r>
  </si>
  <si>
    <r>
      <t xml:space="preserve">Labor Charge </t>
    </r>
    <r>
      <rPr>
        <sz val="8"/>
        <rFont val="Arial"/>
        <family val="2"/>
      </rPr>
      <t>(hrs.)</t>
    </r>
    <r>
      <rPr>
        <vertAlign val="superscript"/>
        <sz val="10"/>
        <rFont val="Arial"/>
        <family val="2"/>
      </rPr>
      <t xml:space="preserve"> 11</t>
    </r>
  </si>
  <si>
    <r>
      <t>Mach. And Equip. Charge</t>
    </r>
    <r>
      <rPr>
        <vertAlign val="superscript"/>
        <sz val="10"/>
        <rFont val="Arial"/>
        <family val="2"/>
      </rPr>
      <t xml:space="preserve"> 12</t>
    </r>
  </si>
  <si>
    <r>
      <t xml:space="preserve">Management Charge </t>
    </r>
    <r>
      <rPr>
        <vertAlign val="superscript"/>
        <sz val="10"/>
        <rFont val="Arial"/>
        <family val="2"/>
      </rPr>
      <t>13</t>
    </r>
  </si>
  <si>
    <r>
      <t xml:space="preserve">RETURN TO LABOR AND MANAGEMENT (ACRE) </t>
    </r>
    <r>
      <rPr>
        <b/>
        <vertAlign val="superscript"/>
        <sz val="10"/>
        <rFont val="Arial"/>
        <family val="2"/>
      </rPr>
      <t>14</t>
    </r>
  </si>
  <si>
    <r>
      <t xml:space="preserve">TOTAL RETURN TO LABOR AND MANAGEMENT FOR OPERATION </t>
    </r>
    <r>
      <rPr>
        <b/>
        <vertAlign val="superscript"/>
        <sz val="10"/>
        <rFont val="Arial"/>
        <family val="2"/>
      </rPr>
      <t>15</t>
    </r>
  </si>
  <si>
    <t xml:space="preserve">A price adjustment is included for some variable costs.  This reflects the possible price difference of an input based on quantity purchased.  The 1000 acre column is the base price, the 500 acre column pays base price plus price adjustment, the 2000 acre pays base price less price adjustment.  Some costs may not reflect adjustment due to rounding. </t>
  </si>
  <si>
    <t>Machinery charge includes depreciation, interest, insurance, and housing.  Machinery is assumed to be 100% owned and recently purchased.  Tractors and implements increase in size and number as acreage of operation increases.  All machinery is assumed to be used only on operator's farm, no custom work included.  The following page shows the machinery inventory for each size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</si>
</sst>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0"/>
    <numFmt numFmtId="165" formatCode="&quot;$&quot;#,##0.00"/>
    <numFmt numFmtId="166" formatCode="&quot;$&quot;#,##0"/>
    <numFmt numFmtId="167" formatCode="0_);[Red]\(0\)"/>
    <numFmt numFmtId="172" formatCode="0.0%"/>
  </numFmts>
  <fonts count="12" x14ac:knownFonts="1">
    <font>
      <sz val="10"/>
      <name val="Arial"/>
    </font>
    <font>
      <sz val="10"/>
      <name val="Arial"/>
    </font>
    <font>
      <sz val="10"/>
      <name val="Arial"/>
      <family val="2"/>
    </font>
    <font>
      <b/>
      <sz val="12"/>
      <name val="Arial"/>
      <family val="2"/>
    </font>
    <font>
      <b/>
      <vertAlign val="superscript"/>
      <sz val="12"/>
      <name val="Arial"/>
      <family val="2"/>
    </font>
    <font>
      <b/>
      <sz val="10"/>
      <name val="Arial"/>
      <family val="2"/>
    </font>
    <font>
      <b/>
      <vertAlign val="superscript"/>
      <sz val="10"/>
      <name val="Arial"/>
      <family val="2"/>
    </font>
    <font>
      <vertAlign val="superscript"/>
      <sz val="10"/>
      <name val="Arial"/>
      <family val="2"/>
    </font>
    <font>
      <vertAlign val="subscript"/>
      <sz val="10"/>
      <name val="Arial"/>
      <family val="2"/>
    </font>
    <font>
      <sz val="8"/>
      <name val="Arial"/>
      <family val="2"/>
    </font>
    <font>
      <sz val="10"/>
      <color indexed="10"/>
      <name val="Arial"/>
      <family val="2"/>
    </font>
    <font>
      <b/>
      <sz val="10"/>
      <color indexed="10"/>
      <name val="Arial"/>
      <family val="2"/>
    </font>
  </fonts>
  <fills count="2">
    <fill>
      <patternFill patternType="none"/>
    </fill>
    <fill>
      <patternFill patternType="gray125"/>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tted">
        <color indexed="64"/>
      </bottom>
      <diagonal/>
    </border>
    <border>
      <left/>
      <right/>
      <top style="thin">
        <color indexed="64"/>
      </top>
      <bottom style="dotted">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xf>
    <xf numFmtId="2" fontId="2" fillId="0" borderId="0" xfId="0" applyNumberFormat="1" applyFont="1"/>
    <xf numFmtId="0" fontId="2" fillId="0" borderId="1" xfId="0" applyFont="1" applyBorder="1"/>
    <xf numFmtId="0" fontId="5" fillId="0" borderId="1" xfId="0" applyFont="1" applyBorder="1"/>
    <xf numFmtId="0" fontId="5" fillId="0" borderId="1" xfId="0" applyFont="1" applyBorder="1" applyAlignment="1">
      <alignment horizontal="center"/>
    </xf>
    <xf numFmtId="2" fontId="2" fillId="0" borderId="1" xfId="0" applyNumberFormat="1" applyFont="1" applyBorder="1"/>
    <xf numFmtId="0" fontId="2" fillId="0" borderId="0" xfId="0" applyFont="1" applyBorder="1"/>
    <xf numFmtId="0" fontId="5" fillId="0" borderId="0" xfId="0" applyFont="1" applyBorder="1" applyAlignment="1">
      <alignment horizontal="center"/>
    </xf>
    <xf numFmtId="2" fontId="2" fillId="0" borderId="0" xfId="0" applyNumberFormat="1" applyFont="1" applyBorder="1"/>
    <xf numFmtId="0" fontId="2" fillId="0" borderId="2" xfId="0" applyFont="1" applyBorder="1"/>
    <xf numFmtId="1" fontId="5" fillId="0" borderId="2" xfId="0" applyNumberFormat="1" applyFont="1" applyBorder="1"/>
    <xf numFmtId="1" fontId="2" fillId="0" borderId="2" xfId="0" applyNumberFormat="1" applyFont="1" applyBorder="1"/>
    <xf numFmtId="1" fontId="2" fillId="0" borderId="0" xfId="0" applyNumberFormat="1" applyFont="1" applyBorder="1"/>
    <xf numFmtId="0" fontId="5" fillId="0" borderId="0" xfId="0" applyFont="1"/>
    <xf numFmtId="1" fontId="2" fillId="0" borderId="0" xfId="0" applyNumberFormat="1" applyFont="1"/>
    <xf numFmtId="165" fontId="2" fillId="0" borderId="0" xfId="0" applyNumberFormat="1" applyFont="1"/>
    <xf numFmtId="166" fontId="2" fillId="0" borderId="0" xfId="0" applyNumberFormat="1" applyFont="1"/>
    <xf numFmtId="9" fontId="2" fillId="0" borderId="0" xfId="3" applyFont="1"/>
    <xf numFmtId="0" fontId="2" fillId="0" borderId="3" xfId="0" applyFont="1" applyBorder="1"/>
    <xf numFmtId="0" fontId="2" fillId="0" borderId="0" xfId="0" applyFont="1" applyAlignment="1">
      <alignment horizontal="right"/>
    </xf>
    <xf numFmtId="172" fontId="2" fillId="0" borderId="0" xfId="0" applyNumberFormat="1" applyFont="1"/>
    <xf numFmtId="1" fontId="2" fillId="0" borderId="4" xfId="0" applyNumberFormat="1" applyFont="1" applyBorder="1"/>
    <xf numFmtId="0" fontId="2" fillId="0" borderId="4" xfId="0" applyFont="1" applyBorder="1"/>
    <xf numFmtId="1" fontId="2" fillId="0" borderId="0" xfId="0" quotePrefix="1" applyNumberFormat="1" applyFont="1"/>
    <xf numFmtId="49" fontId="5" fillId="0" borderId="0" xfId="0" applyNumberFormat="1" applyFont="1"/>
    <xf numFmtId="164" fontId="2" fillId="0" borderId="0" xfId="0" applyNumberFormat="1" applyFont="1"/>
    <xf numFmtId="0" fontId="9" fillId="0" borderId="0" xfId="0" applyFont="1"/>
    <xf numFmtId="0" fontId="2" fillId="0" borderId="5" xfId="0" applyFont="1" applyBorder="1"/>
    <xf numFmtId="167" fontId="2" fillId="0" borderId="0" xfId="0" applyNumberFormat="1" applyFont="1"/>
    <xf numFmtId="0" fontId="5" fillId="0" borderId="0" xfId="0" applyFont="1" applyBorder="1"/>
    <xf numFmtId="167" fontId="2" fillId="0" borderId="0" xfId="0" applyNumberFormat="1" applyFont="1" applyBorder="1"/>
    <xf numFmtId="0" fontId="5" fillId="0" borderId="2" xfId="0" applyFont="1" applyBorder="1"/>
    <xf numFmtId="38" fontId="2" fillId="0" borderId="2" xfId="0" applyNumberFormat="1" applyFont="1" applyBorder="1"/>
    <xf numFmtId="38" fontId="2" fillId="0" borderId="2" xfId="1" applyNumberFormat="1" applyFont="1" applyBorder="1" applyAlignment="1">
      <alignment horizontal="right"/>
    </xf>
    <xf numFmtId="2" fontId="2" fillId="0" borderId="2" xfId="0" applyNumberFormat="1" applyFont="1" applyBorder="1"/>
    <xf numFmtId="0" fontId="0" fillId="0" borderId="2" xfId="0" applyBorder="1"/>
    <xf numFmtId="0" fontId="2" fillId="0" borderId="0" xfId="0" applyFont="1" applyBorder="1" applyAlignment="1">
      <alignment horizontal="right"/>
    </xf>
    <xf numFmtId="49" fontId="7" fillId="0" borderId="0" xfId="0" applyNumberFormat="1" applyFont="1" applyAlignment="1">
      <alignment vertical="top"/>
    </xf>
    <xf numFmtId="0" fontId="2" fillId="0" borderId="0" xfId="0" applyFont="1" applyAlignment="1">
      <alignment horizontal="left" wrapText="1"/>
    </xf>
    <xf numFmtId="49" fontId="2" fillId="0" borderId="0" xfId="0" applyNumberFormat="1" applyFont="1" applyAlignment="1">
      <alignment vertical="top"/>
    </xf>
    <xf numFmtId="0" fontId="7" fillId="0" borderId="0" xfId="0" applyFont="1" applyAlignment="1">
      <alignment horizontal="left"/>
    </xf>
    <xf numFmtId="0" fontId="2" fillId="0" borderId="0" xfId="0" applyFont="1" applyAlignment="1">
      <alignment horizontal="left"/>
    </xf>
    <xf numFmtId="0" fontId="0" fillId="0" borderId="3" xfId="0" applyBorder="1"/>
    <xf numFmtId="0" fontId="2" fillId="0" borderId="0" xfId="0" applyFont="1" applyAlignment="1">
      <alignment horizontal="center" wrapText="1"/>
    </xf>
    <xf numFmtId="2" fontId="2" fillId="0" borderId="0" xfId="0" applyNumberFormat="1" applyFont="1" applyFill="1" applyAlignment="1">
      <alignment horizontal="center" wrapText="1"/>
    </xf>
    <xf numFmtId="0" fontId="2" fillId="0"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2" fontId="2" fillId="0" borderId="0" xfId="0" applyNumberFormat="1" applyFont="1" applyFill="1" applyAlignment="1">
      <alignment horizontal="center"/>
    </xf>
    <xf numFmtId="0" fontId="2" fillId="0" borderId="0" xfId="0" applyFont="1" applyFill="1" applyAlignment="1">
      <alignment horizontal="center"/>
    </xf>
    <xf numFmtId="0" fontId="10" fillId="0" borderId="0" xfId="0" applyFont="1"/>
    <xf numFmtId="2" fontId="0" fillId="0" borderId="0" xfId="0" applyNumberFormat="1" applyFill="1" applyAlignment="1">
      <alignment horizontal="center"/>
    </xf>
    <xf numFmtId="2" fontId="0" fillId="0" borderId="0" xfId="0" applyNumberForma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xf>
    <xf numFmtId="0" fontId="11" fillId="0" borderId="0" xfId="0" applyFont="1"/>
    <xf numFmtId="2" fontId="0" fillId="0" borderId="0" xfId="0" applyNumberFormat="1" applyFill="1" applyBorder="1" applyAlignment="1">
      <alignment horizontal="center"/>
    </xf>
    <xf numFmtId="0" fontId="0" fillId="0" borderId="0" xfId="0" applyFill="1" applyBorder="1" applyAlignment="1">
      <alignment horizontal="center"/>
    </xf>
    <xf numFmtId="2" fontId="0" fillId="0" borderId="2" xfId="0" applyNumberFormat="1" applyFill="1" applyBorder="1" applyAlignment="1">
      <alignment horizontal="center"/>
    </xf>
    <xf numFmtId="0" fontId="0" fillId="0" borderId="2" xfId="0" applyFill="1" applyBorder="1" applyAlignment="1">
      <alignment horizontal="center"/>
    </xf>
    <xf numFmtId="3" fontId="0" fillId="0" borderId="0" xfId="0" applyNumberFormat="1" applyBorder="1" applyAlignment="1"/>
    <xf numFmtId="3" fontId="0" fillId="0" borderId="0" xfId="0" applyNumberFormat="1" applyAlignment="1">
      <alignment horizontal="right"/>
    </xf>
    <xf numFmtId="9" fontId="1" fillId="0" borderId="0" xfId="3"/>
    <xf numFmtId="2" fontId="0" fillId="0" borderId="0" xfId="0" applyNumberFormat="1"/>
    <xf numFmtId="2" fontId="0" fillId="0" borderId="0" xfId="0" applyNumberFormat="1" applyFill="1"/>
    <xf numFmtId="0" fontId="0" fillId="0" borderId="0" xfId="0" applyFill="1"/>
    <xf numFmtId="166" fontId="0" fillId="0" borderId="0" xfId="0" applyNumberFormat="1"/>
    <xf numFmtId="165" fontId="0" fillId="0" borderId="0" xfId="0" applyNumberFormat="1" applyFill="1"/>
    <xf numFmtId="166" fontId="5" fillId="0" borderId="0" xfId="0" applyNumberFormat="1" applyFont="1"/>
    <xf numFmtId="2" fontId="2" fillId="0" borderId="0" xfId="0" applyNumberFormat="1" applyFont="1" applyAlignment="1">
      <alignment horizontal="center" wrapText="1"/>
    </xf>
    <xf numFmtId="2" fontId="2" fillId="0" borderId="2" xfId="0" applyNumberFormat="1" applyFont="1" applyFill="1" applyBorder="1" applyAlignment="1">
      <alignment horizontal="center" wrapText="1"/>
    </xf>
    <xf numFmtId="3" fontId="0" fillId="0" borderId="0" xfId="0" applyNumberFormat="1" applyBorder="1"/>
    <xf numFmtId="166" fontId="1" fillId="0" borderId="0" xfId="2" applyNumberFormat="1"/>
    <xf numFmtId="166" fontId="5" fillId="0" borderId="0" xfId="2" applyNumberFormat="1" applyFont="1"/>
    <xf numFmtId="2" fontId="0" fillId="0" borderId="0" xfId="0" applyNumberFormat="1" applyAlignment="1">
      <alignment horizontal="center"/>
    </xf>
    <xf numFmtId="2" fontId="0" fillId="0" borderId="0" xfId="0" applyNumberFormat="1" applyBorder="1" applyAlignment="1">
      <alignment horizontal="center"/>
    </xf>
    <xf numFmtId="2" fontId="0" fillId="0" borderId="2" xfId="0" applyNumberFormat="1" applyBorder="1" applyAlignment="1">
      <alignment horizontal="center"/>
    </xf>
    <xf numFmtId="3" fontId="0" fillId="0" borderId="0" xfId="0" applyNumberFormat="1"/>
    <xf numFmtId="2" fontId="0" fillId="0" borderId="0" xfId="0" applyNumberFormat="1" applyBorder="1"/>
    <xf numFmtId="165" fontId="0" fillId="0" borderId="0" xfId="0" applyNumberFormat="1"/>
    <xf numFmtId="0" fontId="0" fillId="0" borderId="0" xfId="0" applyBorder="1"/>
    <xf numFmtId="3" fontId="0" fillId="0" borderId="0" xfId="0" applyNumberFormat="1" applyBorder="1" applyAlignment="1">
      <alignment horizontal="center"/>
    </xf>
    <xf numFmtId="3" fontId="2" fillId="0" borderId="0" xfId="0" applyNumberFormat="1" applyFont="1" applyAlignment="1">
      <alignment horizontal="center"/>
    </xf>
    <xf numFmtId="3" fontId="2" fillId="0" borderId="0" xfId="0" applyNumberFormat="1" applyFont="1" applyBorder="1" applyAlignment="1">
      <alignment horizontal="center"/>
    </xf>
    <xf numFmtId="3" fontId="2" fillId="0" borderId="2" xfId="2" applyNumberFormat="1" applyFont="1" applyBorder="1" applyAlignment="1">
      <alignment horizontal="center"/>
    </xf>
    <xf numFmtId="0" fontId="3" fillId="0" borderId="0" xfId="0" applyFont="1" applyAlignment="1">
      <alignment horizontal="center"/>
    </xf>
    <xf numFmtId="0" fontId="5" fillId="0" borderId="0" xfId="0" applyFont="1" applyBorder="1" applyAlignment="1">
      <alignment horizontal="center"/>
    </xf>
    <xf numFmtId="0" fontId="2" fillId="0" borderId="1" xfId="0" applyFont="1" applyBorder="1" applyAlignment="1">
      <alignment horizontal="right"/>
    </xf>
    <xf numFmtId="0" fontId="5" fillId="0" borderId="2" xfId="0" applyFont="1" applyBorder="1" applyAlignment="1">
      <alignment horizontal="center"/>
    </xf>
    <xf numFmtId="0" fontId="2" fillId="0" borderId="0" xfId="0" applyFont="1" applyAlignment="1">
      <alignment horizontal="left" wrapText="1"/>
    </xf>
    <xf numFmtId="0" fontId="5" fillId="0" borderId="1" xfId="0" applyFont="1" applyBorder="1" applyAlignment="1">
      <alignment horizontal="center"/>
    </xf>
    <xf numFmtId="2" fontId="2" fillId="0" borderId="1" xfId="0" applyNumberFormat="1" applyFont="1" applyBorder="1" applyAlignment="1">
      <alignment horizontal="center" wrapText="1"/>
    </xf>
    <xf numFmtId="0" fontId="2" fillId="0" borderId="0" xfId="0" applyFont="1" applyAlignment="1">
      <alignment horizontal="left"/>
    </xf>
    <xf numFmtId="0" fontId="2" fillId="0" borderId="0" xfId="0" applyFont="1" applyAlignment="1">
      <alignment horizontal="center" wrapText="1"/>
    </xf>
    <xf numFmtId="0" fontId="2" fillId="0" borderId="0" xfId="0" applyFont="1" applyAlignment="1">
      <alignment horizontal="center"/>
    </xf>
    <xf numFmtId="3" fontId="0" fillId="0" borderId="0" xfId="0" applyNumberFormat="1" applyAlignment="1">
      <alignment horizontal="center"/>
    </xf>
    <xf numFmtId="2" fontId="5" fillId="0" borderId="1" xfId="0" applyNumberFormat="1" applyFont="1" applyBorder="1" applyAlignment="1">
      <alignment horizontal="center"/>
    </xf>
    <xf numFmtId="0" fontId="5" fillId="0" borderId="3" xfId="0" applyFont="1" applyBorder="1" applyAlignment="1">
      <alignment horizontal="center"/>
    </xf>
    <xf numFmtId="0" fontId="2" fillId="0" borderId="0" xfId="0" applyFont="1" applyBorder="1" applyAlignment="1">
      <alignment horizontal="center" wrapText="1"/>
    </xf>
    <xf numFmtId="3" fontId="2" fillId="0" borderId="0" xfId="1"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60960</xdr:rowOff>
    </xdr:from>
    <xdr:to>
      <xdr:col>2</xdr:col>
      <xdr:colOff>426720</xdr:colOff>
      <xdr:row>4</xdr:row>
      <xdr:rowOff>68580</xdr:rowOff>
    </xdr:to>
    <xdr:pic>
      <xdr:nvPicPr>
        <xdr:cNvPr id="1025" name="Picture 1">
          <a:extLst>
            <a:ext uri="{FF2B5EF4-FFF2-40B4-BE49-F238E27FC236}">
              <a16:creationId xmlns:a16="http://schemas.microsoft.com/office/drawing/2014/main" id="{D75246DF-28C8-8251-6F06-61EC1D0EA1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76200" y="60960"/>
          <a:ext cx="723900" cy="85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tabSelected="1" zoomScaleNormal="100" zoomScaleSheetLayoutView="100" workbookViewId="0">
      <selection activeCell="E1" sqref="E1:L1"/>
    </sheetView>
  </sheetViews>
  <sheetFormatPr defaultRowHeight="13.2" x14ac:dyDescent="0.25"/>
  <cols>
    <col min="1" max="1" width="2.88671875" customWidth="1"/>
    <col min="2" max="2" width="2.5546875" customWidth="1"/>
    <col min="4" max="4" width="5.6640625" customWidth="1"/>
    <col min="6" max="6" width="6" customWidth="1"/>
    <col min="7" max="7" width="7.5546875" customWidth="1"/>
    <col min="8" max="8" width="7.6640625" customWidth="1"/>
    <col min="9" max="9" width="11.6640625" customWidth="1"/>
    <col min="10" max="11" width="8.44140625" style="66" customWidth="1"/>
    <col min="12" max="12" width="8.88671875" style="66" customWidth="1"/>
    <col min="13" max="13" width="1.33203125" style="66" customWidth="1"/>
    <col min="14" max="14" width="7.5546875" customWidth="1"/>
  </cols>
  <sheetData>
    <row r="1" spans="1:14" ht="18" x14ac:dyDescent="0.3">
      <c r="A1" s="1"/>
      <c r="B1" s="1"/>
      <c r="C1" s="1"/>
      <c r="D1" s="2"/>
      <c r="E1" s="88" t="s">
        <v>100</v>
      </c>
      <c r="F1" s="88"/>
      <c r="G1" s="88"/>
      <c r="H1" s="88"/>
      <c r="I1" s="88"/>
      <c r="J1" s="88"/>
      <c r="K1" s="88"/>
      <c r="L1" s="88"/>
      <c r="M1" s="2"/>
      <c r="N1" s="3"/>
    </row>
    <row r="2" spans="1:14" ht="15.6" x14ac:dyDescent="0.3">
      <c r="A2" s="1"/>
      <c r="B2" s="1"/>
      <c r="C2" s="1"/>
      <c r="D2" s="1"/>
      <c r="E2" s="88" t="s">
        <v>0</v>
      </c>
      <c r="F2" s="88"/>
      <c r="G2" s="88"/>
      <c r="H2" s="88"/>
      <c r="I2" s="88"/>
      <c r="J2" s="88"/>
      <c r="K2" s="88"/>
      <c r="L2" s="88"/>
      <c r="M2" s="4"/>
      <c r="N2" s="1"/>
    </row>
    <row r="3" spans="1:14" ht="15" customHeight="1" x14ac:dyDescent="0.3">
      <c r="A3" s="1"/>
      <c r="B3" s="1"/>
      <c r="C3" s="1"/>
      <c r="D3" s="1"/>
      <c r="E3" s="88" t="s">
        <v>1</v>
      </c>
      <c r="F3" s="88"/>
      <c r="G3" s="88"/>
      <c r="H3" s="88"/>
      <c r="I3" s="88"/>
      <c r="J3" s="88"/>
      <c r="K3" s="88"/>
      <c r="L3" s="88"/>
      <c r="M3" s="4"/>
      <c r="N3" s="1"/>
    </row>
    <row r="4" spans="1:14" ht="18" x14ac:dyDescent="0.3">
      <c r="A4" s="1"/>
      <c r="B4" s="1"/>
      <c r="C4" s="1"/>
      <c r="D4" s="1"/>
      <c r="E4" s="88" t="s">
        <v>101</v>
      </c>
      <c r="F4" s="88"/>
      <c r="G4" s="88"/>
      <c r="H4" s="88"/>
      <c r="I4" s="88"/>
      <c r="J4" s="88"/>
      <c r="K4" s="88"/>
      <c r="L4" s="88"/>
      <c r="M4" s="4"/>
      <c r="N4" s="1"/>
    </row>
    <row r="5" spans="1:14" ht="10.5" customHeight="1" x14ac:dyDescent="0.3">
      <c r="A5" s="1"/>
      <c r="B5" s="1"/>
      <c r="C5" s="1"/>
      <c r="D5" s="1"/>
      <c r="E5" s="1"/>
      <c r="F5" s="1"/>
      <c r="G5" s="2"/>
      <c r="H5" s="1"/>
      <c r="I5" s="4"/>
      <c r="J5" s="4"/>
      <c r="K5" s="4"/>
      <c r="L5" s="4"/>
      <c r="M5" s="4"/>
      <c r="N5" s="1"/>
    </row>
    <row r="6" spans="1:14" ht="15.6" x14ac:dyDescent="0.25">
      <c r="A6" s="5"/>
      <c r="B6" s="6" t="s">
        <v>2</v>
      </c>
      <c r="C6" s="6"/>
      <c r="D6" s="6"/>
      <c r="E6" s="6"/>
      <c r="F6" s="93" t="s">
        <v>3</v>
      </c>
      <c r="G6" s="93"/>
      <c r="H6" s="93" t="s">
        <v>4</v>
      </c>
      <c r="I6" s="93"/>
      <c r="J6" s="99" t="s">
        <v>102</v>
      </c>
      <c r="K6" s="99"/>
      <c r="L6" s="99"/>
      <c r="M6" s="8"/>
      <c r="N6" s="7" t="s">
        <v>5</v>
      </c>
    </row>
    <row r="7" spans="1:14" x14ac:dyDescent="0.25">
      <c r="A7" s="9"/>
      <c r="B7" s="9"/>
      <c r="C7" s="9"/>
      <c r="D7" s="9"/>
      <c r="E7" s="9"/>
      <c r="F7" s="9"/>
      <c r="G7" s="9"/>
      <c r="H7" s="89" t="s">
        <v>6</v>
      </c>
      <c r="I7" s="89"/>
      <c r="J7" s="11"/>
      <c r="K7" s="11"/>
      <c r="L7" s="11"/>
      <c r="M7" s="11"/>
      <c r="N7" s="10" t="s">
        <v>7</v>
      </c>
    </row>
    <row r="8" spans="1:14" x14ac:dyDescent="0.25">
      <c r="A8" s="12"/>
      <c r="B8" s="12"/>
      <c r="C8" s="12"/>
      <c r="D8" s="12"/>
      <c r="E8" s="12"/>
      <c r="F8" s="12"/>
      <c r="G8" s="12"/>
      <c r="H8" s="12"/>
      <c r="I8" s="12"/>
      <c r="J8" s="13">
        <v>500</v>
      </c>
      <c r="K8" s="13">
        <v>1000</v>
      </c>
      <c r="L8" s="13">
        <v>2000</v>
      </c>
      <c r="M8" s="14"/>
      <c r="N8" s="12"/>
    </row>
    <row r="9" spans="1:14" x14ac:dyDescent="0.25">
      <c r="A9" s="9"/>
      <c r="B9" s="9"/>
      <c r="C9" s="9"/>
      <c r="D9" s="9"/>
      <c r="E9" s="9"/>
      <c r="F9" s="9"/>
      <c r="G9" s="9"/>
      <c r="H9" s="9"/>
      <c r="I9" s="9"/>
      <c r="J9" s="15"/>
      <c r="K9" s="15"/>
      <c r="L9" s="15"/>
      <c r="M9" s="15"/>
      <c r="N9" s="9"/>
    </row>
    <row r="10" spans="1:14" x14ac:dyDescent="0.25">
      <c r="A10" s="16" t="s">
        <v>8</v>
      </c>
      <c r="B10" s="1"/>
      <c r="C10" s="1"/>
      <c r="D10" s="1"/>
      <c r="E10" s="1"/>
      <c r="F10" s="1"/>
      <c r="G10" s="1"/>
      <c r="H10" s="1"/>
      <c r="I10" s="1"/>
      <c r="J10" s="17"/>
      <c r="K10" s="17"/>
      <c r="L10" s="17"/>
      <c r="M10" s="17"/>
      <c r="N10" s="1"/>
    </row>
    <row r="11" spans="1:14" x14ac:dyDescent="0.25">
      <c r="A11" s="1"/>
      <c r="B11" s="1" t="s">
        <v>9</v>
      </c>
      <c r="C11" s="1"/>
      <c r="D11" s="1"/>
      <c r="E11" s="1"/>
      <c r="F11" s="1"/>
      <c r="G11" s="1"/>
      <c r="H11" s="18">
        <v>1.92</v>
      </c>
      <c r="I11" s="1" t="s">
        <v>10</v>
      </c>
      <c r="J11" s="19">
        <f>+$H$11*H12</f>
        <v>249.6</v>
      </c>
      <c r="K11" s="19">
        <f>+$H$11*H12</f>
        <v>249.6</v>
      </c>
      <c r="L11" s="19">
        <f>+$H$11*H12</f>
        <v>249.6</v>
      </c>
      <c r="M11" s="17"/>
      <c r="N11" s="12"/>
    </row>
    <row r="12" spans="1:14" x14ac:dyDescent="0.25">
      <c r="A12" s="1"/>
      <c r="B12" s="1"/>
      <c r="C12" s="1"/>
      <c r="D12" s="1"/>
      <c r="E12" s="1"/>
      <c r="F12" s="1" t="s">
        <v>11</v>
      </c>
      <c r="G12" s="1"/>
      <c r="H12" s="1">
        <v>130</v>
      </c>
      <c r="I12" s="1" t="s">
        <v>12</v>
      </c>
      <c r="J12" s="17"/>
      <c r="K12" s="17"/>
      <c r="L12" s="17"/>
      <c r="M12" s="17"/>
      <c r="N12" s="1"/>
    </row>
    <row r="13" spans="1:14" ht="15.6" x14ac:dyDescent="0.25">
      <c r="A13" s="16" t="s">
        <v>103</v>
      </c>
      <c r="B13" s="1"/>
      <c r="C13" s="1"/>
      <c r="D13" s="1"/>
      <c r="E13" s="1"/>
      <c r="F13" s="1"/>
      <c r="G13" s="1"/>
      <c r="H13" s="1"/>
      <c r="I13" s="1"/>
      <c r="J13" s="17"/>
      <c r="K13" s="17"/>
      <c r="L13" s="17"/>
      <c r="M13" s="17"/>
      <c r="N13" s="1"/>
    </row>
    <row r="14" spans="1:14" x14ac:dyDescent="0.25">
      <c r="A14" s="1"/>
      <c r="B14" s="1" t="s">
        <v>13</v>
      </c>
      <c r="C14" s="1"/>
      <c r="D14" s="1"/>
      <c r="E14" s="1">
        <v>28000</v>
      </c>
      <c r="F14" s="1" t="s">
        <v>14</v>
      </c>
      <c r="G14" s="1"/>
      <c r="H14" s="20">
        <v>7.0000000000000007E-2</v>
      </c>
      <c r="I14" s="1" t="s">
        <v>15</v>
      </c>
      <c r="J14" s="17">
        <f>+$E$14*(1.1/1000)*(1+H14)</f>
        <v>32.956000000000003</v>
      </c>
      <c r="K14" s="17">
        <f>+$E$14*1.1/1000</f>
        <v>30.800000000000004</v>
      </c>
      <c r="L14" s="17">
        <f>+$E$14*(1.1/1000)*(1-H14)</f>
        <v>28.643999999999998</v>
      </c>
      <c r="M14" s="17"/>
      <c r="N14" s="12"/>
    </row>
    <row r="15" spans="1:14" ht="15.6" x14ac:dyDescent="0.25">
      <c r="A15" s="1"/>
      <c r="B15" s="1" t="s">
        <v>104</v>
      </c>
      <c r="C15" s="1"/>
      <c r="D15" s="1"/>
      <c r="E15" s="1"/>
      <c r="F15" s="1"/>
      <c r="G15" s="1"/>
      <c r="H15" s="1"/>
      <c r="I15" s="1"/>
      <c r="J15" s="17"/>
      <c r="K15" s="17"/>
      <c r="L15" s="17"/>
      <c r="M15" s="17"/>
      <c r="N15" s="5"/>
    </row>
    <row r="16" spans="1:14" x14ac:dyDescent="0.25">
      <c r="A16" s="1"/>
      <c r="B16" s="1"/>
      <c r="C16" s="1" t="s">
        <v>16</v>
      </c>
      <c r="D16" s="1"/>
      <c r="E16" s="1">
        <v>140</v>
      </c>
      <c r="F16" s="1"/>
      <c r="G16" s="1"/>
      <c r="H16" s="20">
        <v>0.1</v>
      </c>
      <c r="I16" s="1" t="s">
        <v>15</v>
      </c>
      <c r="J16" s="17">
        <f>+$E$16*0.24*(1+$H$16)</f>
        <v>36.960000000000008</v>
      </c>
      <c r="K16" s="17">
        <f>+$E$16*0.24</f>
        <v>33.6</v>
      </c>
      <c r="L16" s="17">
        <f>+$E$16*0.24*(1-$H$16)</f>
        <v>30.240000000000002</v>
      </c>
      <c r="M16" s="17"/>
      <c r="N16" s="12"/>
    </row>
    <row r="17" spans="1:14" ht="15.6" x14ac:dyDescent="0.35">
      <c r="A17" s="1"/>
      <c r="B17" s="1"/>
      <c r="C17" s="1" t="s">
        <v>105</v>
      </c>
      <c r="D17" s="1"/>
      <c r="E17" s="1">
        <v>45</v>
      </c>
      <c r="F17" s="1"/>
      <c r="G17" s="1"/>
      <c r="H17" s="20">
        <v>0.1</v>
      </c>
      <c r="I17" s="1" t="s">
        <v>15</v>
      </c>
      <c r="J17" s="17">
        <f>+$E$17*0.24*(1+$H$17)</f>
        <v>11.879999999999999</v>
      </c>
      <c r="K17" s="17">
        <f>+$E$17*0.24</f>
        <v>10.799999999999999</v>
      </c>
      <c r="L17" s="17">
        <f>+$E$17*0.24*(1-$H$17)</f>
        <v>9.7199999999999989</v>
      </c>
      <c r="M17" s="17"/>
      <c r="N17" s="21"/>
    </row>
    <row r="18" spans="1:14" ht="15.6" x14ac:dyDescent="0.35">
      <c r="A18" s="1"/>
      <c r="B18" s="1"/>
      <c r="C18" s="1" t="s">
        <v>106</v>
      </c>
      <c r="D18" s="1"/>
      <c r="E18" s="1">
        <v>50</v>
      </c>
      <c r="F18" s="1"/>
      <c r="G18" s="1"/>
      <c r="H18" s="20">
        <v>0.1</v>
      </c>
      <c r="I18" s="1" t="s">
        <v>15</v>
      </c>
      <c r="J18" s="17">
        <f>+$E$18*0.13*(1+$H$18)</f>
        <v>7.15</v>
      </c>
      <c r="K18" s="17">
        <f>+$E$18*0.13</f>
        <v>6.5</v>
      </c>
      <c r="L18" s="17">
        <f>+$E$18*0.13*(1-$H$18)</f>
        <v>5.8500000000000005</v>
      </c>
      <c r="M18" s="17"/>
      <c r="N18" s="21"/>
    </row>
    <row r="19" spans="1:14" x14ac:dyDescent="0.25">
      <c r="A19" s="1"/>
      <c r="B19" s="1"/>
      <c r="C19" s="1" t="s">
        <v>17</v>
      </c>
      <c r="D19" s="1"/>
      <c r="E19" s="1">
        <v>1000</v>
      </c>
      <c r="F19" s="1"/>
      <c r="G19" s="1"/>
      <c r="H19" s="20">
        <v>0.1</v>
      </c>
      <c r="I19" s="1" t="s">
        <v>15</v>
      </c>
      <c r="J19" s="17">
        <f>+$E$19*(15/2000)*(1+$H$19)</f>
        <v>8.25</v>
      </c>
      <c r="K19" s="17">
        <f>+$E$19*(15/2000)</f>
        <v>7.5</v>
      </c>
      <c r="L19" s="17">
        <f>+$E$19*(15/2000)*(1-$H$19)</f>
        <v>6.75</v>
      </c>
      <c r="M19" s="17"/>
      <c r="N19" s="21"/>
    </row>
    <row r="20" spans="1:14" ht="15.6" x14ac:dyDescent="0.25">
      <c r="A20" s="1"/>
      <c r="B20" s="1" t="s">
        <v>107</v>
      </c>
      <c r="C20" s="1"/>
      <c r="D20" s="1"/>
      <c r="E20" s="1"/>
      <c r="F20" s="1"/>
      <c r="G20" s="1"/>
      <c r="H20" s="20">
        <v>7.0000000000000007E-2</v>
      </c>
      <c r="I20" s="1" t="s">
        <v>15</v>
      </c>
      <c r="J20" s="17">
        <f>+(1+H20)*20</f>
        <v>21.400000000000002</v>
      </c>
      <c r="K20" s="17">
        <v>20</v>
      </c>
      <c r="L20" s="17">
        <f>+(1-H20)*20</f>
        <v>18.599999999999998</v>
      </c>
      <c r="M20" s="17"/>
      <c r="N20" s="21"/>
    </row>
    <row r="21" spans="1:14" x14ac:dyDescent="0.25">
      <c r="A21" s="1"/>
      <c r="B21" s="1" t="s">
        <v>18</v>
      </c>
      <c r="C21" s="1"/>
      <c r="D21" s="1"/>
      <c r="E21" s="1"/>
      <c r="F21" s="1"/>
      <c r="G21" s="1"/>
      <c r="H21" s="4">
        <v>0.18</v>
      </c>
      <c r="I21" s="1" t="s">
        <v>10</v>
      </c>
      <c r="J21" s="17">
        <f>+$H$21*130</f>
        <v>23.4</v>
      </c>
      <c r="K21" s="17">
        <f>+$H$21*130</f>
        <v>23.4</v>
      </c>
      <c r="L21" s="17">
        <f>+$H$21*130</f>
        <v>23.4</v>
      </c>
      <c r="M21" s="17"/>
      <c r="N21" s="21"/>
    </row>
    <row r="22" spans="1:14" x14ac:dyDescent="0.25">
      <c r="A22" s="1"/>
      <c r="B22" s="1" t="s">
        <v>19</v>
      </c>
      <c r="C22" s="1"/>
      <c r="D22" s="1"/>
      <c r="E22" s="1"/>
      <c r="F22" s="1"/>
      <c r="G22" s="1"/>
      <c r="H22" s="1">
        <v>0.03</v>
      </c>
      <c r="I22" s="1" t="s">
        <v>10</v>
      </c>
      <c r="J22" s="17">
        <f>+$H$22*130</f>
        <v>3.9</v>
      </c>
      <c r="K22" s="17">
        <f>+$H$22*130</f>
        <v>3.9</v>
      </c>
      <c r="L22" s="17">
        <f>+$H$22*130</f>
        <v>3.9</v>
      </c>
      <c r="M22" s="17"/>
      <c r="N22" s="21"/>
    </row>
    <row r="23" spans="1:14" ht="15.6" x14ac:dyDescent="0.25">
      <c r="A23" s="1"/>
      <c r="B23" s="1" t="s">
        <v>108</v>
      </c>
      <c r="C23" s="1"/>
      <c r="D23" s="1"/>
      <c r="E23" s="1"/>
      <c r="F23" s="1"/>
      <c r="G23" s="1"/>
      <c r="H23" s="1"/>
      <c r="I23" s="1"/>
      <c r="J23" s="17">
        <f>+L94*1.15</f>
        <v>6.0719999999999992</v>
      </c>
      <c r="K23" s="17">
        <f>+L113*1.15</f>
        <v>6.0719999999999992</v>
      </c>
      <c r="L23" s="17">
        <f>+L132*1.15</f>
        <v>6.0719999999999992</v>
      </c>
      <c r="M23" s="17"/>
      <c r="N23" s="21"/>
    </row>
    <row r="24" spans="1:14" ht="15.6" x14ac:dyDescent="0.25">
      <c r="A24" s="1"/>
      <c r="B24" s="1" t="s">
        <v>109</v>
      </c>
      <c r="C24" s="1"/>
      <c r="D24" s="1"/>
      <c r="E24" s="1"/>
      <c r="F24" s="1"/>
      <c r="G24" s="1"/>
      <c r="H24" s="1"/>
      <c r="I24" s="1"/>
      <c r="J24" s="17">
        <f>+N94</f>
        <v>15.649999999999999</v>
      </c>
      <c r="K24" s="17">
        <f>+N113</f>
        <v>13.06</v>
      </c>
      <c r="L24" s="17">
        <f>+N132</f>
        <v>13.350000000000001</v>
      </c>
      <c r="M24" s="17"/>
      <c r="N24" s="21"/>
    </row>
    <row r="25" spans="1:14" ht="15.6" x14ac:dyDescent="0.25">
      <c r="A25" s="1"/>
      <c r="B25" s="1" t="s">
        <v>110</v>
      </c>
      <c r="C25" s="1"/>
      <c r="D25" s="1"/>
      <c r="E25" s="1"/>
      <c r="F25" s="1"/>
      <c r="G25" s="1"/>
      <c r="H25" s="1"/>
      <c r="I25" s="1"/>
      <c r="J25" s="17">
        <v>12</v>
      </c>
      <c r="K25" s="17">
        <v>13</v>
      </c>
      <c r="L25" s="17">
        <v>14</v>
      </c>
      <c r="M25" s="17"/>
      <c r="N25" s="21"/>
    </row>
    <row r="26" spans="1:14" ht="15.6" x14ac:dyDescent="0.25">
      <c r="A26" s="1"/>
      <c r="B26" s="1" t="s">
        <v>111</v>
      </c>
      <c r="C26" s="1"/>
      <c r="D26" s="1"/>
      <c r="E26" s="1"/>
      <c r="F26" s="22">
        <v>7</v>
      </c>
      <c r="G26" s="1" t="s">
        <v>20</v>
      </c>
      <c r="H26" s="23">
        <v>0.09</v>
      </c>
      <c r="I26" s="1"/>
      <c r="J26" s="17">
        <f>(SUM(J14:J25)-J21-J22)*$H$26*($F$26/12)</f>
        <v>7.9966950000000008</v>
      </c>
      <c r="K26" s="17">
        <f>(SUM(K14:K25)-K21-K22)*$H$26*($F$26/12)</f>
        <v>7.419929999999999</v>
      </c>
      <c r="L26" s="17">
        <f>(SUM(L14:L25)-L21-L22)*$H$26*($F$26/12)</f>
        <v>6.9943649999999984</v>
      </c>
      <c r="M26" s="17"/>
      <c r="N26" s="21"/>
    </row>
    <row r="27" spans="1:14" ht="15.6" x14ac:dyDescent="0.25">
      <c r="A27" s="1"/>
      <c r="B27" s="1" t="s">
        <v>112</v>
      </c>
      <c r="C27" s="1"/>
      <c r="D27" s="1"/>
      <c r="E27" s="1"/>
      <c r="F27" s="1"/>
      <c r="G27" s="1"/>
      <c r="H27" s="1"/>
      <c r="I27" s="1"/>
      <c r="J27" s="24">
        <v>0</v>
      </c>
      <c r="K27" s="24">
        <v>0</v>
      </c>
      <c r="L27" s="24">
        <v>0</v>
      </c>
      <c r="M27" s="24"/>
      <c r="N27" s="25"/>
    </row>
    <row r="28" spans="1:14" x14ac:dyDescent="0.25">
      <c r="A28" s="1"/>
      <c r="B28" s="1"/>
      <c r="C28" s="1"/>
      <c r="D28" s="1"/>
      <c r="E28" s="1"/>
      <c r="F28" s="1"/>
      <c r="G28" s="1"/>
      <c r="H28" s="1"/>
      <c r="I28" s="1"/>
      <c r="J28" s="26"/>
      <c r="K28" s="26"/>
      <c r="L28" s="26"/>
      <c r="M28" s="26"/>
      <c r="N28" s="1"/>
    </row>
    <row r="29" spans="1:14" x14ac:dyDescent="0.25">
      <c r="A29" s="16" t="s">
        <v>21</v>
      </c>
      <c r="B29" s="1"/>
      <c r="C29" s="1"/>
      <c r="D29" s="1"/>
      <c r="E29" s="1"/>
      <c r="G29" s="27" t="s">
        <v>22</v>
      </c>
      <c r="H29" s="1"/>
      <c r="I29" s="1"/>
      <c r="J29" s="17">
        <f>SUM(J14:J28)</f>
        <v>187.61469500000001</v>
      </c>
      <c r="K29" s="17">
        <f>SUM(K14:K28)</f>
        <v>176.05193</v>
      </c>
      <c r="L29" s="17">
        <f>SUM(L14:L28)</f>
        <v>167.52036499999997</v>
      </c>
      <c r="M29" s="17"/>
      <c r="N29" s="12"/>
    </row>
    <row r="30" spans="1:14" x14ac:dyDescent="0.25">
      <c r="A30" s="1"/>
      <c r="B30" s="1"/>
      <c r="C30" s="1"/>
      <c r="D30" s="1"/>
      <c r="E30" s="1"/>
      <c r="G30" s="27" t="s">
        <v>23</v>
      </c>
      <c r="H30" s="1"/>
      <c r="I30" s="1"/>
      <c r="J30" s="4">
        <f>+J29/130</f>
        <v>1.4431899615384616</v>
      </c>
      <c r="K30" s="4">
        <f>+K29/130</f>
        <v>1.3542456153846154</v>
      </c>
      <c r="L30" s="4">
        <f>+L29/130</f>
        <v>1.288618192307692</v>
      </c>
      <c r="M30" s="4"/>
      <c r="N30" s="21"/>
    </row>
    <row r="31" spans="1:14" x14ac:dyDescent="0.25">
      <c r="A31" s="1"/>
      <c r="B31" s="1"/>
      <c r="C31" s="1"/>
      <c r="D31" s="1"/>
      <c r="E31" s="1"/>
      <c r="F31" s="1"/>
      <c r="G31" s="1"/>
      <c r="H31" s="1"/>
      <c r="I31" s="1"/>
      <c r="J31" s="17"/>
      <c r="K31" s="17"/>
      <c r="L31" s="17"/>
      <c r="M31" s="17"/>
      <c r="N31" s="1"/>
    </row>
    <row r="32" spans="1:14" x14ac:dyDescent="0.25">
      <c r="A32" s="16" t="s">
        <v>24</v>
      </c>
      <c r="B32" s="1"/>
      <c r="C32" s="1"/>
      <c r="D32" s="1"/>
      <c r="E32" s="1"/>
      <c r="F32" s="1"/>
      <c r="G32" s="1"/>
      <c r="H32" s="1"/>
      <c r="I32" s="1"/>
      <c r="J32" s="17"/>
      <c r="K32" s="17"/>
      <c r="L32" s="17"/>
      <c r="M32" s="17"/>
      <c r="N32" s="1"/>
    </row>
    <row r="33" spans="1:15" ht="15.6" x14ac:dyDescent="0.25">
      <c r="A33" s="1"/>
      <c r="B33" s="1" t="s">
        <v>113</v>
      </c>
      <c r="C33" s="1"/>
      <c r="D33" s="1"/>
      <c r="E33" s="28">
        <v>4</v>
      </c>
      <c r="F33" s="1">
        <v>3.6</v>
      </c>
      <c r="G33" s="1">
        <v>3.2</v>
      </c>
      <c r="H33" s="4">
        <v>8</v>
      </c>
      <c r="I33" s="1" t="s">
        <v>25</v>
      </c>
      <c r="J33" s="17">
        <f>+E33*H33</f>
        <v>32</v>
      </c>
      <c r="K33" s="17">
        <f>+F33*H33</f>
        <v>28.8</v>
      </c>
      <c r="L33" s="17">
        <f>+G33*H33</f>
        <v>25.6</v>
      </c>
      <c r="M33" s="17"/>
      <c r="N33" s="12"/>
    </row>
    <row r="34" spans="1:15" ht="15.6" x14ac:dyDescent="0.25">
      <c r="A34" s="1"/>
      <c r="B34" s="1" t="s">
        <v>114</v>
      </c>
      <c r="C34" s="1"/>
      <c r="D34" s="1"/>
      <c r="E34" s="1"/>
      <c r="F34" s="1"/>
      <c r="G34" s="1"/>
      <c r="H34" s="1"/>
      <c r="I34" s="1"/>
      <c r="J34" s="17">
        <f>+G97</f>
        <v>76.44</v>
      </c>
      <c r="K34" s="17">
        <f>+G116</f>
        <v>55.365000000000002</v>
      </c>
      <c r="L34" s="17">
        <f>+G135</f>
        <v>38.369999999999997</v>
      </c>
      <c r="M34" s="17"/>
      <c r="N34" s="21"/>
    </row>
    <row r="35" spans="1:15" x14ac:dyDescent="0.25">
      <c r="A35" s="1"/>
      <c r="B35" s="1" t="s">
        <v>26</v>
      </c>
      <c r="C35" s="1"/>
      <c r="D35" s="1"/>
      <c r="E35" s="1"/>
      <c r="F35" s="1" t="s">
        <v>27</v>
      </c>
      <c r="G35" s="1"/>
      <c r="H35" s="1"/>
      <c r="I35" s="1"/>
      <c r="J35" s="17">
        <v>70</v>
      </c>
      <c r="K35" s="17">
        <v>70</v>
      </c>
      <c r="L35" s="17">
        <v>70</v>
      </c>
      <c r="M35" s="17"/>
      <c r="N35" s="21"/>
    </row>
    <row r="36" spans="1:15" ht="15.6" x14ac:dyDescent="0.25">
      <c r="A36" s="1"/>
      <c r="B36" s="1" t="s">
        <v>115</v>
      </c>
      <c r="C36" s="1"/>
      <c r="D36" s="1"/>
      <c r="E36" s="1"/>
      <c r="F36" s="20">
        <v>0.04</v>
      </c>
      <c r="G36" s="20">
        <v>0.05</v>
      </c>
      <c r="H36" s="20">
        <v>0.06</v>
      </c>
      <c r="I36" s="29" t="s">
        <v>28</v>
      </c>
      <c r="J36" s="24">
        <f>F36*J11</f>
        <v>9.984</v>
      </c>
      <c r="K36" s="24">
        <f>+G36*K11</f>
        <v>12.48</v>
      </c>
      <c r="L36" s="24">
        <f>+H36*L11</f>
        <v>14.975999999999999</v>
      </c>
      <c r="M36" s="24"/>
      <c r="N36" s="30"/>
    </row>
    <row r="37" spans="1:15" x14ac:dyDescent="0.25">
      <c r="A37" s="1"/>
      <c r="B37" s="1"/>
      <c r="C37" s="1"/>
      <c r="D37" s="1"/>
      <c r="E37" s="1"/>
      <c r="F37" s="1"/>
      <c r="G37" s="1"/>
      <c r="H37" s="1"/>
      <c r="I37" s="1"/>
      <c r="J37" s="26"/>
      <c r="K37" s="26"/>
      <c r="L37" s="26"/>
      <c r="M37" s="26"/>
      <c r="N37" s="1"/>
    </row>
    <row r="38" spans="1:15" x14ac:dyDescent="0.25">
      <c r="A38" s="16" t="s">
        <v>29</v>
      </c>
      <c r="B38" s="1"/>
      <c r="C38" s="1"/>
      <c r="D38" s="1"/>
      <c r="E38" s="1"/>
      <c r="F38" s="1"/>
      <c r="G38" s="1"/>
      <c r="H38" s="1"/>
      <c r="I38" s="1"/>
      <c r="J38" s="17">
        <f>SUM(J33:J37)</f>
        <v>188.42400000000001</v>
      </c>
      <c r="K38" s="17">
        <f>SUM(K33:K37)</f>
        <v>166.64500000000001</v>
      </c>
      <c r="L38" s="17">
        <f>SUM(L33:L37)</f>
        <v>148.946</v>
      </c>
      <c r="M38" s="17"/>
      <c r="N38" s="12"/>
    </row>
    <row r="39" spans="1:15" x14ac:dyDescent="0.25">
      <c r="A39" s="1"/>
      <c r="B39" s="1"/>
      <c r="C39" s="1"/>
      <c r="D39" s="1"/>
      <c r="E39" s="1"/>
      <c r="F39" s="1"/>
      <c r="G39" s="1"/>
      <c r="H39" s="1"/>
      <c r="I39" s="1"/>
      <c r="J39" s="17"/>
      <c r="K39" s="17"/>
      <c r="L39" s="17"/>
      <c r="M39" s="17"/>
      <c r="N39" s="1"/>
    </row>
    <row r="40" spans="1:15" x14ac:dyDescent="0.25">
      <c r="A40" s="16" t="s">
        <v>30</v>
      </c>
      <c r="B40" s="1"/>
      <c r="C40" s="1"/>
      <c r="D40" s="1"/>
      <c r="E40" s="1"/>
      <c r="F40" s="1"/>
      <c r="G40" s="27" t="s">
        <v>22</v>
      </c>
      <c r="H40" s="1"/>
      <c r="I40" s="1"/>
      <c r="J40" s="17">
        <f>+J29+J38</f>
        <v>376.03869500000002</v>
      </c>
      <c r="K40" s="17">
        <f>+K29+K38</f>
        <v>342.69693000000001</v>
      </c>
      <c r="L40" s="17">
        <f>+L29+L38</f>
        <v>316.466365</v>
      </c>
      <c r="M40" s="17"/>
      <c r="N40" s="12"/>
    </row>
    <row r="41" spans="1:15" x14ac:dyDescent="0.25">
      <c r="A41" s="16"/>
      <c r="B41" s="1"/>
      <c r="C41" s="1"/>
      <c r="D41" s="1"/>
      <c r="E41" s="1"/>
      <c r="F41" s="1"/>
      <c r="G41" s="27" t="s">
        <v>23</v>
      </c>
      <c r="H41" s="1"/>
      <c r="I41" s="1"/>
      <c r="J41" s="4">
        <f>+J40/130</f>
        <v>2.8926053461538461</v>
      </c>
      <c r="K41" s="4">
        <f>+K40/130</f>
        <v>2.6361302307692309</v>
      </c>
      <c r="L41" s="4">
        <f>+L40/130</f>
        <v>2.4343566538461539</v>
      </c>
      <c r="M41" s="4"/>
      <c r="N41" s="21"/>
    </row>
    <row r="42" spans="1:15" x14ac:dyDescent="0.25">
      <c r="A42" s="1"/>
      <c r="B42" s="1"/>
      <c r="C42" s="1"/>
      <c r="D42" s="1"/>
      <c r="E42" s="1"/>
      <c r="F42" s="1"/>
      <c r="G42" s="1"/>
      <c r="H42" s="1"/>
      <c r="I42" s="1"/>
      <c r="J42" s="17"/>
      <c r="K42" s="17"/>
      <c r="L42" s="17"/>
      <c r="M42" s="17"/>
      <c r="N42" s="1"/>
    </row>
    <row r="43" spans="1:15" x14ac:dyDescent="0.25">
      <c r="A43" s="16" t="s">
        <v>31</v>
      </c>
      <c r="B43" s="1"/>
      <c r="C43" s="1"/>
      <c r="D43" s="1"/>
      <c r="E43" s="1"/>
      <c r="F43" s="1"/>
      <c r="G43" s="1"/>
      <c r="H43" s="1"/>
      <c r="I43" s="1"/>
      <c r="J43" s="17">
        <f>+J11-J29</f>
        <v>61.985304999999983</v>
      </c>
      <c r="K43" s="17">
        <f>+K11-K29</f>
        <v>73.548069999999996</v>
      </c>
      <c r="L43" s="17">
        <f>+L11-L29</f>
        <v>82.079635000000025</v>
      </c>
      <c r="M43" s="17"/>
      <c r="N43" s="12"/>
    </row>
    <row r="44" spans="1:15" x14ac:dyDescent="0.25">
      <c r="A44" s="16" t="s">
        <v>32</v>
      </c>
      <c r="B44" s="1"/>
      <c r="C44" s="1"/>
      <c r="D44" s="1"/>
      <c r="E44" s="1"/>
      <c r="F44" s="1"/>
      <c r="G44" s="1"/>
      <c r="H44" s="1"/>
      <c r="I44" s="1"/>
      <c r="J44" s="31">
        <f>+J11-J40</f>
        <v>-126.43869500000002</v>
      </c>
      <c r="K44" s="31">
        <f>+K11-K40</f>
        <v>-93.096930000000015</v>
      </c>
      <c r="L44" s="31">
        <f>+L11-L40</f>
        <v>-66.866365000000002</v>
      </c>
      <c r="M44" s="31"/>
      <c r="N44" s="21"/>
    </row>
    <row r="45" spans="1:15" ht="13.5" customHeight="1" x14ac:dyDescent="0.25">
      <c r="A45" s="32" t="s">
        <v>116</v>
      </c>
      <c r="B45" s="9"/>
      <c r="C45" s="9"/>
      <c r="D45" s="9"/>
      <c r="E45" s="9"/>
      <c r="F45" s="9"/>
      <c r="G45" s="9"/>
      <c r="H45" s="9"/>
      <c r="I45" s="9"/>
      <c r="J45" s="33">
        <f>+J44+J36+J33</f>
        <v>-84.454695000000029</v>
      </c>
      <c r="K45" s="33">
        <f>+K44+K36+K33</f>
        <v>-51.816930000000013</v>
      </c>
      <c r="L45" s="33">
        <f>+L44+L36+L33</f>
        <v>-26.290365000000001</v>
      </c>
      <c r="M45" s="11"/>
      <c r="N45" s="12"/>
    </row>
    <row r="46" spans="1:15" ht="13.5" customHeight="1" x14ac:dyDescent="0.25">
      <c r="A46" s="34" t="s">
        <v>117</v>
      </c>
      <c r="B46" s="12"/>
      <c r="C46" s="12"/>
      <c r="D46" s="12"/>
      <c r="E46" s="12"/>
      <c r="F46" s="12"/>
      <c r="G46" s="12"/>
      <c r="H46" s="12"/>
      <c r="I46" s="12"/>
      <c r="J46" s="35">
        <f>+J45*J8</f>
        <v>-42227.347500000018</v>
      </c>
      <c r="K46" s="35">
        <f>+K8*K45</f>
        <v>-51816.930000000015</v>
      </c>
      <c r="L46" s="36">
        <f>+L8*L45</f>
        <v>-52580.73</v>
      </c>
      <c r="M46" s="37"/>
      <c r="N46" s="12"/>
      <c r="O46" s="38"/>
    </row>
    <row r="47" spans="1:15" ht="15" customHeight="1" x14ac:dyDescent="0.25">
      <c r="A47" s="90"/>
      <c r="B47" s="90"/>
      <c r="C47" s="90"/>
      <c r="D47" s="90"/>
      <c r="E47" s="90"/>
      <c r="F47" s="90"/>
      <c r="G47" s="90"/>
      <c r="H47" s="90"/>
      <c r="I47" s="90"/>
      <c r="J47" s="90"/>
      <c r="K47" s="90"/>
      <c r="L47" s="90"/>
      <c r="M47" s="90"/>
      <c r="N47" s="90"/>
    </row>
    <row r="48" spans="1:15" ht="15" customHeight="1" x14ac:dyDescent="0.25">
      <c r="A48" s="39"/>
      <c r="B48" s="39"/>
      <c r="C48" s="39"/>
      <c r="D48" s="39"/>
      <c r="E48" s="39"/>
      <c r="F48" s="39"/>
      <c r="G48" s="39"/>
      <c r="H48" s="39"/>
      <c r="I48" s="39"/>
      <c r="J48" s="39"/>
      <c r="K48" s="39"/>
      <c r="L48" s="39"/>
      <c r="M48" s="39"/>
      <c r="N48" s="39"/>
    </row>
    <row r="49" spans="1:14" ht="39" customHeight="1" x14ac:dyDescent="0.25">
      <c r="A49" s="40" t="s">
        <v>33</v>
      </c>
      <c r="B49" s="92" t="s">
        <v>34</v>
      </c>
      <c r="C49" s="92"/>
      <c r="D49" s="92"/>
      <c r="E49" s="92"/>
      <c r="F49" s="92"/>
      <c r="G49" s="92"/>
      <c r="H49" s="92"/>
      <c r="I49" s="92"/>
      <c r="J49" s="92"/>
      <c r="K49" s="92"/>
      <c r="L49" s="92"/>
      <c r="M49" s="92"/>
      <c r="N49" s="92"/>
    </row>
    <row r="50" spans="1:14" ht="14.25" customHeight="1" x14ac:dyDescent="0.25">
      <c r="A50" s="40"/>
      <c r="B50" s="41"/>
      <c r="C50" s="41"/>
      <c r="D50" s="41"/>
      <c r="E50" s="41"/>
      <c r="F50" s="41"/>
      <c r="G50" s="41"/>
      <c r="H50" s="41"/>
      <c r="I50" s="41"/>
      <c r="J50" s="41"/>
      <c r="K50" s="41"/>
      <c r="L50" s="41"/>
      <c r="M50" s="41"/>
      <c r="N50" s="41"/>
    </row>
    <row r="51" spans="1:14" ht="14.25" customHeight="1" x14ac:dyDescent="0.25">
      <c r="A51" s="40" t="s">
        <v>35</v>
      </c>
      <c r="B51" s="92" t="s">
        <v>36</v>
      </c>
      <c r="C51" s="92"/>
      <c r="D51" s="92"/>
      <c r="E51" s="92"/>
      <c r="F51" s="92"/>
      <c r="G51" s="92"/>
      <c r="H51" s="92"/>
      <c r="I51" s="92"/>
      <c r="J51" s="92"/>
      <c r="K51" s="92"/>
      <c r="L51" s="92"/>
      <c r="M51" s="92"/>
      <c r="N51" s="92"/>
    </row>
    <row r="52" spans="1:14" ht="14.25" customHeight="1" x14ac:dyDescent="0.25">
      <c r="A52" s="40"/>
      <c r="B52" s="41"/>
      <c r="C52" s="41"/>
      <c r="D52" s="41"/>
      <c r="E52" s="41"/>
      <c r="F52" s="41"/>
      <c r="G52" s="41"/>
      <c r="H52" s="41"/>
      <c r="I52" s="41"/>
      <c r="J52" s="41"/>
      <c r="K52" s="41"/>
      <c r="L52" s="41"/>
      <c r="M52" s="41"/>
      <c r="N52" s="41"/>
    </row>
    <row r="53" spans="1:14" ht="15.6" x14ac:dyDescent="0.25">
      <c r="A53" s="40" t="s">
        <v>37</v>
      </c>
      <c r="B53" s="1" t="s">
        <v>38</v>
      </c>
      <c r="C53" s="1"/>
      <c r="D53" s="1"/>
      <c r="E53" s="1"/>
      <c r="F53" s="1"/>
      <c r="G53" s="1"/>
      <c r="H53" s="1"/>
      <c r="I53" s="1"/>
      <c r="J53" s="4"/>
      <c r="K53" s="4"/>
      <c r="L53" s="4"/>
      <c r="M53" s="4"/>
      <c r="N53" s="1"/>
    </row>
    <row r="54" spans="1:14" ht="15.6" x14ac:dyDescent="0.25">
      <c r="A54" s="40"/>
      <c r="B54" s="1"/>
      <c r="C54" s="1"/>
      <c r="D54" s="1"/>
      <c r="E54" s="1"/>
      <c r="F54" s="1"/>
      <c r="G54" s="1"/>
      <c r="H54" s="1"/>
      <c r="I54" s="1"/>
      <c r="J54" s="4"/>
      <c r="K54" s="4"/>
      <c r="L54" s="4"/>
      <c r="M54" s="4"/>
      <c r="N54" s="1"/>
    </row>
    <row r="55" spans="1:14" ht="53.25" customHeight="1" x14ac:dyDescent="0.25">
      <c r="A55" s="40" t="s">
        <v>39</v>
      </c>
      <c r="B55" s="92" t="s">
        <v>118</v>
      </c>
      <c r="C55" s="92"/>
      <c r="D55" s="92"/>
      <c r="E55" s="92"/>
      <c r="F55" s="92"/>
      <c r="G55" s="92"/>
      <c r="H55" s="92"/>
      <c r="I55" s="92"/>
      <c r="J55" s="92"/>
      <c r="K55" s="92"/>
      <c r="L55" s="92"/>
      <c r="M55" s="92"/>
      <c r="N55" s="92"/>
    </row>
    <row r="56" spans="1:14" ht="14.25" customHeight="1" x14ac:dyDescent="0.25">
      <c r="A56" s="40"/>
      <c r="B56" s="41"/>
      <c r="C56" s="41"/>
      <c r="D56" s="41"/>
      <c r="E56" s="41"/>
      <c r="F56" s="41"/>
      <c r="G56" s="41"/>
      <c r="H56" s="41"/>
      <c r="I56" s="41"/>
      <c r="J56" s="41"/>
      <c r="K56" s="41"/>
      <c r="L56" s="41"/>
      <c r="M56" s="41"/>
      <c r="N56" s="41"/>
    </row>
    <row r="57" spans="1:14" ht="27" customHeight="1" x14ac:dyDescent="0.25">
      <c r="A57" s="40" t="s">
        <v>40</v>
      </c>
      <c r="B57" s="92" t="s">
        <v>41</v>
      </c>
      <c r="C57" s="92"/>
      <c r="D57" s="92"/>
      <c r="E57" s="92"/>
      <c r="F57" s="92"/>
      <c r="G57" s="92"/>
      <c r="H57" s="92"/>
      <c r="I57" s="92"/>
      <c r="J57" s="92"/>
      <c r="K57" s="92"/>
      <c r="L57" s="92"/>
      <c r="M57" s="92"/>
      <c r="N57" s="92"/>
    </row>
    <row r="58" spans="1:14" x14ac:dyDescent="0.25">
      <c r="A58" s="42"/>
      <c r="B58" s="1"/>
      <c r="C58" s="1"/>
      <c r="D58" s="1"/>
      <c r="E58" s="1"/>
      <c r="F58" s="1"/>
      <c r="G58" s="1"/>
      <c r="H58" s="1"/>
      <c r="I58" s="1"/>
      <c r="J58" s="4"/>
      <c r="K58" s="4"/>
      <c r="L58" s="4"/>
      <c r="M58" s="4"/>
      <c r="N58" s="1"/>
    </row>
    <row r="59" spans="1:14" ht="15.6" x14ac:dyDescent="0.25">
      <c r="A59" s="40" t="s">
        <v>42</v>
      </c>
      <c r="B59" s="1" t="s">
        <v>43</v>
      </c>
      <c r="C59" s="1"/>
      <c r="D59" s="1"/>
      <c r="E59" s="1"/>
      <c r="F59" s="1"/>
      <c r="G59" s="1"/>
      <c r="H59" s="1"/>
      <c r="I59" s="1"/>
      <c r="J59" s="4"/>
      <c r="K59" s="4"/>
      <c r="L59" s="4"/>
      <c r="M59" s="4"/>
      <c r="N59" s="1"/>
    </row>
    <row r="60" spans="1:14" ht="15.6" x14ac:dyDescent="0.25">
      <c r="A60" s="40"/>
      <c r="B60" s="1"/>
      <c r="C60" s="1"/>
      <c r="D60" s="1"/>
      <c r="E60" s="1"/>
      <c r="F60" s="1"/>
      <c r="G60" s="1"/>
      <c r="H60" s="1"/>
      <c r="I60" s="1"/>
      <c r="J60" s="4"/>
      <c r="K60" s="4"/>
      <c r="L60" s="4"/>
      <c r="M60" s="4"/>
      <c r="N60" s="1"/>
    </row>
    <row r="61" spans="1:14" ht="15.6" x14ac:dyDescent="0.25">
      <c r="A61" s="40" t="s">
        <v>44</v>
      </c>
      <c r="B61" s="1" t="s">
        <v>45</v>
      </c>
      <c r="C61" s="1"/>
      <c r="D61" s="1"/>
      <c r="E61" s="1"/>
      <c r="F61" s="1"/>
      <c r="G61" s="1"/>
      <c r="H61" s="1"/>
      <c r="I61" s="1"/>
      <c r="J61" s="4"/>
      <c r="K61" s="4"/>
      <c r="L61" s="4"/>
      <c r="M61" s="4"/>
      <c r="N61" s="1"/>
    </row>
    <row r="62" spans="1:14" ht="15.6" x14ac:dyDescent="0.25">
      <c r="A62" s="40"/>
      <c r="B62" s="1"/>
      <c r="C62" s="1"/>
      <c r="D62" s="1"/>
      <c r="E62" s="1"/>
      <c r="F62" s="1"/>
      <c r="G62" s="1"/>
      <c r="H62" s="1"/>
      <c r="I62" s="1"/>
      <c r="J62" s="4"/>
      <c r="K62" s="4"/>
      <c r="L62" s="4"/>
      <c r="M62" s="4"/>
      <c r="N62" s="1"/>
    </row>
    <row r="63" spans="1:14" ht="15.6" x14ac:dyDescent="0.25">
      <c r="A63" s="40" t="s">
        <v>46</v>
      </c>
      <c r="B63" s="1" t="s">
        <v>47</v>
      </c>
      <c r="C63" s="1"/>
      <c r="D63" s="1"/>
      <c r="E63" s="1"/>
      <c r="F63" s="1"/>
      <c r="G63" s="1"/>
      <c r="H63" s="1"/>
      <c r="I63" s="1"/>
      <c r="J63" s="4"/>
      <c r="K63" s="4"/>
      <c r="L63" s="4"/>
      <c r="M63" s="4"/>
      <c r="N63" s="1"/>
    </row>
    <row r="64" spans="1:14" ht="15.6" x14ac:dyDescent="0.25">
      <c r="A64" s="40"/>
      <c r="B64" s="1"/>
      <c r="C64" s="1"/>
      <c r="D64" s="1"/>
      <c r="E64" s="1"/>
      <c r="F64" s="1"/>
      <c r="G64" s="1"/>
      <c r="H64" s="1"/>
      <c r="I64" s="1"/>
      <c r="J64" s="4"/>
      <c r="K64" s="4"/>
      <c r="L64" s="4"/>
      <c r="M64" s="4"/>
      <c r="N64" s="1"/>
    </row>
    <row r="65" spans="1:15" ht="15.6" x14ac:dyDescent="0.25">
      <c r="A65" s="40" t="s">
        <v>48</v>
      </c>
      <c r="B65" s="1" t="s">
        <v>49</v>
      </c>
      <c r="C65" s="1"/>
      <c r="D65" s="1"/>
      <c r="E65" s="1"/>
      <c r="F65" s="1"/>
      <c r="G65" s="1"/>
      <c r="H65" s="1"/>
      <c r="I65" s="1"/>
      <c r="J65" s="4"/>
      <c r="K65" s="4"/>
      <c r="L65" s="4"/>
      <c r="M65" s="4"/>
      <c r="N65" s="1"/>
    </row>
    <row r="66" spans="1:15" ht="15.6" x14ac:dyDescent="0.25">
      <c r="A66" s="40"/>
      <c r="B66" s="1"/>
      <c r="C66" s="1"/>
      <c r="D66" s="1"/>
      <c r="E66" s="1"/>
      <c r="F66" s="1"/>
      <c r="G66" s="1"/>
      <c r="H66" s="1"/>
      <c r="I66" s="1"/>
      <c r="J66" s="4"/>
      <c r="K66" s="4"/>
      <c r="L66" s="4"/>
      <c r="M66" s="4"/>
      <c r="N66" s="1"/>
    </row>
    <row r="67" spans="1:15" ht="15.6" x14ac:dyDescent="0.25">
      <c r="A67" s="40" t="s">
        <v>50</v>
      </c>
      <c r="B67" s="1" t="s">
        <v>51</v>
      </c>
      <c r="C67" s="1"/>
      <c r="D67" s="1"/>
      <c r="E67" s="1"/>
      <c r="F67" s="1"/>
      <c r="G67" s="1"/>
      <c r="H67" s="1"/>
      <c r="I67" s="1"/>
      <c r="J67" s="4"/>
      <c r="K67" s="4"/>
      <c r="L67" s="4"/>
      <c r="M67" s="4"/>
      <c r="N67" s="1"/>
    </row>
    <row r="68" spans="1:15" ht="15.6" x14ac:dyDescent="0.25">
      <c r="A68" s="40"/>
      <c r="B68" s="1"/>
      <c r="C68" s="1"/>
      <c r="D68" s="1"/>
      <c r="E68" s="1"/>
      <c r="F68" s="1"/>
      <c r="G68" s="1"/>
      <c r="H68" s="1"/>
      <c r="I68" s="1"/>
      <c r="J68" s="4"/>
      <c r="K68" s="4"/>
      <c r="L68" s="4"/>
      <c r="M68" s="4"/>
      <c r="N68" s="1"/>
    </row>
    <row r="69" spans="1:15" ht="41.25" customHeight="1" x14ac:dyDescent="0.25">
      <c r="A69" s="40" t="s">
        <v>52</v>
      </c>
      <c r="B69" s="92" t="s">
        <v>53</v>
      </c>
      <c r="C69" s="92"/>
      <c r="D69" s="92"/>
      <c r="E69" s="92"/>
      <c r="F69" s="92"/>
      <c r="G69" s="92"/>
      <c r="H69" s="92"/>
      <c r="I69" s="92"/>
      <c r="J69" s="92"/>
      <c r="K69" s="92"/>
      <c r="L69" s="92"/>
      <c r="M69" s="92"/>
      <c r="N69" s="92"/>
    </row>
    <row r="70" spans="1:15" ht="14.25" customHeight="1" x14ac:dyDescent="0.25">
      <c r="A70" s="40"/>
      <c r="B70" s="41"/>
      <c r="C70" s="41"/>
      <c r="D70" s="41"/>
      <c r="E70" s="41"/>
      <c r="F70" s="41"/>
      <c r="G70" s="41"/>
      <c r="H70" s="41"/>
      <c r="I70" s="41"/>
      <c r="J70" s="41"/>
      <c r="K70" s="41"/>
      <c r="L70" s="41"/>
      <c r="M70" s="41"/>
      <c r="N70" s="41"/>
    </row>
    <row r="71" spans="1:15" ht="53.25" customHeight="1" x14ac:dyDescent="0.25">
      <c r="A71" s="40" t="s">
        <v>54</v>
      </c>
      <c r="B71" s="92" t="s">
        <v>119</v>
      </c>
      <c r="C71" s="92"/>
      <c r="D71" s="92"/>
      <c r="E71" s="92"/>
      <c r="F71" s="92"/>
      <c r="G71" s="92"/>
      <c r="H71" s="92"/>
      <c r="I71" s="92"/>
      <c r="J71" s="92"/>
      <c r="K71" s="92"/>
      <c r="L71" s="92"/>
      <c r="M71" s="92"/>
      <c r="N71" s="92"/>
    </row>
    <row r="72" spans="1:15" ht="14.25" customHeight="1" x14ac:dyDescent="0.25">
      <c r="A72" s="40"/>
      <c r="B72" s="41"/>
      <c r="C72" s="41"/>
      <c r="D72" s="41"/>
      <c r="E72" s="41"/>
      <c r="F72" s="41"/>
      <c r="G72" s="41"/>
      <c r="H72" s="41"/>
      <c r="I72" s="41"/>
      <c r="J72" s="41"/>
      <c r="K72" s="41"/>
      <c r="L72" s="41"/>
      <c r="M72" s="41"/>
      <c r="N72" s="41"/>
    </row>
    <row r="73" spans="1:15" ht="25.5" customHeight="1" x14ac:dyDescent="0.25">
      <c r="A73" s="40" t="s">
        <v>55</v>
      </c>
      <c r="B73" s="92" t="s">
        <v>56</v>
      </c>
      <c r="C73" s="92"/>
      <c r="D73" s="92"/>
      <c r="E73" s="92"/>
      <c r="F73" s="92"/>
      <c r="G73" s="92"/>
      <c r="H73" s="92"/>
      <c r="I73" s="92"/>
      <c r="J73" s="92"/>
      <c r="K73" s="92"/>
      <c r="L73" s="92"/>
      <c r="M73" s="92"/>
      <c r="N73" s="92"/>
      <c r="O73" s="41"/>
    </row>
    <row r="74" spans="1:15" ht="14.25" customHeight="1" x14ac:dyDescent="0.25">
      <c r="A74" s="40"/>
      <c r="B74" s="41"/>
      <c r="C74" s="41"/>
      <c r="D74" s="41"/>
      <c r="E74" s="41"/>
      <c r="F74" s="41"/>
      <c r="G74" s="41"/>
      <c r="H74" s="41"/>
      <c r="I74" s="41"/>
      <c r="J74" s="41"/>
      <c r="K74" s="41"/>
      <c r="L74" s="41"/>
      <c r="M74" s="41"/>
      <c r="N74" s="41"/>
      <c r="O74" s="41"/>
    </row>
    <row r="75" spans="1:15" ht="26.25" customHeight="1" x14ac:dyDescent="0.25">
      <c r="A75" s="40" t="s">
        <v>57</v>
      </c>
      <c r="B75" s="92" t="s">
        <v>58</v>
      </c>
      <c r="C75" s="92"/>
      <c r="D75" s="92"/>
      <c r="E75" s="92"/>
      <c r="F75" s="92"/>
      <c r="G75" s="92"/>
      <c r="H75" s="92"/>
      <c r="I75" s="92"/>
      <c r="J75" s="92"/>
      <c r="K75" s="92"/>
      <c r="L75" s="92"/>
      <c r="M75" s="92"/>
      <c r="N75" s="92"/>
    </row>
    <row r="76" spans="1:15" ht="16.5" customHeight="1" x14ac:dyDescent="0.25">
      <c r="A76" s="40"/>
      <c r="B76" s="41"/>
      <c r="C76" s="41"/>
      <c r="D76" s="41"/>
      <c r="E76" s="41"/>
      <c r="F76" s="41"/>
      <c r="G76" s="41"/>
      <c r="H76" s="41"/>
      <c r="I76" s="41"/>
      <c r="J76" s="41"/>
      <c r="K76" s="41"/>
      <c r="L76" s="41"/>
      <c r="M76" s="41"/>
      <c r="N76" s="41"/>
    </row>
    <row r="77" spans="1:15" ht="18" customHeight="1" x14ac:dyDescent="0.25">
      <c r="A77" s="43">
        <v>15</v>
      </c>
      <c r="B77" s="95" t="s">
        <v>59</v>
      </c>
      <c r="C77" s="95"/>
      <c r="D77" s="95"/>
      <c r="E77" s="95"/>
      <c r="F77" s="95"/>
      <c r="G77" s="95"/>
      <c r="H77" s="95"/>
      <c r="I77" s="95"/>
      <c r="J77" s="95"/>
      <c r="K77" s="95"/>
      <c r="L77" s="95"/>
      <c r="M77" s="95"/>
      <c r="N77" s="95"/>
    </row>
    <row r="78" spans="1:15" ht="18" customHeight="1" x14ac:dyDescent="0.25">
      <c r="A78" s="43"/>
      <c r="B78" s="44"/>
      <c r="C78" s="44"/>
      <c r="D78" s="44"/>
      <c r="E78" s="44"/>
      <c r="F78" s="44"/>
      <c r="G78" s="44"/>
      <c r="H78" s="44"/>
      <c r="I78" s="44"/>
      <c r="J78" s="44"/>
      <c r="K78" s="44"/>
      <c r="L78" s="44"/>
      <c r="M78" s="44"/>
      <c r="N78" s="44"/>
    </row>
    <row r="79" spans="1:15" x14ac:dyDescent="0.25">
      <c r="A79" s="91" t="s">
        <v>60</v>
      </c>
      <c r="B79" s="91"/>
      <c r="C79" s="91"/>
      <c r="D79" s="91"/>
      <c r="E79" s="91"/>
      <c r="F79" s="91"/>
      <c r="G79" s="91"/>
      <c r="H79" s="91"/>
      <c r="I79" s="91"/>
      <c r="J79" s="91"/>
      <c r="K79" s="91"/>
      <c r="L79" s="91"/>
      <c r="M79" s="91"/>
      <c r="N79" s="91"/>
    </row>
    <row r="80" spans="1:15" x14ac:dyDescent="0.25">
      <c r="A80" s="91" t="s">
        <v>61</v>
      </c>
      <c r="B80" s="91"/>
      <c r="C80" s="91"/>
      <c r="D80" s="91"/>
      <c r="E80" s="91"/>
      <c r="F80" s="91"/>
      <c r="G80" s="91"/>
      <c r="H80" s="91"/>
      <c r="I80" s="91"/>
      <c r="J80" s="91"/>
      <c r="K80" s="91"/>
      <c r="L80" s="91"/>
      <c r="M80" s="91"/>
      <c r="N80" s="91"/>
      <c r="O80" s="45"/>
    </row>
    <row r="81" spans="1:17" ht="39.6" x14ac:dyDescent="0.25">
      <c r="A81" s="97" t="s">
        <v>62</v>
      </c>
      <c r="B81" s="97"/>
      <c r="C81" s="97"/>
      <c r="D81" s="97"/>
      <c r="E81" s="97" t="s">
        <v>63</v>
      </c>
      <c r="F81" s="97"/>
      <c r="G81" s="97"/>
      <c r="H81" s="96" t="s">
        <v>64</v>
      </c>
      <c r="I81" s="96"/>
      <c r="J81" s="94" t="s">
        <v>65</v>
      </c>
      <c r="K81" s="94"/>
      <c r="L81" s="47" t="s">
        <v>66</v>
      </c>
      <c r="M81" s="47"/>
      <c r="N81" s="48" t="s">
        <v>67</v>
      </c>
      <c r="O81" s="49" t="s">
        <v>68</v>
      </c>
    </row>
    <row r="82" spans="1:17" x14ac:dyDescent="0.25">
      <c r="A82" s="3"/>
      <c r="B82" s="3"/>
      <c r="C82" s="3">
        <v>1</v>
      </c>
      <c r="E82" s="44" t="s">
        <v>69</v>
      </c>
      <c r="F82" s="3"/>
      <c r="G82" s="3"/>
      <c r="H82" s="85">
        <v>9400</v>
      </c>
      <c r="I82" s="85"/>
      <c r="J82" s="85">
        <v>9400</v>
      </c>
      <c r="K82" s="85"/>
      <c r="L82" s="47">
        <f>0.13*O82*N96</f>
        <v>0.13</v>
      </c>
      <c r="M82" s="47"/>
      <c r="N82" s="48">
        <f>0.26*O82</f>
        <v>0.26</v>
      </c>
      <c r="O82" s="50">
        <v>1</v>
      </c>
    </row>
    <row r="83" spans="1:17" x14ac:dyDescent="0.25">
      <c r="A83" s="1"/>
      <c r="B83" s="1"/>
      <c r="C83" s="3">
        <v>1</v>
      </c>
      <c r="D83" s="1"/>
      <c r="E83" s="1" t="s">
        <v>70</v>
      </c>
      <c r="F83" s="1"/>
      <c r="G83" s="1"/>
      <c r="H83" s="85">
        <v>5200</v>
      </c>
      <c r="I83" s="85"/>
      <c r="J83" s="85">
        <f t="shared" ref="J83:J92" si="0">+C83*H83</f>
        <v>5200</v>
      </c>
      <c r="K83" s="85"/>
      <c r="L83" s="51">
        <f>1.1*O83*N96</f>
        <v>1.1000000000000001</v>
      </c>
      <c r="M83" s="51"/>
      <c r="N83" s="52">
        <f>0.34*O83</f>
        <v>0.34</v>
      </c>
      <c r="O83" s="50">
        <v>1</v>
      </c>
      <c r="P83" s="53"/>
      <c r="Q83" s="53"/>
    </row>
    <row r="84" spans="1:17" x14ac:dyDescent="0.25">
      <c r="A84" s="1"/>
      <c r="B84" s="1"/>
      <c r="C84" s="3">
        <v>1</v>
      </c>
      <c r="D84" s="1"/>
      <c r="E84" s="1" t="s">
        <v>71</v>
      </c>
      <c r="F84" s="1"/>
      <c r="G84" s="1"/>
      <c r="H84" s="85">
        <v>9000</v>
      </c>
      <c r="I84" s="85"/>
      <c r="J84" s="85">
        <f t="shared" si="0"/>
        <v>9000</v>
      </c>
      <c r="K84" s="85"/>
      <c r="L84" s="51">
        <f>0.6*O84*N96</f>
        <v>0.6</v>
      </c>
      <c r="M84" s="51"/>
      <c r="N84" s="52">
        <f>0.25*O84</f>
        <v>0.25</v>
      </c>
      <c r="O84" s="50">
        <v>1</v>
      </c>
      <c r="P84" s="53"/>
      <c r="Q84" s="53"/>
    </row>
    <row r="85" spans="1:17" x14ac:dyDescent="0.25">
      <c r="A85" s="1"/>
      <c r="B85" s="1"/>
      <c r="C85" s="3">
        <v>1</v>
      </c>
      <c r="D85" s="1"/>
      <c r="E85" s="1" t="s">
        <v>72</v>
      </c>
      <c r="F85" s="1"/>
      <c r="G85" s="1"/>
      <c r="H85" s="85">
        <v>17800</v>
      </c>
      <c r="I85" s="85"/>
      <c r="J85" s="85">
        <f t="shared" si="0"/>
        <v>17800</v>
      </c>
      <c r="K85" s="85"/>
      <c r="L85" s="51">
        <f>0.5*O85*N96</f>
        <v>0.5</v>
      </c>
      <c r="M85" s="51"/>
      <c r="N85" s="52">
        <f>1.37*O85</f>
        <v>1.37</v>
      </c>
      <c r="O85" s="50">
        <v>1</v>
      </c>
      <c r="P85" s="53"/>
      <c r="Q85" s="53"/>
    </row>
    <row r="86" spans="1:17" x14ac:dyDescent="0.25">
      <c r="B86" s="1"/>
      <c r="C86" s="3">
        <v>1</v>
      </c>
      <c r="E86" s="1" t="s">
        <v>73</v>
      </c>
      <c r="H86" s="85">
        <v>4500</v>
      </c>
      <c r="I86" s="85"/>
      <c r="J86" s="85">
        <f t="shared" si="0"/>
        <v>4500</v>
      </c>
      <c r="K86" s="85"/>
      <c r="L86" s="54">
        <f>0.1*O86*N96</f>
        <v>0.2</v>
      </c>
      <c r="M86" s="54"/>
      <c r="N86" s="52">
        <f>0.14*O86</f>
        <v>0.28000000000000003</v>
      </c>
      <c r="O86" s="50">
        <v>2</v>
      </c>
      <c r="P86" s="53"/>
      <c r="Q86" s="53"/>
    </row>
    <row r="87" spans="1:17" x14ac:dyDescent="0.25">
      <c r="B87" s="1"/>
      <c r="C87" s="3">
        <v>1</v>
      </c>
      <c r="E87" s="1" t="s">
        <v>74</v>
      </c>
      <c r="H87" s="85">
        <v>3600</v>
      </c>
      <c r="I87" s="85"/>
      <c r="J87" s="85">
        <f t="shared" si="0"/>
        <v>3600</v>
      </c>
      <c r="K87" s="85"/>
      <c r="L87" s="55">
        <f>0.45*O87*N96</f>
        <v>0.45</v>
      </c>
      <c r="M87" s="55"/>
      <c r="N87" s="56">
        <f>0.24*O87</f>
        <v>0.24</v>
      </c>
      <c r="O87" s="50">
        <v>1</v>
      </c>
      <c r="P87" s="53"/>
      <c r="Q87" s="53"/>
    </row>
    <row r="88" spans="1:17" x14ac:dyDescent="0.25">
      <c r="B88" s="1"/>
      <c r="C88" s="3">
        <v>1</v>
      </c>
      <c r="E88" s="1" t="s">
        <v>75</v>
      </c>
      <c r="H88" s="85">
        <v>137400</v>
      </c>
      <c r="I88" s="85"/>
      <c r="J88" s="85">
        <f t="shared" si="0"/>
        <v>137400</v>
      </c>
      <c r="K88" s="85"/>
      <c r="L88" s="55">
        <f>1.6*O88*N96</f>
        <v>1.6</v>
      </c>
      <c r="M88" s="55"/>
      <c r="N88" s="56">
        <f>7.8*O88</f>
        <v>7.8</v>
      </c>
      <c r="O88" s="50">
        <v>1</v>
      </c>
      <c r="P88" s="53"/>
      <c r="Q88" s="53"/>
    </row>
    <row r="89" spans="1:17" x14ac:dyDescent="0.25">
      <c r="B89" s="1"/>
      <c r="C89" s="3">
        <v>2</v>
      </c>
      <c r="E89" s="1" t="s">
        <v>76</v>
      </c>
      <c r="H89" s="85">
        <v>2500</v>
      </c>
      <c r="I89" s="85"/>
      <c r="J89" s="85">
        <f t="shared" si="0"/>
        <v>5000</v>
      </c>
      <c r="K89" s="85"/>
      <c r="L89" s="54">
        <f>0.6*O89*N96</f>
        <v>0.6</v>
      </c>
      <c r="M89" s="54"/>
      <c r="N89" s="57">
        <f>0.42*C89</f>
        <v>0.84</v>
      </c>
      <c r="O89" s="50">
        <v>1</v>
      </c>
      <c r="P89" s="1"/>
      <c r="Q89" s="53"/>
    </row>
    <row r="90" spans="1:17" x14ac:dyDescent="0.25">
      <c r="C90" s="3">
        <v>1</v>
      </c>
      <c r="E90" s="1" t="s">
        <v>77</v>
      </c>
      <c r="H90" s="85">
        <v>23200</v>
      </c>
      <c r="I90" s="85"/>
      <c r="J90" s="85">
        <f t="shared" si="0"/>
        <v>23200</v>
      </c>
      <c r="K90" s="85"/>
      <c r="L90" s="54">
        <v>0</v>
      </c>
      <c r="M90" s="54"/>
      <c r="N90" s="57">
        <f>1.94*O90</f>
        <v>1.94</v>
      </c>
      <c r="O90" s="50">
        <v>1</v>
      </c>
      <c r="P90" s="4"/>
      <c r="Q90" s="58"/>
    </row>
    <row r="91" spans="1:17" x14ac:dyDescent="0.25">
      <c r="C91" s="3">
        <v>1</v>
      </c>
      <c r="E91" s="1" t="s">
        <v>78</v>
      </c>
      <c r="H91" s="85">
        <v>27200</v>
      </c>
      <c r="I91" s="85"/>
      <c r="J91" s="85">
        <f t="shared" si="0"/>
        <v>27200</v>
      </c>
      <c r="K91" s="85"/>
      <c r="L91" s="54">
        <v>0</v>
      </c>
      <c r="M91" s="54"/>
      <c r="N91" s="57">
        <f>2.28*O91</f>
        <v>2.2799999999999998</v>
      </c>
      <c r="O91" s="50">
        <v>1</v>
      </c>
    </row>
    <row r="92" spans="1:17" x14ac:dyDescent="0.25">
      <c r="C92" s="3">
        <v>0</v>
      </c>
      <c r="E92" s="1" t="s">
        <v>79</v>
      </c>
      <c r="H92" s="84">
        <v>106600</v>
      </c>
      <c r="I92" s="84"/>
      <c r="J92" s="86">
        <f t="shared" si="0"/>
        <v>0</v>
      </c>
      <c r="K92" s="86"/>
      <c r="L92" s="59">
        <v>0</v>
      </c>
      <c r="M92" s="54"/>
      <c r="N92" s="60">
        <f>3.84*O92</f>
        <v>0</v>
      </c>
      <c r="O92" s="50">
        <v>0</v>
      </c>
    </row>
    <row r="93" spans="1:17" x14ac:dyDescent="0.25">
      <c r="C93" s="3">
        <v>1</v>
      </c>
      <c r="E93" s="1" t="s">
        <v>80</v>
      </c>
      <c r="F93" s="1"/>
      <c r="G93" s="1"/>
      <c r="H93" s="102">
        <v>12500</v>
      </c>
      <c r="I93" s="102"/>
      <c r="J93" s="87">
        <f>+H93*C93</f>
        <v>12500</v>
      </c>
      <c r="K93" s="87"/>
      <c r="L93" s="61">
        <f>0.1*O93*N96</f>
        <v>0.1</v>
      </c>
      <c r="M93" s="61"/>
      <c r="N93" s="62">
        <f>0.05*O93</f>
        <v>0.05</v>
      </c>
      <c r="O93" s="50">
        <v>1</v>
      </c>
    </row>
    <row r="94" spans="1:17" x14ac:dyDescent="0.25">
      <c r="H94" s="63"/>
      <c r="I94" s="64" t="s">
        <v>81</v>
      </c>
      <c r="J94" s="98">
        <f>SUM(J82:K93)</f>
        <v>254800</v>
      </c>
      <c r="K94" s="98"/>
      <c r="L94" s="54">
        <f>SUM(L82:L93)</f>
        <v>5.2799999999999994</v>
      </c>
      <c r="M94" s="54"/>
      <c r="N94" s="54">
        <f>SUM(N82:N93)</f>
        <v>15.649999999999999</v>
      </c>
      <c r="O94" s="50"/>
    </row>
    <row r="95" spans="1:17" x14ac:dyDescent="0.25">
      <c r="B95" s="1"/>
      <c r="C95" t="s">
        <v>82</v>
      </c>
      <c r="G95" s="65">
        <v>0.15</v>
      </c>
      <c r="L95" s="67"/>
      <c r="M95" s="67"/>
      <c r="N95" s="68"/>
    </row>
    <row r="96" spans="1:17" x14ac:dyDescent="0.25">
      <c r="B96" s="1"/>
      <c r="C96" t="s">
        <v>83</v>
      </c>
      <c r="G96" s="69">
        <f>+G95*J94</f>
        <v>38220</v>
      </c>
      <c r="K96" t="s">
        <v>84</v>
      </c>
      <c r="L96" s="68"/>
      <c r="M96" s="68"/>
      <c r="N96" s="70">
        <v>1</v>
      </c>
    </row>
    <row r="97" spans="1:17" x14ac:dyDescent="0.25">
      <c r="B97" s="1"/>
      <c r="C97" s="16" t="s">
        <v>85</v>
      </c>
      <c r="G97" s="71">
        <f>+G96/J8</f>
        <v>76.44</v>
      </c>
    </row>
    <row r="98" spans="1:17" x14ac:dyDescent="0.25">
      <c r="B98" s="1"/>
    </row>
    <row r="99" spans="1:17" x14ac:dyDescent="0.25">
      <c r="A99" s="100" t="s">
        <v>86</v>
      </c>
      <c r="B99" s="100"/>
      <c r="C99" s="100"/>
      <c r="D99" s="100"/>
      <c r="E99" s="100"/>
      <c r="F99" s="100"/>
      <c r="G99" s="100"/>
      <c r="H99" s="100"/>
      <c r="I99" s="100"/>
      <c r="J99" s="100"/>
      <c r="K99" s="100"/>
      <c r="L99" s="100"/>
      <c r="M99" s="100"/>
      <c r="N99" s="100"/>
      <c r="O99" s="45"/>
    </row>
    <row r="100" spans="1:17" ht="39.6" x14ac:dyDescent="0.25">
      <c r="A100" s="97" t="s">
        <v>62</v>
      </c>
      <c r="B100" s="97"/>
      <c r="C100" s="97"/>
      <c r="D100" s="97"/>
      <c r="E100" s="97" t="s">
        <v>63</v>
      </c>
      <c r="F100" s="97"/>
      <c r="G100" s="97"/>
      <c r="H100" s="101" t="s">
        <v>64</v>
      </c>
      <c r="I100" s="101"/>
      <c r="J100" s="94" t="s">
        <v>65</v>
      </c>
      <c r="K100" s="94"/>
      <c r="L100" s="72" t="s">
        <v>66</v>
      </c>
      <c r="M100" s="72"/>
      <c r="N100" s="46" t="s">
        <v>67</v>
      </c>
      <c r="O100" s="49" t="s">
        <v>68</v>
      </c>
    </row>
    <row r="101" spans="1:17" x14ac:dyDescent="0.25">
      <c r="A101" s="3"/>
      <c r="B101" s="3"/>
      <c r="C101" s="3">
        <v>1</v>
      </c>
      <c r="E101" s="44" t="s">
        <v>69</v>
      </c>
      <c r="F101" s="3"/>
      <c r="G101" s="3"/>
      <c r="H101" s="85">
        <v>9400</v>
      </c>
      <c r="I101" s="85"/>
      <c r="J101" s="85">
        <f>9400*C101</f>
        <v>9400</v>
      </c>
      <c r="K101" s="85"/>
      <c r="L101" s="47">
        <f t="shared" ref="L101:L112" si="1">+M101*O101*$N$115</f>
        <v>0.13</v>
      </c>
      <c r="M101" s="47">
        <v>0.13</v>
      </c>
      <c r="N101" s="48">
        <f>0.26*O101</f>
        <v>0.26</v>
      </c>
      <c r="O101" s="50">
        <v>1</v>
      </c>
      <c r="Q101" s="47"/>
    </row>
    <row r="102" spans="1:17" x14ac:dyDescent="0.25">
      <c r="A102" s="1"/>
      <c r="B102" s="1"/>
      <c r="C102" s="3">
        <v>1</v>
      </c>
      <c r="D102" s="1"/>
      <c r="E102" s="1" t="s">
        <v>87</v>
      </c>
      <c r="F102" s="1"/>
      <c r="G102" s="1"/>
      <c r="H102" s="85">
        <v>11700</v>
      </c>
      <c r="I102" s="85"/>
      <c r="J102" s="85">
        <f t="shared" ref="J102:J111" si="2">+C102*H102</f>
        <v>11700</v>
      </c>
      <c r="K102" s="85"/>
      <c r="L102" s="47">
        <f t="shared" si="1"/>
        <v>1.1000000000000001</v>
      </c>
      <c r="M102" s="51">
        <v>1.1000000000000001</v>
      </c>
      <c r="N102" s="52">
        <f>1.03*O102</f>
        <v>1.03</v>
      </c>
      <c r="O102" s="50">
        <v>1</v>
      </c>
      <c r="Q102" s="51"/>
    </row>
    <row r="103" spans="1:17" x14ac:dyDescent="0.25">
      <c r="A103" s="1"/>
      <c r="B103" s="1"/>
      <c r="C103" s="3">
        <v>1</v>
      </c>
      <c r="D103" s="1"/>
      <c r="E103" s="1" t="s">
        <v>88</v>
      </c>
      <c r="F103" s="1"/>
      <c r="G103" s="1"/>
      <c r="H103" s="85">
        <v>14200</v>
      </c>
      <c r="I103" s="85"/>
      <c r="J103" s="85">
        <f t="shared" si="2"/>
        <v>14200</v>
      </c>
      <c r="K103" s="85"/>
      <c r="L103" s="47">
        <f t="shared" si="1"/>
        <v>0.6</v>
      </c>
      <c r="M103" s="51">
        <v>0.6</v>
      </c>
      <c r="N103" s="52">
        <f>0.25*O103</f>
        <v>0.25</v>
      </c>
      <c r="O103" s="50">
        <v>1</v>
      </c>
      <c r="Q103" s="51"/>
    </row>
    <row r="104" spans="1:17" x14ac:dyDescent="0.25">
      <c r="A104" s="1"/>
      <c r="B104" s="1"/>
      <c r="C104" s="3">
        <v>1</v>
      </c>
      <c r="D104" s="1"/>
      <c r="E104" s="1" t="s">
        <v>89</v>
      </c>
      <c r="F104" s="1"/>
      <c r="G104" s="1"/>
      <c r="H104" s="85">
        <v>25500</v>
      </c>
      <c r="I104" s="85"/>
      <c r="J104" s="85">
        <f t="shared" si="2"/>
        <v>25500</v>
      </c>
      <c r="K104" s="85"/>
      <c r="L104" s="47">
        <f t="shared" si="1"/>
        <v>0.5</v>
      </c>
      <c r="M104" s="51">
        <v>0.5</v>
      </c>
      <c r="N104" s="52">
        <f>1.47*O104</f>
        <v>1.47</v>
      </c>
      <c r="O104" s="50">
        <v>1</v>
      </c>
      <c r="Q104" s="51"/>
    </row>
    <row r="105" spans="1:17" x14ac:dyDescent="0.25">
      <c r="B105" s="1"/>
      <c r="C105" s="3">
        <v>1</v>
      </c>
      <c r="E105" s="1" t="s">
        <v>90</v>
      </c>
      <c r="H105" s="85">
        <v>6000</v>
      </c>
      <c r="I105" s="85"/>
      <c r="J105" s="85">
        <f t="shared" si="2"/>
        <v>6000</v>
      </c>
      <c r="K105" s="85"/>
      <c r="L105" s="47">
        <f t="shared" si="1"/>
        <v>0.2</v>
      </c>
      <c r="M105" s="54">
        <v>0.1</v>
      </c>
      <c r="N105" s="52">
        <f>0.11*O105</f>
        <v>0.22</v>
      </c>
      <c r="O105" s="50">
        <v>2</v>
      </c>
      <c r="Q105" s="54"/>
    </row>
    <row r="106" spans="1:17" x14ac:dyDescent="0.25">
      <c r="B106" s="1"/>
      <c r="C106" s="3">
        <v>1</v>
      </c>
      <c r="E106" s="1" t="s">
        <v>91</v>
      </c>
      <c r="H106" s="85">
        <v>6100</v>
      </c>
      <c r="I106" s="85"/>
      <c r="J106" s="85">
        <f t="shared" si="2"/>
        <v>6100</v>
      </c>
      <c r="K106" s="85"/>
      <c r="L106" s="47">
        <f t="shared" si="1"/>
        <v>0.45</v>
      </c>
      <c r="M106" s="55">
        <v>0.45</v>
      </c>
      <c r="N106" s="56">
        <f>0.25*O106</f>
        <v>0.25</v>
      </c>
      <c r="O106" s="50">
        <v>1</v>
      </c>
      <c r="Q106" s="55"/>
    </row>
    <row r="107" spans="1:17" x14ac:dyDescent="0.25">
      <c r="B107" s="1"/>
      <c r="C107" s="3">
        <v>1</v>
      </c>
      <c r="E107" s="1" t="s">
        <v>92</v>
      </c>
      <c r="H107" s="85">
        <v>157100</v>
      </c>
      <c r="I107" s="85"/>
      <c r="J107" s="85">
        <f t="shared" si="2"/>
        <v>157100</v>
      </c>
      <c r="K107" s="85"/>
      <c r="L107" s="47">
        <f t="shared" si="1"/>
        <v>1.6</v>
      </c>
      <c r="M107" s="55">
        <v>1.6</v>
      </c>
      <c r="N107" s="56">
        <f>4.13*O107</f>
        <v>4.13</v>
      </c>
      <c r="O107" s="50">
        <v>1</v>
      </c>
      <c r="Q107" s="55"/>
    </row>
    <row r="108" spans="1:17" x14ac:dyDescent="0.25">
      <c r="B108" s="1"/>
      <c r="C108" s="3">
        <v>2</v>
      </c>
      <c r="E108" s="1" t="s">
        <v>93</v>
      </c>
      <c r="H108" s="85">
        <v>4000</v>
      </c>
      <c r="I108" s="85"/>
      <c r="J108" s="85">
        <f t="shared" si="2"/>
        <v>8000</v>
      </c>
      <c r="K108" s="85"/>
      <c r="L108" s="47">
        <f t="shared" si="1"/>
        <v>0.6</v>
      </c>
      <c r="M108" s="54">
        <v>0.6</v>
      </c>
      <c r="N108" s="57">
        <f>0.21*C108</f>
        <v>0.42</v>
      </c>
      <c r="O108" s="50">
        <v>1</v>
      </c>
      <c r="Q108" s="54"/>
    </row>
    <row r="109" spans="1:17" x14ac:dyDescent="0.25">
      <c r="C109" s="3">
        <v>0</v>
      </c>
      <c r="E109" s="1" t="s">
        <v>77</v>
      </c>
      <c r="H109" s="85">
        <v>23200</v>
      </c>
      <c r="I109" s="85"/>
      <c r="J109" s="85">
        <f t="shared" si="2"/>
        <v>0</v>
      </c>
      <c r="K109" s="85"/>
      <c r="L109" s="47">
        <f t="shared" si="1"/>
        <v>0</v>
      </c>
      <c r="M109" s="54"/>
      <c r="N109" s="57">
        <f>1.94*O109</f>
        <v>0</v>
      </c>
      <c r="O109" s="50">
        <v>0</v>
      </c>
      <c r="Q109" s="54"/>
    </row>
    <row r="110" spans="1:17" x14ac:dyDescent="0.25">
      <c r="C110" s="3">
        <v>1</v>
      </c>
      <c r="E110" s="1" t="s">
        <v>78</v>
      </c>
      <c r="H110" s="85">
        <v>27200</v>
      </c>
      <c r="I110" s="85"/>
      <c r="J110" s="85">
        <f t="shared" si="2"/>
        <v>27200</v>
      </c>
      <c r="K110" s="85"/>
      <c r="L110" s="47">
        <f t="shared" si="1"/>
        <v>0</v>
      </c>
      <c r="M110" s="54"/>
      <c r="N110" s="57">
        <f>1.14*O110</f>
        <v>1.1399999999999999</v>
      </c>
      <c r="O110" s="50">
        <v>1</v>
      </c>
      <c r="P110" s="83"/>
      <c r="Q110" s="59"/>
    </row>
    <row r="111" spans="1:17" x14ac:dyDescent="0.25">
      <c r="C111" s="3">
        <v>1</v>
      </c>
      <c r="E111" s="1" t="s">
        <v>79</v>
      </c>
      <c r="H111" s="84">
        <v>91400</v>
      </c>
      <c r="I111" s="84"/>
      <c r="J111" s="86">
        <f t="shared" si="2"/>
        <v>91400</v>
      </c>
      <c r="K111" s="86"/>
      <c r="L111" s="47">
        <f t="shared" si="1"/>
        <v>0</v>
      </c>
      <c r="M111" s="59"/>
      <c r="N111" s="60">
        <f>3.84*O111</f>
        <v>3.84</v>
      </c>
      <c r="O111" s="50">
        <v>1</v>
      </c>
      <c r="P111" s="83"/>
      <c r="Q111" s="59"/>
    </row>
    <row r="112" spans="1:17" x14ac:dyDescent="0.25">
      <c r="C112" s="3">
        <v>1</v>
      </c>
      <c r="E112" s="1" t="s">
        <v>80</v>
      </c>
      <c r="F112" s="1"/>
      <c r="G112" s="1"/>
      <c r="H112" s="97">
        <v>12500</v>
      </c>
      <c r="I112" s="97"/>
      <c r="J112" s="87">
        <f>+H112*C112</f>
        <v>12500</v>
      </c>
      <c r="K112" s="87"/>
      <c r="L112" s="73">
        <f t="shared" si="1"/>
        <v>0.1</v>
      </c>
      <c r="M112" s="61">
        <v>0.1</v>
      </c>
      <c r="N112" s="62">
        <f>0.05*O112</f>
        <v>0.05</v>
      </c>
      <c r="O112" s="50">
        <v>1</v>
      </c>
      <c r="P112" s="83"/>
      <c r="Q112" s="59"/>
    </row>
    <row r="113" spans="1:17" x14ac:dyDescent="0.25">
      <c r="H113" s="74"/>
      <c r="I113" s="64" t="s">
        <v>81</v>
      </c>
      <c r="J113" s="84">
        <f>SUM(J101:K112)</f>
        <v>369100</v>
      </c>
      <c r="K113" s="84"/>
      <c r="L113" s="54">
        <f>SUM(L101:L112)</f>
        <v>5.2799999999999994</v>
      </c>
      <c r="M113" s="54">
        <f>SUM(M102:M111)</f>
        <v>4.95</v>
      </c>
      <c r="N113" s="54">
        <f>SUM(N101:N112)</f>
        <v>13.06</v>
      </c>
      <c r="O113" s="50"/>
      <c r="P113" s="83"/>
      <c r="Q113" s="83"/>
    </row>
    <row r="114" spans="1:17" x14ac:dyDescent="0.25">
      <c r="B114" s="1"/>
      <c r="C114" t="s">
        <v>82</v>
      </c>
      <c r="G114" s="65">
        <v>0.15</v>
      </c>
      <c r="L114" s="67"/>
      <c r="M114" s="67"/>
      <c r="N114" s="68"/>
    </row>
    <row r="115" spans="1:17" x14ac:dyDescent="0.25">
      <c r="B115" s="1"/>
      <c r="C115" t="s">
        <v>83</v>
      </c>
      <c r="G115" s="75">
        <f>+G114*J113</f>
        <v>55365</v>
      </c>
      <c r="K115" t="s">
        <v>84</v>
      </c>
      <c r="L115" s="68"/>
      <c r="M115" s="68"/>
      <c r="N115" s="70">
        <v>1</v>
      </c>
    </row>
    <row r="116" spans="1:17" x14ac:dyDescent="0.25">
      <c r="B116" s="1"/>
      <c r="C116" s="16" t="s">
        <v>85</v>
      </c>
      <c r="D116" s="16"/>
      <c r="E116" s="16"/>
      <c r="F116" s="16"/>
      <c r="G116" s="76">
        <f>+G115/K8</f>
        <v>55.365000000000002</v>
      </c>
    </row>
    <row r="118" spans="1:17" x14ac:dyDescent="0.25">
      <c r="A118" s="100" t="s">
        <v>94</v>
      </c>
      <c r="B118" s="100"/>
      <c r="C118" s="100"/>
      <c r="D118" s="100"/>
      <c r="E118" s="100"/>
      <c r="F118" s="100"/>
      <c r="G118" s="100"/>
      <c r="H118" s="100"/>
      <c r="I118" s="100"/>
      <c r="J118" s="100"/>
      <c r="K118" s="100"/>
      <c r="L118" s="100"/>
      <c r="M118" s="100"/>
      <c r="N118" s="100"/>
      <c r="O118" s="45"/>
    </row>
    <row r="119" spans="1:17" ht="39.6" x14ac:dyDescent="0.25">
      <c r="A119" s="97" t="s">
        <v>62</v>
      </c>
      <c r="B119" s="97"/>
      <c r="C119" s="97"/>
      <c r="D119" s="97"/>
      <c r="E119" s="97" t="s">
        <v>63</v>
      </c>
      <c r="F119" s="97"/>
      <c r="G119" s="97"/>
      <c r="H119" s="96" t="s">
        <v>64</v>
      </c>
      <c r="I119" s="96"/>
      <c r="J119" s="94" t="s">
        <v>65</v>
      </c>
      <c r="K119" s="94"/>
      <c r="L119" s="72" t="s">
        <v>66</v>
      </c>
      <c r="M119" s="72"/>
      <c r="N119" s="46" t="s">
        <v>67</v>
      </c>
      <c r="O119" s="49" t="s">
        <v>68</v>
      </c>
    </row>
    <row r="120" spans="1:17" x14ac:dyDescent="0.25">
      <c r="A120" s="3"/>
      <c r="B120" s="3"/>
      <c r="C120" s="3">
        <v>1</v>
      </c>
      <c r="E120" s="44" t="s">
        <v>69</v>
      </c>
      <c r="F120" s="3"/>
      <c r="G120" s="3"/>
      <c r="H120" s="85">
        <v>9400</v>
      </c>
      <c r="I120" s="85"/>
      <c r="J120" s="85">
        <v>9400</v>
      </c>
      <c r="K120" s="85"/>
      <c r="L120" s="77">
        <f t="shared" ref="L120:L131" si="3">+M120*O120*$N$134</f>
        <v>0.13</v>
      </c>
      <c r="M120" s="47">
        <v>0.13</v>
      </c>
      <c r="N120" s="48">
        <f>0.26*O120</f>
        <v>0.26</v>
      </c>
      <c r="O120" s="50">
        <v>1</v>
      </c>
    </row>
    <row r="121" spans="1:17" x14ac:dyDescent="0.25">
      <c r="A121" s="1"/>
      <c r="B121" s="1"/>
      <c r="C121" s="3">
        <v>1</v>
      </c>
      <c r="D121" s="1"/>
      <c r="E121" s="1" t="s">
        <v>95</v>
      </c>
      <c r="F121" s="1"/>
      <c r="G121" s="1"/>
      <c r="H121" s="85">
        <v>18600</v>
      </c>
      <c r="I121" s="85"/>
      <c r="J121" s="85">
        <f t="shared" ref="J121:J130" si="4">+C121*H121</f>
        <v>18600</v>
      </c>
      <c r="K121" s="85"/>
      <c r="L121" s="77">
        <f t="shared" si="3"/>
        <v>1.1000000000000001</v>
      </c>
      <c r="M121" s="51">
        <v>1.1000000000000001</v>
      </c>
      <c r="N121" s="52">
        <f>0.44*O121</f>
        <v>0.44</v>
      </c>
      <c r="O121" s="50">
        <v>1</v>
      </c>
      <c r="P121" s="53"/>
      <c r="Q121" s="53"/>
    </row>
    <row r="122" spans="1:17" x14ac:dyDescent="0.25">
      <c r="A122" s="1"/>
      <c r="B122" s="1"/>
      <c r="C122" s="3">
        <v>1</v>
      </c>
      <c r="D122" s="1"/>
      <c r="E122" s="1" t="s">
        <v>96</v>
      </c>
      <c r="F122" s="1"/>
      <c r="G122" s="1"/>
      <c r="H122" s="85">
        <v>14700</v>
      </c>
      <c r="I122" s="85"/>
      <c r="J122" s="85">
        <f t="shared" si="4"/>
        <v>14700</v>
      </c>
      <c r="K122" s="85"/>
      <c r="L122" s="77">
        <f t="shared" si="3"/>
        <v>0.6</v>
      </c>
      <c r="M122" s="51">
        <v>0.6</v>
      </c>
      <c r="N122" s="52">
        <f>0.18*O122</f>
        <v>0.18</v>
      </c>
      <c r="O122" s="50">
        <v>1</v>
      </c>
      <c r="P122" s="53"/>
      <c r="Q122" s="53"/>
    </row>
    <row r="123" spans="1:17" x14ac:dyDescent="0.25">
      <c r="A123" s="1"/>
      <c r="B123" s="1"/>
      <c r="C123" s="3">
        <v>1</v>
      </c>
      <c r="D123" s="1"/>
      <c r="E123" s="1" t="s">
        <v>97</v>
      </c>
      <c r="F123" s="1"/>
      <c r="G123" s="1"/>
      <c r="H123" s="85">
        <v>38700</v>
      </c>
      <c r="I123" s="85"/>
      <c r="J123" s="85">
        <f t="shared" si="4"/>
        <v>38700</v>
      </c>
      <c r="K123" s="85"/>
      <c r="L123" s="77">
        <f t="shared" si="3"/>
        <v>0.5</v>
      </c>
      <c r="M123" s="51">
        <v>0.5</v>
      </c>
      <c r="N123" s="52">
        <f>2.23*O123</f>
        <v>2.23</v>
      </c>
      <c r="O123" s="50">
        <v>1</v>
      </c>
      <c r="P123" s="53"/>
      <c r="Q123" s="53"/>
    </row>
    <row r="124" spans="1:17" x14ac:dyDescent="0.25">
      <c r="B124" s="1"/>
      <c r="C124" s="3">
        <v>1</v>
      </c>
      <c r="E124" s="1" t="s">
        <v>90</v>
      </c>
      <c r="H124" s="85">
        <v>6000</v>
      </c>
      <c r="I124" s="85"/>
      <c r="J124" s="85">
        <f t="shared" si="4"/>
        <v>6000</v>
      </c>
      <c r="K124" s="85"/>
      <c r="L124" s="77">
        <f t="shared" si="3"/>
        <v>0.2</v>
      </c>
      <c r="M124" s="54">
        <v>0.1</v>
      </c>
      <c r="N124" s="52">
        <f>0.11*O124</f>
        <v>0.22</v>
      </c>
      <c r="O124" s="50">
        <v>2</v>
      </c>
      <c r="P124" s="53"/>
      <c r="Q124" s="53"/>
    </row>
    <row r="125" spans="1:17" x14ac:dyDescent="0.25">
      <c r="B125" s="1"/>
      <c r="C125" s="3">
        <v>1</v>
      </c>
      <c r="E125" s="1" t="s">
        <v>98</v>
      </c>
      <c r="H125" s="85">
        <v>12000</v>
      </c>
      <c r="I125" s="85"/>
      <c r="J125" s="85">
        <f t="shared" si="4"/>
        <v>12000</v>
      </c>
      <c r="K125" s="85"/>
      <c r="L125" s="77">
        <f t="shared" si="3"/>
        <v>0.45</v>
      </c>
      <c r="M125" s="55">
        <v>0.45</v>
      </c>
      <c r="N125" s="56">
        <f>0.23*O125</f>
        <v>0.23</v>
      </c>
      <c r="O125" s="50">
        <v>1</v>
      </c>
      <c r="P125" s="53"/>
      <c r="Q125" s="53"/>
    </row>
    <row r="126" spans="1:17" x14ac:dyDescent="0.25">
      <c r="B126" s="1"/>
      <c r="C126" s="3">
        <v>1</v>
      </c>
      <c r="E126" s="1" t="s">
        <v>99</v>
      </c>
      <c r="H126" s="85">
        <v>199500</v>
      </c>
      <c r="I126" s="85"/>
      <c r="J126" s="85">
        <f t="shared" si="4"/>
        <v>199500</v>
      </c>
      <c r="K126" s="85"/>
      <c r="L126" s="77">
        <f t="shared" si="3"/>
        <v>1.6</v>
      </c>
      <c r="M126" s="55">
        <v>1.6</v>
      </c>
      <c r="N126" s="56">
        <f>3.77*O126</f>
        <v>3.77</v>
      </c>
      <c r="O126" s="50">
        <v>1</v>
      </c>
      <c r="P126" s="53"/>
      <c r="Q126" s="53"/>
    </row>
    <row r="127" spans="1:17" x14ac:dyDescent="0.25">
      <c r="B127" s="1"/>
      <c r="C127" s="3">
        <v>4</v>
      </c>
      <c r="E127" s="1" t="s">
        <v>93</v>
      </c>
      <c r="H127" s="85">
        <v>4000</v>
      </c>
      <c r="I127" s="85"/>
      <c r="J127" s="85">
        <f t="shared" si="4"/>
        <v>16000</v>
      </c>
      <c r="K127" s="85"/>
      <c r="L127" s="77">
        <f t="shared" si="3"/>
        <v>0.6</v>
      </c>
      <c r="M127" s="54">
        <v>0.6</v>
      </c>
      <c r="N127" s="57">
        <f>0.21*C127</f>
        <v>0.84</v>
      </c>
      <c r="O127" s="50">
        <v>1</v>
      </c>
      <c r="P127" s="1"/>
      <c r="Q127" s="53"/>
    </row>
    <row r="128" spans="1:17" x14ac:dyDescent="0.25">
      <c r="C128" s="3">
        <v>1</v>
      </c>
      <c r="E128" s="1" t="s">
        <v>77</v>
      </c>
      <c r="H128" s="85">
        <v>23200</v>
      </c>
      <c r="I128" s="85"/>
      <c r="J128" s="85">
        <f t="shared" si="4"/>
        <v>23200</v>
      </c>
      <c r="K128" s="85"/>
      <c r="L128" s="77">
        <f t="shared" si="3"/>
        <v>0</v>
      </c>
      <c r="M128" s="54"/>
      <c r="N128" s="57">
        <f>0.49*O128</f>
        <v>0.49</v>
      </c>
      <c r="O128" s="50">
        <v>1</v>
      </c>
      <c r="P128" s="1"/>
      <c r="Q128" s="53"/>
    </row>
    <row r="129" spans="2:17" x14ac:dyDescent="0.25">
      <c r="C129" s="3">
        <v>2</v>
      </c>
      <c r="E129" s="1" t="s">
        <v>78</v>
      </c>
      <c r="H129" s="85">
        <v>27200</v>
      </c>
      <c r="I129" s="85"/>
      <c r="J129" s="85">
        <f t="shared" si="4"/>
        <v>54400</v>
      </c>
      <c r="K129" s="85"/>
      <c r="L129" s="77">
        <f t="shared" si="3"/>
        <v>0</v>
      </c>
      <c r="M129" s="54"/>
      <c r="N129" s="57">
        <f>1.2*C129</f>
        <v>2.4</v>
      </c>
      <c r="O129" s="50">
        <v>1</v>
      </c>
      <c r="P129" s="4"/>
      <c r="Q129" s="58"/>
    </row>
    <row r="130" spans="2:17" x14ac:dyDescent="0.25">
      <c r="C130" s="3">
        <v>1</v>
      </c>
      <c r="E130" s="1" t="s">
        <v>79</v>
      </c>
      <c r="H130" s="84">
        <v>106600</v>
      </c>
      <c r="I130" s="84"/>
      <c r="J130" s="86">
        <f t="shared" si="4"/>
        <v>106600</v>
      </c>
      <c r="K130" s="86"/>
      <c r="L130" s="78">
        <f t="shared" si="3"/>
        <v>0</v>
      </c>
      <c r="M130" s="59"/>
      <c r="N130" s="60">
        <f>2.24*O130</f>
        <v>2.2400000000000002</v>
      </c>
      <c r="O130" s="50">
        <v>1</v>
      </c>
    </row>
    <row r="131" spans="2:17" x14ac:dyDescent="0.25">
      <c r="C131" s="3">
        <v>1</v>
      </c>
      <c r="E131" s="1" t="s">
        <v>80</v>
      </c>
      <c r="F131" s="1"/>
      <c r="G131" s="1"/>
      <c r="H131" s="85">
        <v>12500</v>
      </c>
      <c r="I131" s="85"/>
      <c r="J131" s="87">
        <f>+H131*C131</f>
        <v>12500</v>
      </c>
      <c r="K131" s="87"/>
      <c r="L131" s="79">
        <f t="shared" si="3"/>
        <v>0.1</v>
      </c>
      <c r="M131" s="61">
        <v>0.1</v>
      </c>
      <c r="N131" s="62">
        <f>0.05*O131</f>
        <v>0.05</v>
      </c>
      <c r="O131" s="50">
        <v>1</v>
      </c>
    </row>
    <row r="132" spans="2:17" x14ac:dyDescent="0.25">
      <c r="H132" s="74"/>
      <c r="I132" s="80" t="s">
        <v>81</v>
      </c>
      <c r="J132" s="84">
        <f>SUM(J120:K131)</f>
        <v>511600</v>
      </c>
      <c r="K132" s="84"/>
      <c r="L132" s="54">
        <f>SUM(L120:L131)</f>
        <v>5.2799999999999994</v>
      </c>
      <c r="M132" s="54" t="e">
        <f>SUM(#REF!)</f>
        <v>#REF!</v>
      </c>
      <c r="N132" s="54">
        <f>SUM(N120:N131)</f>
        <v>13.350000000000001</v>
      </c>
      <c r="O132" s="50"/>
    </row>
    <row r="133" spans="2:17" x14ac:dyDescent="0.25">
      <c r="B133" s="1"/>
      <c r="C133" t="s">
        <v>82</v>
      </c>
      <c r="G133" s="65">
        <v>0.15</v>
      </c>
      <c r="J133" s="81"/>
      <c r="K133" s="81"/>
      <c r="L133" s="67"/>
      <c r="M133" s="67"/>
      <c r="N133" s="68"/>
    </row>
    <row r="134" spans="2:17" x14ac:dyDescent="0.25">
      <c r="B134" s="1"/>
      <c r="C134" t="s">
        <v>83</v>
      </c>
      <c r="G134" s="69">
        <f>+G133*J132</f>
        <v>76740</v>
      </c>
      <c r="K134" t="s">
        <v>84</v>
      </c>
      <c r="L134"/>
      <c r="M134"/>
      <c r="N134" s="82">
        <v>1</v>
      </c>
    </row>
    <row r="135" spans="2:17" x14ac:dyDescent="0.25">
      <c r="B135" s="1"/>
      <c r="C135" s="16" t="s">
        <v>85</v>
      </c>
      <c r="D135" s="16"/>
      <c r="E135" s="16"/>
      <c r="F135" s="16"/>
      <c r="G135" s="71">
        <f>+G134/L8</f>
        <v>38.369999999999997</v>
      </c>
    </row>
  </sheetData>
  <mergeCells count="109">
    <mergeCell ref="H131:I131"/>
    <mergeCell ref="J131:K131"/>
    <mergeCell ref="H93:I93"/>
    <mergeCell ref="J93:K93"/>
    <mergeCell ref="H120:I120"/>
    <mergeCell ref="H121:I121"/>
    <mergeCell ref="J100:K100"/>
    <mergeCell ref="H101:I101"/>
    <mergeCell ref="H102:I102"/>
    <mergeCell ref="J113:K113"/>
    <mergeCell ref="E1:L1"/>
    <mergeCell ref="A80:N80"/>
    <mergeCell ref="A99:N99"/>
    <mergeCell ref="A100:D100"/>
    <mergeCell ref="E100:G100"/>
    <mergeCell ref="H100:I100"/>
    <mergeCell ref="A81:D81"/>
    <mergeCell ref="H82:I82"/>
    <mergeCell ref="B51:N51"/>
    <mergeCell ref="B73:N73"/>
    <mergeCell ref="H84:I84"/>
    <mergeCell ref="H85:I85"/>
    <mergeCell ref="H86:I86"/>
    <mergeCell ref="H87:I87"/>
    <mergeCell ref="H112:I112"/>
    <mergeCell ref="H88:I88"/>
    <mergeCell ref="H89:I89"/>
    <mergeCell ref="H90:I90"/>
    <mergeCell ref="H91:I91"/>
    <mergeCell ref="H92:I92"/>
    <mergeCell ref="J88:K88"/>
    <mergeCell ref="A118:N118"/>
    <mergeCell ref="A119:D119"/>
    <mergeCell ref="E119:G119"/>
    <mergeCell ref="H119:I119"/>
    <mergeCell ref="J119:K119"/>
    <mergeCell ref="H107:I107"/>
    <mergeCell ref="H108:I108"/>
    <mergeCell ref="H104:I104"/>
    <mergeCell ref="J6:L6"/>
    <mergeCell ref="J83:K83"/>
    <mergeCell ref="J84:K84"/>
    <mergeCell ref="J85:K85"/>
    <mergeCell ref="J86:K86"/>
    <mergeCell ref="J87:K87"/>
    <mergeCell ref="F6:G6"/>
    <mergeCell ref="H6:I6"/>
    <mergeCell ref="B49:N49"/>
    <mergeCell ref="J81:K81"/>
    <mergeCell ref="B57:N57"/>
    <mergeCell ref="B75:N75"/>
    <mergeCell ref="B77:N77"/>
    <mergeCell ref="B69:N69"/>
    <mergeCell ref="H81:I81"/>
    <mergeCell ref="E81:G81"/>
    <mergeCell ref="E2:L2"/>
    <mergeCell ref="E4:L4"/>
    <mergeCell ref="E3:L3"/>
    <mergeCell ref="H83:I83"/>
    <mergeCell ref="J82:K82"/>
    <mergeCell ref="H7:I7"/>
    <mergeCell ref="A47:N47"/>
    <mergeCell ref="A79:N79"/>
    <mergeCell ref="B71:N71"/>
    <mergeCell ref="B55:N55"/>
    <mergeCell ref="H109:I109"/>
    <mergeCell ref="J104:K104"/>
    <mergeCell ref="J105:K105"/>
    <mergeCell ref="J106:K106"/>
    <mergeCell ref="J107:K107"/>
    <mergeCell ref="H105:I105"/>
    <mergeCell ref="H106:I106"/>
    <mergeCell ref="J108:K108"/>
    <mergeCell ref="J101:K101"/>
    <mergeCell ref="J102:K102"/>
    <mergeCell ref="J103:K103"/>
    <mergeCell ref="H103:I103"/>
    <mergeCell ref="J89:K89"/>
    <mergeCell ref="J90:K90"/>
    <mergeCell ref="J91:K91"/>
    <mergeCell ref="J92:K92"/>
    <mergeCell ref="J94:K94"/>
    <mergeCell ref="J109:K109"/>
    <mergeCell ref="J110:K110"/>
    <mergeCell ref="J111:K111"/>
    <mergeCell ref="H122:I122"/>
    <mergeCell ref="J120:K120"/>
    <mergeCell ref="J121:K121"/>
    <mergeCell ref="J122:K122"/>
    <mergeCell ref="H111:I111"/>
    <mergeCell ref="H110:I110"/>
    <mergeCell ref="J112:K112"/>
    <mergeCell ref="H127:I127"/>
    <mergeCell ref="H128:I128"/>
    <mergeCell ref="H129:I129"/>
    <mergeCell ref="H130:I130"/>
    <mergeCell ref="H123:I123"/>
    <mergeCell ref="H124:I124"/>
    <mergeCell ref="H125:I125"/>
    <mergeCell ref="H126:I126"/>
    <mergeCell ref="J132:K132"/>
    <mergeCell ref="J127:K127"/>
    <mergeCell ref="J128:K128"/>
    <mergeCell ref="J129:K129"/>
    <mergeCell ref="J130:K130"/>
    <mergeCell ref="J123:K123"/>
    <mergeCell ref="J124:K124"/>
    <mergeCell ref="J125:K125"/>
    <mergeCell ref="J126:K126"/>
  </mergeCells>
  <phoneticPr fontId="0" type="noConversion"/>
  <printOptions horizontalCentered="1"/>
  <pageMargins left="0.5" right="0.5" top="0.5" bottom="0.5" header="0.5" footer="0.5"/>
  <pageSetup scale="91" orientation="portrait" horizontalDpi="300" verticalDpi="300" r:id="rId1"/>
  <headerFooter alignWithMargins="0"/>
  <rowBreaks count="2" manualBreakCount="2">
    <brk id="47" max="14" man="1"/>
    <brk id="78"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corn-size-con</vt:lpstr>
      <vt:lpstr>'corn-size-con'!Print_Area</vt:lpstr>
    </vt:vector>
  </TitlesOfParts>
  <Company>The Ohio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Moore</dc:creator>
  <cp:lastModifiedBy>Aniket Gupta</cp:lastModifiedBy>
  <dcterms:created xsi:type="dcterms:W3CDTF">2001-01-25T18:24:53Z</dcterms:created>
  <dcterms:modified xsi:type="dcterms:W3CDTF">2024-02-03T22:29:32Z</dcterms:modified>
</cp:coreProperties>
</file>