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omments2.xml" ContentType="application/vnd.openxmlformats-officedocument.spreadsheetml.comments+xml"/>
  <Override PartName="/xl/drawings/drawing3.xml" ContentType="application/vnd.openxmlformats-officedocument.drawing+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omments3.xml" ContentType="application/vnd.openxmlformats-officedocument.spreadsheetml.comments+xml"/>
  <Override PartName="/xl/drawings/drawing4.xml" ContentType="application/vnd.openxmlformats-officedocument.drawing+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omments4.xml" ContentType="application/vnd.openxmlformats-officedocument.spreadsheetml.comments+xml"/>
  <Override PartName="/xl/drawings/drawing5.xml" ContentType="application/vnd.openxmlformats-officedocument.drawing+xml"/>
  <Override PartName="/xl/ctrlProps/ctrlProp89.xml" ContentType="application/vnd.ms-excel.controlproperties+xml"/>
  <Override PartName="/xl/comments5.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trlProps/ctrlProp90.xml" ContentType="application/vnd.ms-excel.controlproperties+xml"/>
  <Override PartName="/xl/ctrlProps/ctrlProp91.xml" ContentType="application/vnd.ms-excel.controlproperties+xml"/>
  <Override PartName="/xl/drawings/drawing8.xml" ContentType="application/vnd.openxmlformats-officedocument.drawing+xml"/>
  <Override PartName="/xl/comments6.xml" ContentType="application/vnd.openxmlformats-officedocument.spreadsheetml.comments+xml"/>
  <Override PartName="/xl/drawings/drawing9.xml" ContentType="application/vnd.openxmlformats-officedocument.drawing+xml"/>
  <Override PartName="/xl/drawings/drawing10.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codeName="ThisWorkbook"/>
  <mc:AlternateContent xmlns:mc="http://schemas.openxmlformats.org/markup-compatibility/2006">
    <mc:Choice Requires="x15">
      <x15ac:absPath xmlns:x15ac="http://schemas.microsoft.com/office/spreadsheetml/2010/11/ac" url="C:\Users\anike\OneDrive\Documents\UCSD\ERSP\Script\spreadsheets\inventory\original\"/>
    </mc:Choice>
  </mc:AlternateContent>
  <xr:revisionPtr revIDLastSave="0" documentId="8_{F2F2B77F-DFF3-4FBC-A772-2538F6BA6358}" xr6:coauthVersionLast="47" xr6:coauthVersionMax="47" xr10:uidLastSave="{00000000-0000-0000-0000-000000000000}"/>
  <bookViews>
    <workbookView xWindow="3348" yWindow="3348" windowWidth="17280" windowHeight="8880" tabRatio="775"/>
  </bookViews>
  <sheets>
    <sheet name="About" sheetId="14" r:id="rId1"/>
    <sheet name="Activity A" sheetId="4" r:id="rId2"/>
    <sheet name="Activity B" sheetId="8" r:id="rId3"/>
    <sheet name="Activity C" sheetId="12" r:id="rId4"/>
    <sheet name="Activity D" sheetId="13" r:id="rId5"/>
    <sheet name="KPI" sheetId="9" r:id="rId6"/>
    <sheet name="Summary" sheetId="5" r:id="rId7"/>
    <sheet name="cfg" sheetId="10" r:id="rId8"/>
    <sheet name="factors" sheetId="2" r:id="rId9"/>
    <sheet name="Wrkb" sheetId="7" r:id="rId10"/>
    <sheet name="Units" sheetId="6"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 i="4" l="1"/>
  <c r="E9" i="4"/>
  <c r="E10" i="4"/>
  <c r="K10" i="4"/>
  <c r="E12" i="4"/>
  <c r="K12" i="4"/>
  <c r="E13" i="4"/>
  <c r="K13" i="4"/>
  <c r="E14" i="4"/>
  <c r="K14" i="4"/>
  <c r="E15" i="4"/>
  <c r="K15" i="4"/>
  <c r="E16" i="4"/>
  <c r="K16" i="4"/>
  <c r="E17" i="4"/>
  <c r="K17" i="4"/>
  <c r="E18" i="4"/>
  <c r="K18" i="4"/>
  <c r="E19" i="4"/>
  <c r="K19" i="4"/>
  <c r="E21" i="4"/>
  <c r="E22" i="4"/>
  <c r="E23" i="4"/>
  <c r="E24" i="4"/>
  <c r="E25" i="4"/>
  <c r="E26" i="4"/>
  <c r="E27" i="4"/>
  <c r="E28" i="4"/>
  <c r="G28" i="4"/>
  <c r="E30" i="4"/>
  <c r="E31" i="4"/>
  <c r="E33" i="4"/>
  <c r="E34" i="4"/>
  <c r="E35" i="4"/>
  <c r="J40" i="4"/>
  <c r="E8" i="8"/>
  <c r="E9" i="8"/>
  <c r="E10" i="8"/>
  <c r="K10" i="8"/>
  <c r="E12" i="8"/>
  <c r="K12" i="8"/>
  <c r="E13" i="8"/>
  <c r="K13" i="8"/>
  <c r="E14" i="8"/>
  <c r="K14" i="8"/>
  <c r="E15" i="8"/>
  <c r="K15" i="8"/>
  <c r="E16" i="8"/>
  <c r="K16" i="8"/>
  <c r="E17" i="8"/>
  <c r="K17" i="8"/>
  <c r="E18" i="8"/>
  <c r="K18" i="8"/>
  <c r="E19" i="8"/>
  <c r="K19" i="8"/>
  <c r="E21" i="8"/>
  <c r="E22" i="8"/>
  <c r="E23" i="8"/>
  <c r="E24" i="8"/>
  <c r="E25" i="8"/>
  <c r="E26" i="8"/>
  <c r="E27" i="8"/>
  <c r="E28" i="8"/>
  <c r="C27" i="5" s="1"/>
  <c r="G28" i="8"/>
  <c r="E30" i="8"/>
  <c r="E31" i="8"/>
  <c r="E33" i="8"/>
  <c r="E34" i="8"/>
  <c r="E35" i="8"/>
  <c r="J40" i="8"/>
  <c r="E8" i="12"/>
  <c r="E9" i="12"/>
  <c r="E10" i="12"/>
  <c r="K10" i="12"/>
  <c r="E12" i="12"/>
  <c r="K12" i="12"/>
  <c r="E13" i="12"/>
  <c r="K13" i="12"/>
  <c r="E14" i="12"/>
  <c r="K14" i="12"/>
  <c r="E15" i="12"/>
  <c r="K15" i="12"/>
  <c r="E16" i="12"/>
  <c r="K16" i="12"/>
  <c r="E17" i="12"/>
  <c r="K17" i="12"/>
  <c r="E18" i="12"/>
  <c r="K18" i="12"/>
  <c r="E19" i="12"/>
  <c r="K19" i="12"/>
  <c r="E21" i="12"/>
  <c r="E22" i="12"/>
  <c r="E23" i="12"/>
  <c r="E24" i="12"/>
  <c r="E25" i="12"/>
  <c r="E26" i="12"/>
  <c r="C25" i="5" s="1"/>
  <c r="E27" i="12"/>
  <c r="E28" i="12"/>
  <c r="G28" i="12"/>
  <c r="E30" i="12"/>
  <c r="E31" i="12"/>
  <c r="E33" i="12"/>
  <c r="E34" i="12"/>
  <c r="E35" i="12"/>
  <c r="J40" i="12"/>
  <c r="E8" i="13"/>
  <c r="E9" i="13"/>
  <c r="E10" i="13"/>
  <c r="K10" i="13"/>
  <c r="E12" i="13"/>
  <c r="K12" i="13"/>
  <c r="E13" i="13"/>
  <c r="K13" i="13"/>
  <c r="E14" i="13"/>
  <c r="K14" i="13"/>
  <c r="E15" i="13"/>
  <c r="K15" i="13"/>
  <c r="E16" i="13"/>
  <c r="K16" i="13"/>
  <c r="E17" i="13"/>
  <c r="K17" i="13"/>
  <c r="E18" i="13"/>
  <c r="K18" i="13"/>
  <c r="E19" i="13"/>
  <c r="K19" i="13"/>
  <c r="E21" i="13"/>
  <c r="E22" i="13"/>
  <c r="E23" i="13"/>
  <c r="E24" i="13"/>
  <c r="E25" i="13"/>
  <c r="E26" i="13"/>
  <c r="E27" i="13"/>
  <c r="E28" i="13"/>
  <c r="G28" i="13"/>
  <c r="E30" i="13"/>
  <c r="C29" i="5" s="1"/>
  <c r="E31" i="13"/>
  <c r="E33" i="13"/>
  <c r="E34" i="13"/>
  <c r="E35" i="13"/>
  <c r="J40" i="13"/>
  <c r="S3" i="2"/>
  <c r="AB3" i="2"/>
  <c r="AK3" i="2"/>
  <c r="C4" i="2"/>
  <c r="I4" i="2"/>
  <c r="S4" i="2"/>
  <c r="AB4" i="2"/>
  <c r="C5" i="2"/>
  <c r="I5" i="2"/>
  <c r="S5" i="2"/>
  <c r="AK5" i="2"/>
  <c r="C6" i="2"/>
  <c r="I6" i="2"/>
  <c r="S6" i="2"/>
  <c r="AK6" i="2"/>
  <c r="C7" i="2"/>
  <c r="I7" i="2"/>
  <c r="S7" i="2"/>
  <c r="AB7" i="2"/>
  <c r="AK7" i="2"/>
  <c r="C8" i="2"/>
  <c r="I8" i="2"/>
  <c r="S8" i="2"/>
  <c r="AB8" i="2"/>
  <c r="AK8" i="2"/>
  <c r="C9" i="2"/>
  <c r="I9" i="2"/>
  <c r="S9" i="2"/>
  <c r="AB9" i="2"/>
  <c r="AK9" i="2"/>
  <c r="C10" i="2"/>
  <c r="I10" i="2"/>
  <c r="S10" i="2"/>
  <c r="AB10" i="2"/>
  <c r="AK10" i="2"/>
  <c r="C11" i="2"/>
  <c r="I11" i="2"/>
  <c r="S11" i="2"/>
  <c r="AM11" i="2"/>
  <c r="C12" i="2"/>
  <c r="I12" i="2"/>
  <c r="AB12" i="2"/>
  <c r="C13" i="2"/>
  <c r="I13" i="2"/>
  <c r="S13" i="2"/>
  <c r="AB13" i="2"/>
  <c r="AM13" i="2"/>
  <c r="C14" i="2"/>
  <c r="I14" i="2"/>
  <c r="AB14" i="2"/>
  <c r="C15" i="2"/>
  <c r="I15" i="2"/>
  <c r="C16" i="2"/>
  <c r="I16" i="2"/>
  <c r="AE16" i="2"/>
  <c r="AM16" i="2"/>
  <c r="C17" i="2"/>
  <c r="I17" i="2"/>
  <c r="AM17" i="2"/>
  <c r="C18" i="2"/>
  <c r="I18" i="2"/>
  <c r="AM18" i="2"/>
  <c r="C19" i="2"/>
  <c r="I19" i="2"/>
  <c r="AE19" i="2"/>
  <c r="AK19" i="2"/>
  <c r="C20" i="2"/>
  <c r="I20" i="2"/>
  <c r="AE20" i="2"/>
  <c r="C21" i="2"/>
  <c r="I21" i="2"/>
  <c r="AK21" i="2"/>
  <c r="C22" i="2"/>
  <c r="I22" i="2"/>
  <c r="AE22" i="2"/>
  <c r="AK22" i="2"/>
  <c r="C23" i="2"/>
  <c r="G8" i="4" s="1"/>
  <c r="I23" i="2"/>
  <c r="K9" i="4" s="1"/>
  <c r="AK23" i="2"/>
  <c r="C24" i="2"/>
  <c r="I24" i="2"/>
  <c r="AK24" i="2"/>
  <c r="C25" i="2"/>
  <c r="I25" i="2"/>
  <c r="S25" i="2"/>
  <c r="AK25" i="2"/>
  <c r="C26" i="2"/>
  <c r="I26" i="2"/>
  <c r="S26" i="2"/>
  <c r="AK26" i="2"/>
  <c r="C27" i="2"/>
  <c r="I27" i="2"/>
  <c r="S27" i="2"/>
  <c r="C28" i="2"/>
  <c r="I28" i="2"/>
  <c r="S28" i="2"/>
  <c r="C29" i="2"/>
  <c r="I29" i="2"/>
  <c r="S29" i="2"/>
  <c r="C30" i="2"/>
  <c r="I30" i="2"/>
  <c r="S30" i="2"/>
  <c r="C31" i="2"/>
  <c r="I31" i="2"/>
  <c r="S31" i="2"/>
  <c r="C32" i="2"/>
  <c r="I32" i="2"/>
  <c r="S32" i="2"/>
  <c r="C33" i="2"/>
  <c r="I33" i="2"/>
  <c r="S33" i="2"/>
  <c r="C34" i="2"/>
  <c r="I34" i="2"/>
  <c r="S34" i="2"/>
  <c r="C35" i="2"/>
  <c r="I35" i="2"/>
  <c r="S35" i="2"/>
  <c r="AK35" i="2"/>
  <c r="C36" i="2"/>
  <c r="I36" i="2"/>
  <c r="C37" i="2"/>
  <c r="I37" i="2"/>
  <c r="AK37" i="2"/>
  <c r="C38" i="2"/>
  <c r="I38" i="2"/>
  <c r="S38" i="2"/>
  <c r="AK38" i="2"/>
  <c r="C39" i="2"/>
  <c r="I39" i="2"/>
  <c r="S39" i="2"/>
  <c r="AK39" i="2"/>
  <c r="C40" i="2"/>
  <c r="I40" i="2"/>
  <c r="S40" i="2"/>
  <c r="AK40" i="2"/>
  <c r="C41" i="2"/>
  <c r="I41" i="2"/>
  <c r="AK41" i="2"/>
  <c r="C42" i="2"/>
  <c r="I42" i="2"/>
  <c r="S42" i="2"/>
  <c r="AK42" i="2"/>
  <c r="C43" i="2"/>
  <c r="I43" i="2"/>
  <c r="AK43" i="2"/>
  <c r="C44" i="2"/>
  <c r="I44" i="2"/>
  <c r="S44" i="2"/>
  <c r="AK44" i="2"/>
  <c r="C45" i="2"/>
  <c r="I45" i="2"/>
  <c r="AK45" i="2"/>
  <c r="C46" i="2"/>
  <c r="I46" i="2"/>
  <c r="AK46" i="2"/>
  <c r="C47" i="2"/>
  <c r="I47" i="2"/>
  <c r="S47" i="2"/>
  <c r="AK47" i="2"/>
  <c r="C48" i="2"/>
  <c r="I48" i="2"/>
  <c r="S48" i="2"/>
  <c r="AK48" i="2"/>
  <c r="C49" i="2"/>
  <c r="I49" i="2"/>
  <c r="S49" i="2"/>
  <c r="AK49" i="2"/>
  <c r="C50" i="2"/>
  <c r="I50" i="2"/>
  <c r="S50" i="2"/>
  <c r="AK50" i="2"/>
  <c r="C51" i="2"/>
  <c r="I51" i="2"/>
  <c r="S51" i="2"/>
  <c r="AM51" i="2"/>
  <c r="C52" i="2"/>
  <c r="I52" i="2"/>
  <c r="S52" i="2"/>
  <c r="AM52" i="2"/>
  <c r="C53" i="2"/>
  <c r="I53" i="2"/>
  <c r="S53" i="2"/>
  <c r="C54" i="2"/>
  <c r="I54" i="2"/>
  <c r="S54" i="2"/>
  <c r="C55" i="2"/>
  <c r="I55" i="2"/>
  <c r="S55" i="2"/>
  <c r="C56" i="2"/>
  <c r="I56" i="2"/>
  <c r="S56" i="2"/>
  <c r="AM56" i="2"/>
  <c r="C57" i="2"/>
  <c r="I57" i="2"/>
  <c r="S57" i="2"/>
  <c r="C58" i="2"/>
  <c r="I58" i="2"/>
  <c r="C59" i="2"/>
  <c r="I59" i="2"/>
  <c r="C60" i="2"/>
  <c r="I60" i="2"/>
  <c r="S60" i="2"/>
  <c r="C61" i="2"/>
  <c r="I61" i="2"/>
  <c r="S61" i="2"/>
  <c r="C62" i="2"/>
  <c r="I62" i="2"/>
  <c r="S62" i="2"/>
  <c r="C63" i="2"/>
  <c r="I63" i="2"/>
  <c r="S63" i="2"/>
  <c r="C64" i="2"/>
  <c r="I64" i="2"/>
  <c r="C65" i="2"/>
  <c r="I65" i="2"/>
  <c r="S65" i="2"/>
  <c r="C66" i="2"/>
  <c r="I66" i="2"/>
  <c r="S66" i="2"/>
  <c r="C67" i="2"/>
  <c r="I67" i="2"/>
  <c r="AM67" i="2"/>
  <c r="I68" i="2"/>
  <c r="S68" i="2"/>
  <c r="AM68" i="2"/>
  <c r="I69" i="2"/>
  <c r="AM69" i="2"/>
  <c r="I70" i="2"/>
  <c r="AM70" i="2"/>
  <c r="I71" i="2"/>
  <c r="V71" i="2"/>
  <c r="AM71" i="2"/>
  <c r="I72" i="2"/>
  <c r="V72" i="2"/>
  <c r="AM72" i="2"/>
  <c r="I73" i="2"/>
  <c r="AM73" i="2"/>
  <c r="I74" i="2"/>
  <c r="AM74" i="2"/>
  <c r="I75" i="2"/>
  <c r="AM75" i="2"/>
  <c r="AM76" i="2"/>
  <c r="V77" i="2"/>
  <c r="AM77" i="2"/>
  <c r="AM78" i="2"/>
  <c r="V79" i="2"/>
  <c r="AM79" i="2"/>
  <c r="AM80" i="2"/>
  <c r="AM81" i="2"/>
  <c r="AM82" i="2"/>
  <c r="V92" i="2"/>
  <c r="V93" i="2"/>
  <c r="V94" i="2"/>
  <c r="V95" i="2"/>
  <c r="V98" i="2"/>
  <c r="V99" i="2"/>
  <c r="V101" i="2"/>
  <c r="V104" i="2"/>
  <c r="V105" i="2"/>
  <c r="V106" i="2"/>
  <c r="V109" i="2"/>
  <c r="V110" i="2"/>
  <c r="V112" i="2"/>
  <c r="E9" i="9"/>
  <c r="F9" i="9"/>
  <c r="G9" i="9"/>
  <c r="H9" i="9"/>
  <c r="D11" i="9"/>
  <c r="I11" i="9"/>
  <c r="D12" i="9"/>
  <c r="C14" i="9"/>
  <c r="B7" i="5"/>
  <c r="C7" i="5"/>
  <c r="D7" i="5"/>
  <c r="B8" i="5"/>
  <c r="C8" i="5"/>
  <c r="D8" i="5"/>
  <c r="B9" i="5"/>
  <c r="C9" i="5"/>
  <c r="M9" i="5"/>
  <c r="B10" i="5"/>
  <c r="M10" i="5"/>
  <c r="B11" i="5"/>
  <c r="C11" i="5"/>
  <c r="D11" i="5"/>
  <c r="M11" i="5"/>
  <c r="B12" i="5"/>
  <c r="C12" i="5"/>
  <c r="D12" i="5"/>
  <c r="M12" i="5"/>
  <c r="B13" i="5"/>
  <c r="C13" i="5"/>
  <c r="D13" i="5"/>
  <c r="B14" i="5"/>
  <c r="C14" i="5"/>
  <c r="B15" i="5"/>
  <c r="B16" i="5"/>
  <c r="C16" i="5"/>
  <c r="D16" i="5"/>
  <c r="B17" i="5"/>
  <c r="C17" i="5"/>
  <c r="D17" i="5"/>
  <c r="B18" i="5"/>
  <c r="C18" i="5"/>
  <c r="D18" i="5"/>
  <c r="B19" i="5"/>
  <c r="B20" i="5"/>
  <c r="C20" i="5"/>
  <c r="D20" i="5"/>
  <c r="B21" i="5"/>
  <c r="C21" i="5"/>
  <c r="D21" i="5"/>
  <c r="B22" i="5"/>
  <c r="C22" i="5"/>
  <c r="D22" i="5"/>
  <c r="B23" i="5"/>
  <c r="D23" i="5"/>
  <c r="B24" i="5"/>
  <c r="D24" i="5"/>
  <c r="B25" i="5"/>
  <c r="D25" i="5"/>
  <c r="B26" i="5"/>
  <c r="C26" i="5"/>
  <c r="D26" i="5"/>
  <c r="B27" i="5"/>
  <c r="D27" i="5"/>
  <c r="E27" i="5"/>
  <c r="B28" i="5"/>
  <c r="B29" i="5"/>
  <c r="D29" i="5"/>
  <c r="E29" i="5"/>
  <c r="B30" i="5"/>
  <c r="C30" i="5"/>
  <c r="D30" i="5"/>
  <c r="B31" i="5"/>
  <c r="D31" i="5"/>
  <c r="B32" i="5"/>
  <c r="C32" i="5"/>
  <c r="D32" i="5"/>
  <c r="E32" i="5"/>
  <c r="B33" i="5"/>
  <c r="C33" i="5"/>
  <c r="D33" i="5"/>
  <c r="E33" i="5"/>
  <c r="B34" i="5"/>
  <c r="D34" i="5"/>
  <c r="E34" i="5"/>
  <c r="B37" i="5"/>
  <c r="C37" i="5"/>
  <c r="B38" i="5"/>
  <c r="C38" i="5"/>
  <c r="B40" i="5"/>
  <c r="B44" i="5"/>
  <c r="B45" i="5"/>
  <c r="B46" i="5"/>
  <c r="B47" i="5"/>
  <c r="C51" i="5"/>
  <c r="B53" i="5"/>
  <c r="C53" i="5"/>
  <c r="D53" i="5"/>
  <c r="B54" i="5"/>
  <c r="C54" i="5"/>
  <c r="D54" i="5"/>
  <c r="B55" i="5"/>
  <c r="C55" i="5"/>
  <c r="D55" i="5"/>
  <c r="B56" i="5"/>
  <c r="B57" i="5"/>
  <c r="C57" i="5"/>
  <c r="D57" i="5"/>
  <c r="B58" i="5"/>
  <c r="C58" i="5"/>
  <c r="D58" i="5"/>
  <c r="B59" i="5"/>
  <c r="C59" i="5"/>
  <c r="D59" i="5"/>
  <c r="B60" i="5"/>
  <c r="C60" i="5"/>
  <c r="B61" i="5"/>
  <c r="C61" i="5"/>
  <c r="B62" i="5"/>
  <c r="C62" i="5"/>
  <c r="D62" i="5"/>
  <c r="B63" i="5"/>
  <c r="C63" i="5"/>
  <c r="D63" i="5"/>
  <c r="B64" i="5"/>
  <c r="C64" i="5"/>
  <c r="D64" i="5"/>
  <c r="B65" i="5"/>
  <c r="B66" i="5"/>
  <c r="C66" i="5"/>
  <c r="D66" i="5"/>
  <c r="B67" i="5"/>
  <c r="C67" i="5"/>
  <c r="D67" i="5"/>
  <c r="B68" i="5"/>
  <c r="C68" i="5"/>
  <c r="D68" i="5"/>
  <c r="B69" i="5"/>
  <c r="C69" i="5"/>
  <c r="D69" i="5"/>
  <c r="B70" i="5"/>
  <c r="C70" i="5"/>
  <c r="D70" i="5"/>
  <c r="B71" i="5"/>
  <c r="C71" i="5"/>
  <c r="D71" i="5"/>
  <c r="B72" i="5"/>
  <c r="C72" i="5"/>
  <c r="D72" i="5"/>
  <c r="B73" i="5"/>
  <c r="C73" i="5"/>
  <c r="D73" i="5"/>
  <c r="E73" i="5"/>
  <c r="B74" i="5"/>
  <c r="B75" i="5"/>
  <c r="C75" i="5"/>
  <c r="D75" i="5"/>
  <c r="E75" i="5"/>
  <c r="B76" i="5"/>
  <c r="C76" i="5"/>
  <c r="D76" i="5"/>
  <c r="B77" i="5"/>
  <c r="D77" i="5"/>
  <c r="B78" i="5"/>
  <c r="C78" i="5"/>
  <c r="D78" i="5"/>
  <c r="E78" i="5"/>
  <c r="B79" i="5"/>
  <c r="C79" i="5"/>
  <c r="D79" i="5"/>
  <c r="E79" i="5"/>
  <c r="B80" i="5"/>
  <c r="C80" i="5"/>
  <c r="D80" i="5"/>
  <c r="E80" i="5"/>
  <c r="B83" i="5"/>
  <c r="C83" i="5"/>
  <c r="D83" i="5"/>
  <c r="E83" i="5"/>
  <c r="F83" i="5"/>
  <c r="B84" i="5"/>
  <c r="C84" i="5"/>
  <c r="D84" i="5"/>
  <c r="E84" i="5"/>
  <c r="F84" i="5"/>
  <c r="C90" i="5"/>
  <c r="B92" i="5"/>
  <c r="C92" i="5"/>
  <c r="D92" i="5"/>
  <c r="B93" i="5"/>
  <c r="C93" i="5"/>
  <c r="D93" i="5"/>
  <c r="B94" i="5"/>
  <c r="C94" i="5"/>
  <c r="D94" i="5"/>
  <c r="B95" i="5"/>
  <c r="B96" i="5"/>
  <c r="C96" i="5"/>
  <c r="D96" i="5"/>
  <c r="B97" i="5"/>
  <c r="C97" i="5"/>
  <c r="D97" i="5"/>
  <c r="B98" i="5"/>
  <c r="C98" i="5"/>
  <c r="D98" i="5"/>
  <c r="B99" i="5"/>
  <c r="C99" i="5"/>
  <c r="B100" i="5"/>
  <c r="C100" i="5"/>
  <c r="B101" i="5"/>
  <c r="C101" i="5"/>
  <c r="D101" i="5"/>
  <c r="B102" i="5"/>
  <c r="C102" i="5"/>
  <c r="D102" i="5"/>
  <c r="B103" i="5"/>
  <c r="C103" i="5"/>
  <c r="D103" i="5"/>
  <c r="B104" i="5"/>
  <c r="B105" i="5"/>
  <c r="C105" i="5"/>
  <c r="D105" i="5"/>
  <c r="B106" i="5"/>
  <c r="C106" i="5"/>
  <c r="D106" i="5"/>
  <c r="B107" i="5"/>
  <c r="C107" i="5"/>
  <c r="D107" i="5"/>
  <c r="B108" i="5"/>
  <c r="C108" i="5"/>
  <c r="D108" i="5"/>
  <c r="B109" i="5"/>
  <c r="C109" i="5"/>
  <c r="D109" i="5"/>
  <c r="B110" i="5"/>
  <c r="C110" i="5"/>
  <c r="D110" i="5"/>
  <c r="B111" i="5"/>
  <c r="C111" i="5"/>
  <c r="D111" i="5"/>
  <c r="B112" i="5"/>
  <c r="C112" i="5"/>
  <c r="D112" i="5"/>
  <c r="E112" i="5"/>
  <c r="B113" i="5"/>
  <c r="B114" i="5"/>
  <c r="C114" i="5"/>
  <c r="D114" i="5"/>
  <c r="E114" i="5"/>
  <c r="B115" i="5"/>
  <c r="C115" i="5"/>
  <c r="D115" i="5"/>
  <c r="B116" i="5"/>
  <c r="D116" i="5"/>
  <c r="B117" i="5"/>
  <c r="C117" i="5"/>
  <c r="D117" i="5"/>
  <c r="E117" i="5"/>
  <c r="B118" i="5"/>
  <c r="C118" i="5"/>
  <c r="D118" i="5"/>
  <c r="E118" i="5"/>
  <c r="B119" i="5"/>
  <c r="C119" i="5"/>
  <c r="D119" i="5"/>
  <c r="E119" i="5"/>
  <c r="B122" i="5"/>
  <c r="C122" i="5"/>
  <c r="D122" i="5"/>
  <c r="E122" i="5"/>
  <c r="F122" i="5"/>
  <c r="B123" i="5"/>
  <c r="C123" i="5"/>
  <c r="D123" i="5"/>
  <c r="E123" i="5"/>
  <c r="F123" i="5"/>
  <c r="C129" i="5"/>
  <c r="B131" i="5"/>
  <c r="C131" i="5"/>
  <c r="D131" i="5"/>
  <c r="B132" i="5"/>
  <c r="C132" i="5"/>
  <c r="D132" i="5"/>
  <c r="B133" i="5"/>
  <c r="C133" i="5"/>
  <c r="D133" i="5"/>
  <c r="B134" i="5"/>
  <c r="B135" i="5"/>
  <c r="C135" i="5"/>
  <c r="D135" i="5"/>
  <c r="B136" i="5"/>
  <c r="C136" i="5"/>
  <c r="D136" i="5"/>
  <c r="B137" i="5"/>
  <c r="C137" i="5"/>
  <c r="D137" i="5"/>
  <c r="B138" i="5"/>
  <c r="C138" i="5"/>
  <c r="B139" i="5"/>
  <c r="C139" i="5"/>
  <c r="B140" i="5"/>
  <c r="C140" i="5"/>
  <c r="D140" i="5"/>
  <c r="B141" i="5"/>
  <c r="C141" i="5"/>
  <c r="D141" i="5"/>
  <c r="B142" i="5"/>
  <c r="C142" i="5"/>
  <c r="D142" i="5"/>
  <c r="B143" i="5"/>
  <c r="B144" i="5"/>
  <c r="C144" i="5"/>
  <c r="D144" i="5"/>
  <c r="B145" i="5"/>
  <c r="C145" i="5"/>
  <c r="D145" i="5"/>
  <c r="B146" i="5"/>
  <c r="C146" i="5"/>
  <c r="D146" i="5"/>
  <c r="B147" i="5"/>
  <c r="C147" i="5"/>
  <c r="D147" i="5"/>
  <c r="B148" i="5"/>
  <c r="C148" i="5"/>
  <c r="D148" i="5"/>
  <c r="B149" i="5"/>
  <c r="C149" i="5"/>
  <c r="D149" i="5"/>
  <c r="B150" i="5"/>
  <c r="C150" i="5"/>
  <c r="D150" i="5"/>
  <c r="B151" i="5"/>
  <c r="C151" i="5"/>
  <c r="D151" i="5"/>
  <c r="E151" i="5"/>
  <c r="B152" i="5"/>
  <c r="B153" i="5"/>
  <c r="C153" i="5"/>
  <c r="D153" i="5"/>
  <c r="E153" i="5"/>
  <c r="B154" i="5"/>
  <c r="C154" i="5"/>
  <c r="D154" i="5"/>
  <c r="B155" i="5"/>
  <c r="D155" i="5"/>
  <c r="B156" i="5"/>
  <c r="C156" i="5"/>
  <c r="D156" i="5"/>
  <c r="E156" i="5"/>
  <c r="B157" i="5"/>
  <c r="C157" i="5"/>
  <c r="D157" i="5"/>
  <c r="E157" i="5"/>
  <c r="B158" i="5"/>
  <c r="C158" i="5"/>
  <c r="D158" i="5"/>
  <c r="E158" i="5"/>
  <c r="B161" i="5"/>
  <c r="C161" i="5"/>
  <c r="D161" i="5"/>
  <c r="E161" i="5"/>
  <c r="F161" i="5"/>
  <c r="B162" i="5"/>
  <c r="C162" i="5"/>
  <c r="D162" i="5"/>
  <c r="E162" i="5"/>
  <c r="F162" i="5"/>
  <c r="C168" i="5"/>
  <c r="B170" i="5"/>
  <c r="C170" i="5"/>
  <c r="D170" i="5"/>
  <c r="B171" i="5"/>
  <c r="C171" i="5"/>
  <c r="D171" i="5"/>
  <c r="B172" i="5"/>
  <c r="C172" i="5"/>
  <c r="D172" i="5"/>
  <c r="B173" i="5"/>
  <c r="B174" i="5"/>
  <c r="C174" i="5"/>
  <c r="D174" i="5"/>
  <c r="B175" i="5"/>
  <c r="C175" i="5"/>
  <c r="D175" i="5"/>
  <c r="B176" i="5"/>
  <c r="C176" i="5"/>
  <c r="D176" i="5"/>
  <c r="B177" i="5"/>
  <c r="C177" i="5"/>
  <c r="B178" i="5"/>
  <c r="C178" i="5"/>
  <c r="B179" i="5"/>
  <c r="C179" i="5"/>
  <c r="D179" i="5"/>
  <c r="B180" i="5"/>
  <c r="C180" i="5"/>
  <c r="D180" i="5"/>
  <c r="B181" i="5"/>
  <c r="C181" i="5"/>
  <c r="D181" i="5"/>
  <c r="B182" i="5"/>
  <c r="B183" i="5"/>
  <c r="C183" i="5"/>
  <c r="D183" i="5"/>
  <c r="B184" i="5"/>
  <c r="C184" i="5"/>
  <c r="D184" i="5"/>
  <c r="B185" i="5"/>
  <c r="C185" i="5"/>
  <c r="D185" i="5"/>
  <c r="B186" i="5"/>
  <c r="C186" i="5"/>
  <c r="D186" i="5"/>
  <c r="B187" i="5"/>
  <c r="C187" i="5"/>
  <c r="D187" i="5"/>
  <c r="B188" i="5"/>
  <c r="C188" i="5"/>
  <c r="D188" i="5"/>
  <c r="B189" i="5"/>
  <c r="C189" i="5"/>
  <c r="D189" i="5"/>
  <c r="B190" i="5"/>
  <c r="C190" i="5"/>
  <c r="D190" i="5"/>
  <c r="E190" i="5"/>
  <c r="B191" i="5"/>
  <c r="B192" i="5"/>
  <c r="C192" i="5"/>
  <c r="D192" i="5"/>
  <c r="E192" i="5"/>
  <c r="B193" i="5"/>
  <c r="C193" i="5"/>
  <c r="D193" i="5"/>
  <c r="B194" i="5"/>
  <c r="D194" i="5"/>
  <c r="B195" i="5"/>
  <c r="C195" i="5"/>
  <c r="D195" i="5"/>
  <c r="E195" i="5"/>
  <c r="B196" i="5"/>
  <c r="C196" i="5"/>
  <c r="D196" i="5"/>
  <c r="E196" i="5"/>
  <c r="B197" i="5"/>
  <c r="C197" i="5"/>
  <c r="D197" i="5"/>
  <c r="E197" i="5"/>
  <c r="B200" i="5"/>
  <c r="C200" i="5"/>
  <c r="D200" i="5"/>
  <c r="E200" i="5"/>
  <c r="F200" i="5"/>
  <c r="B201" i="5"/>
  <c r="C201" i="5"/>
  <c r="D201" i="5"/>
  <c r="E201" i="5"/>
  <c r="F201" i="5"/>
  <c r="C26" i="6"/>
  <c r="C35" i="6"/>
  <c r="C34" i="6" s="1"/>
  <c r="C46" i="6"/>
  <c r="I31" i="4"/>
  <c r="I31" i="8"/>
  <c r="I31" i="12"/>
  <c r="I31" i="13"/>
  <c r="V3" i="2"/>
  <c r="AE4" i="2"/>
  <c r="V7" i="2"/>
  <c r="V8" i="2"/>
  <c r="V9" i="2"/>
  <c r="V10" i="2"/>
  <c r="V11" i="2"/>
  <c r="AM12" i="2"/>
  <c r="AE15" i="2"/>
  <c r="V23" i="2"/>
  <c r="AM30" i="2"/>
  <c r="V32" i="2"/>
  <c r="AM37" i="2"/>
  <c r="V40" i="2"/>
  <c r="AM43" i="2"/>
  <c r="V52" i="2"/>
  <c r="V58" i="2"/>
  <c r="V70" i="2"/>
  <c r="V84" i="2"/>
  <c r="V108" i="2"/>
  <c r="G84" i="5"/>
  <c r="AE3" i="2"/>
  <c r="V14" i="2"/>
  <c r="V20" i="2"/>
  <c r="AM49" i="2"/>
  <c r="V63" i="2"/>
  <c r="V80" i="2"/>
  <c r="E193" i="5"/>
  <c r="I33" i="4"/>
  <c r="I33" i="8"/>
  <c r="I33" i="12"/>
  <c r="I33" i="13"/>
  <c r="AE6" i="2"/>
  <c r="AE7" i="2"/>
  <c r="AE8" i="2"/>
  <c r="AE9" i="2"/>
  <c r="AE10" i="2"/>
  <c r="AE17" i="2"/>
  <c r="V22" i="2"/>
  <c r="AM23" i="2"/>
  <c r="V27" i="2"/>
  <c r="V29" i="2"/>
  <c r="V34" i="2"/>
  <c r="V36" i="2"/>
  <c r="V39" i="2"/>
  <c r="AM40" i="2"/>
  <c r="V42" i="2"/>
  <c r="AM45" i="2"/>
  <c r="V61" i="2"/>
  <c r="V68" i="2"/>
  <c r="V86" i="2"/>
  <c r="V102" i="2"/>
  <c r="E76" i="5"/>
  <c r="G83" i="5"/>
  <c r="V12" i="2"/>
  <c r="V24" i="2"/>
  <c r="V46" i="2"/>
  <c r="V53" i="2"/>
  <c r="V69" i="2"/>
  <c r="V82" i="2"/>
  <c r="G162" i="5"/>
  <c r="AM3" i="2"/>
  <c r="AE14" i="2"/>
  <c r="V19" i="2"/>
  <c r="AM25" i="2"/>
  <c r="AM27" i="2"/>
  <c r="AM29" i="2"/>
  <c r="V31" i="2"/>
  <c r="AM34" i="2"/>
  <c r="AM36" i="2"/>
  <c r="AM42" i="2"/>
  <c r="V47" i="2"/>
  <c r="AM48" i="2"/>
  <c r="V51" i="2"/>
  <c r="V59" i="2"/>
  <c r="V81" i="2"/>
  <c r="V87" i="2"/>
  <c r="V103" i="2"/>
  <c r="V111" i="2"/>
  <c r="G201" i="5"/>
  <c r="I34" i="8"/>
  <c r="I35" i="13"/>
  <c r="V21" i="2"/>
  <c r="V33" i="2"/>
  <c r="AM47" i="2"/>
  <c r="V55" i="2"/>
  <c r="V78" i="2"/>
  <c r="V97" i="2"/>
  <c r="I28" i="4"/>
  <c r="I28" i="12"/>
  <c r="I28" i="13"/>
  <c r="I34" i="13"/>
  <c r="V5" i="2"/>
  <c r="AM6" i="2"/>
  <c r="AM7" i="2"/>
  <c r="AM8" i="2"/>
  <c r="AM9" i="2"/>
  <c r="AM10" i="2"/>
  <c r="V13" i="2"/>
  <c r="AM14" i="2"/>
  <c r="V16" i="2"/>
  <c r="AM31" i="2"/>
  <c r="V38" i="2"/>
  <c r="AM39" i="2"/>
  <c r="V44" i="2"/>
  <c r="V64" i="2"/>
  <c r="V66" i="2"/>
  <c r="V74" i="2"/>
  <c r="V88" i="2"/>
  <c r="V96" i="2"/>
  <c r="G38" i="5"/>
  <c r="I34" i="4"/>
  <c r="I34" i="12"/>
  <c r="AE5" i="2"/>
  <c r="AE13" i="2"/>
  <c r="AM22" i="2"/>
  <c r="V41" i="2"/>
  <c r="V50" i="2"/>
  <c r="V57" i="2"/>
  <c r="V89" i="2"/>
  <c r="E30" i="5"/>
  <c r="I30" i="4"/>
  <c r="I35" i="4"/>
  <c r="I30" i="8"/>
  <c r="I35" i="8"/>
  <c r="I30" i="12"/>
  <c r="I35" i="12"/>
  <c r="AM5" i="2"/>
  <c r="V18" i="2"/>
  <c r="AM19" i="2"/>
  <c r="AE21" i="2"/>
  <c r="AM24" i="2"/>
  <c r="V26" i="2"/>
  <c r="V28" i="2"/>
  <c r="AM33" i="2"/>
  <c r="V35" i="2"/>
  <c r="V37" i="2"/>
  <c r="AM38" i="2"/>
  <c r="AM41" i="2"/>
  <c r="V43" i="2"/>
  <c r="AM44" i="2"/>
  <c r="V62" i="2"/>
  <c r="V90" i="2"/>
  <c r="G123" i="5"/>
  <c r="AE11" i="2"/>
  <c r="AM32" i="2"/>
  <c r="V45" i="2"/>
  <c r="V54" i="2"/>
  <c r="V73" i="2"/>
  <c r="V85" i="2"/>
  <c r="G37" i="5"/>
  <c r="V4" i="2"/>
  <c r="AE12" i="2"/>
  <c r="V15" i="2"/>
  <c r="AE18" i="2"/>
  <c r="AM21" i="2"/>
  <c r="AM26" i="2"/>
  <c r="AM28" i="2"/>
  <c r="V30" i="2"/>
  <c r="AM35" i="2"/>
  <c r="AM46" i="2"/>
  <c r="V49" i="2"/>
  <c r="AM50" i="2"/>
  <c r="V60" i="2"/>
  <c r="V67" i="2"/>
  <c r="V75" i="2"/>
  <c r="V83" i="2"/>
  <c r="V91" i="2"/>
  <c r="V107" i="2"/>
  <c r="E154" i="5"/>
  <c r="G161" i="5"/>
  <c r="V65" i="2"/>
  <c r="V100" i="2"/>
  <c r="E115" i="5"/>
  <c r="G122" i="5"/>
  <c r="AM4" i="2"/>
  <c r="V6" i="2"/>
  <c r="AM15" i="2"/>
  <c r="V17" i="2"/>
  <c r="V25" i="2"/>
  <c r="V48" i="2"/>
  <c r="V56" i="2"/>
  <c r="V76" i="2"/>
  <c r="G200" i="5"/>
  <c r="G202" i="5" l="1"/>
  <c r="G124" i="5"/>
  <c r="G163" i="5"/>
  <c r="G19" i="4"/>
  <c r="G39" i="5"/>
  <c r="G21" i="4"/>
  <c r="E66" i="5" s="1"/>
  <c r="G25" i="4"/>
  <c r="G14" i="4"/>
  <c r="G23" i="4"/>
  <c r="E68" i="5" s="1"/>
  <c r="G85" i="5"/>
  <c r="G16" i="4"/>
  <c r="G27" i="4"/>
  <c r="E26" i="5" s="1"/>
  <c r="G10" i="4"/>
  <c r="G10" i="8"/>
  <c r="E94" i="5" s="1"/>
  <c r="G10" i="12"/>
  <c r="E133" i="5" s="1"/>
  <c r="G10" i="13"/>
  <c r="E172" i="5" s="1"/>
  <c r="G17" i="4"/>
  <c r="G12" i="4"/>
  <c r="G12" i="8"/>
  <c r="E96" i="5" s="1"/>
  <c r="G12" i="12"/>
  <c r="E135" i="5" s="1"/>
  <c r="G12" i="13"/>
  <c r="E174" i="5" s="1"/>
  <c r="E13" i="5"/>
  <c r="E59" i="5"/>
  <c r="E53" i="5"/>
  <c r="E24" i="5"/>
  <c r="E70" i="5"/>
  <c r="G26" i="4"/>
  <c r="G26" i="8"/>
  <c r="E110" i="5" s="1"/>
  <c r="G26" i="12"/>
  <c r="E149" i="5" s="1"/>
  <c r="G26" i="13"/>
  <c r="E188" i="5" s="1"/>
  <c r="G15" i="4"/>
  <c r="G15" i="8"/>
  <c r="E99" i="5" s="1"/>
  <c r="G15" i="12"/>
  <c r="E138" i="5" s="1"/>
  <c r="G15" i="13"/>
  <c r="E177" i="5" s="1"/>
  <c r="E64" i="5"/>
  <c r="E18" i="5"/>
  <c r="G22" i="4"/>
  <c r="G22" i="8"/>
  <c r="E106" i="5" s="1"/>
  <c r="G22" i="12"/>
  <c r="E145" i="5" s="1"/>
  <c r="G22" i="13"/>
  <c r="E184" i="5" s="1"/>
  <c r="E20" i="5"/>
  <c r="G13" i="4"/>
  <c r="G13" i="8"/>
  <c r="G13" i="12"/>
  <c r="G13" i="13"/>
  <c r="E72" i="5"/>
  <c r="E61" i="5"/>
  <c r="E15" i="5"/>
  <c r="G18" i="4"/>
  <c r="G18" i="8"/>
  <c r="G18" i="12"/>
  <c r="G18" i="13"/>
  <c r="G24" i="4"/>
  <c r="G24" i="8"/>
  <c r="E108" i="5" s="1"/>
  <c r="G24" i="12"/>
  <c r="E147" i="5" s="1"/>
  <c r="G24" i="13"/>
  <c r="E186" i="5" s="1"/>
  <c r="C34" i="5"/>
  <c r="C23" i="5"/>
  <c r="G27" i="13"/>
  <c r="E189" i="5" s="1"/>
  <c r="G25" i="13"/>
  <c r="E187" i="5" s="1"/>
  <c r="G23" i="13"/>
  <c r="E185" i="5" s="1"/>
  <c r="G21" i="13"/>
  <c r="E183" i="5" s="1"/>
  <c r="G27" i="12"/>
  <c r="E150" i="5" s="1"/>
  <c r="G25" i="12"/>
  <c r="E148" i="5" s="1"/>
  <c r="G23" i="12"/>
  <c r="E146" i="5" s="1"/>
  <c r="G21" i="12"/>
  <c r="E144" i="5" s="1"/>
  <c r="G27" i="8"/>
  <c r="E111" i="5" s="1"/>
  <c r="G25" i="8"/>
  <c r="E109" i="5" s="1"/>
  <c r="G23" i="8"/>
  <c r="E107" i="5" s="1"/>
  <c r="G21" i="8"/>
  <c r="E105" i="5" s="1"/>
  <c r="G9" i="13"/>
  <c r="G9" i="12"/>
  <c r="G9" i="8"/>
  <c r="G9" i="4"/>
  <c r="C24" i="5"/>
  <c r="C15" i="5"/>
  <c r="G16" i="13"/>
  <c r="E178" i="5" s="1"/>
  <c r="G16" i="12"/>
  <c r="E139" i="5" s="1"/>
  <c r="G16" i="8"/>
  <c r="E100" i="5" s="1"/>
  <c r="G19" i="13"/>
  <c r="E181" i="5" s="1"/>
  <c r="G19" i="12"/>
  <c r="E142" i="5" s="1"/>
  <c r="G19" i="8"/>
  <c r="E103" i="5" s="1"/>
  <c r="G14" i="13"/>
  <c r="G8" i="13"/>
  <c r="G14" i="12"/>
  <c r="G8" i="12"/>
  <c r="G14" i="8"/>
  <c r="G8" i="8"/>
  <c r="G17" i="13"/>
  <c r="K9" i="13"/>
  <c r="G17" i="12"/>
  <c r="K9" i="12"/>
  <c r="G17" i="8"/>
  <c r="K9" i="8"/>
  <c r="J35" i="8"/>
  <c r="G119" i="5" s="1"/>
  <c r="J28" i="13"/>
  <c r="J33" i="12"/>
  <c r="G156" i="5" s="1"/>
  <c r="I14" i="4"/>
  <c r="I8" i="4"/>
  <c r="I24" i="4"/>
  <c r="J30" i="8"/>
  <c r="J28" i="12"/>
  <c r="I10" i="12"/>
  <c r="I27" i="4"/>
  <c r="J35" i="4"/>
  <c r="J28" i="4"/>
  <c r="J33" i="4"/>
  <c r="I19" i="4"/>
  <c r="I28" i="8"/>
  <c r="J34" i="4"/>
  <c r="J31" i="4"/>
  <c r="I22" i="4"/>
  <c r="I26" i="8"/>
  <c r="J30" i="4"/>
  <c r="J31" i="13"/>
  <c r="G193" i="5" s="1"/>
  <c r="I10" i="4"/>
  <c r="I12" i="13"/>
  <c r="J35" i="12"/>
  <c r="G158" i="5" s="1"/>
  <c r="J35" i="13"/>
  <c r="G197" i="5" s="1"/>
  <c r="J31" i="12"/>
  <c r="G154" i="5" s="1"/>
  <c r="I24" i="8"/>
  <c r="J34" i="12"/>
  <c r="G157" i="5" s="1"/>
  <c r="J34" i="8"/>
  <c r="G118" i="5" s="1"/>
  <c r="J31" i="8"/>
  <c r="G115" i="5" s="1"/>
  <c r="I21" i="4"/>
  <c r="I26" i="13"/>
  <c r="I16" i="4"/>
  <c r="I15" i="12"/>
  <c r="J30" i="12"/>
  <c r="J34" i="13"/>
  <c r="G196" i="5" s="1"/>
  <c r="J33" i="13"/>
  <c r="G195" i="5" s="1"/>
  <c r="I26" i="4"/>
  <c r="I25" i="4"/>
  <c r="I30" i="13"/>
  <c r="J33" i="8"/>
  <c r="G117" i="5" s="1"/>
  <c r="I17" i="4"/>
  <c r="I12" i="4"/>
  <c r="I15" i="4"/>
  <c r="G34" i="5"/>
  <c r="G80" i="5"/>
  <c r="G32" i="5"/>
  <c r="G78" i="5"/>
  <c r="G79" i="5"/>
  <c r="G33" i="5"/>
  <c r="G30" i="5"/>
  <c r="G76" i="5"/>
  <c r="E22" i="5" l="1"/>
  <c r="E16" i="5"/>
  <c r="E62" i="5"/>
  <c r="E9" i="5"/>
  <c r="E55" i="5"/>
  <c r="E137" i="5"/>
  <c r="E132" i="5"/>
  <c r="E180" i="5"/>
  <c r="E170" i="5"/>
  <c r="E171" i="5"/>
  <c r="E141" i="5"/>
  <c r="E12" i="5"/>
  <c r="E58" i="5"/>
  <c r="E140" i="5"/>
  <c r="E176" i="5"/>
  <c r="E69" i="5"/>
  <c r="E23" i="5"/>
  <c r="E102" i="5"/>
  <c r="E71" i="5"/>
  <c r="E25" i="5"/>
  <c r="E11" i="5"/>
  <c r="E57" i="5"/>
  <c r="E63" i="5"/>
  <c r="E17" i="5"/>
  <c r="E97" i="5"/>
  <c r="E179" i="5"/>
  <c r="E92" i="5"/>
  <c r="E60" i="5"/>
  <c r="E14" i="5"/>
  <c r="E101" i="5"/>
  <c r="E98" i="5"/>
  <c r="E54" i="5"/>
  <c r="E175" i="5"/>
  <c r="E131" i="5"/>
  <c r="E93" i="5"/>
  <c r="E136" i="5"/>
  <c r="E67" i="5"/>
  <c r="E21" i="5"/>
  <c r="J15" i="4"/>
  <c r="J26" i="13"/>
  <c r="G188" i="5" s="1"/>
  <c r="J19" i="4"/>
  <c r="I27" i="12"/>
  <c r="I15" i="13"/>
  <c r="I23" i="12"/>
  <c r="I9" i="8"/>
  <c r="I9" i="4"/>
  <c r="I22" i="8"/>
  <c r="I27" i="13"/>
  <c r="I27" i="8"/>
  <c r="I13" i="13"/>
  <c r="J16" i="4"/>
  <c r="I17" i="12"/>
  <c r="J12" i="4"/>
  <c r="J21" i="4"/>
  <c r="J27" i="4"/>
  <c r="I25" i="13"/>
  <c r="I14" i="13"/>
  <c r="I16" i="13"/>
  <c r="I19" i="12"/>
  <c r="I16" i="8"/>
  <c r="I13" i="12"/>
  <c r="I13" i="8"/>
  <c r="I10" i="8"/>
  <c r="J17" i="4"/>
  <c r="J24" i="8"/>
  <c r="G108" i="5" s="1"/>
  <c r="J10" i="12"/>
  <c r="G133" i="5" s="1"/>
  <c r="I9" i="12"/>
  <c r="I18" i="12"/>
  <c r="I12" i="8"/>
  <c r="I24" i="12"/>
  <c r="I23" i="8"/>
  <c r="J28" i="8"/>
  <c r="I14" i="12"/>
  <c r="I25" i="8"/>
  <c r="J30" i="13"/>
  <c r="J12" i="13"/>
  <c r="G174" i="5" s="1"/>
  <c r="J24" i="4"/>
  <c r="I18" i="13"/>
  <c r="I21" i="13"/>
  <c r="I24" i="13"/>
  <c r="I21" i="8"/>
  <c r="I23" i="13"/>
  <c r="I12" i="12"/>
  <c r="J14" i="4"/>
  <c r="I17" i="8"/>
  <c r="I18" i="8"/>
  <c r="I17" i="13"/>
  <c r="I8" i="12"/>
  <c r="I23" i="4"/>
  <c r="J25" i="4"/>
  <c r="J10" i="4"/>
  <c r="J8" i="4"/>
  <c r="I21" i="12"/>
  <c r="I15" i="8"/>
  <c r="I13" i="4"/>
  <c r="I26" i="12"/>
  <c r="I8" i="8"/>
  <c r="I22" i="12"/>
  <c r="I25" i="12"/>
  <c r="I22" i="13"/>
  <c r="J26" i="8"/>
  <c r="G110" i="5" s="1"/>
  <c r="I10" i="13"/>
  <c r="I8" i="13"/>
  <c r="I18" i="4"/>
  <c r="I9" i="13"/>
  <c r="I14" i="8"/>
  <c r="J26" i="4"/>
  <c r="I16" i="12"/>
  <c r="I19" i="13"/>
  <c r="J15" i="12"/>
  <c r="G138" i="5" s="1"/>
  <c r="J22" i="4"/>
  <c r="I19" i="8"/>
  <c r="G60" i="5"/>
  <c r="G64" i="5"/>
  <c r="G61" i="5"/>
  <c r="G57" i="5"/>
  <c r="G66" i="5"/>
  <c r="G62" i="5"/>
  <c r="G27" i="5"/>
  <c r="G73" i="5"/>
  <c r="G151" i="5"/>
  <c r="G190" i="5"/>
  <c r="G112" i="5"/>
  <c r="G153" i="5"/>
  <c r="G114" i="5"/>
  <c r="G75" i="5"/>
  <c r="G29" i="5"/>
  <c r="G192" i="5"/>
  <c r="G69" i="5"/>
  <c r="G59" i="5"/>
  <c r="G55" i="5"/>
  <c r="G71" i="5"/>
  <c r="G67" i="5"/>
  <c r="G53" i="5" l="1"/>
  <c r="J23" i="13"/>
  <c r="G185" i="5" s="1"/>
  <c r="J21" i="8"/>
  <c r="J16" i="12"/>
  <c r="G139" i="5" s="1"/>
  <c r="J22" i="12"/>
  <c r="G145" i="5" s="1"/>
  <c r="J23" i="4"/>
  <c r="J24" i="13"/>
  <c r="G186" i="5" s="1"/>
  <c r="J18" i="12"/>
  <c r="G141" i="5" s="1"/>
  <c r="J14" i="13"/>
  <c r="G176" i="5" s="1"/>
  <c r="J9" i="8"/>
  <c r="G93" i="5" s="1"/>
  <c r="J15" i="13"/>
  <c r="G177" i="5" s="1"/>
  <c r="J18" i="4"/>
  <c r="J25" i="8"/>
  <c r="J27" i="12"/>
  <c r="J14" i="12"/>
  <c r="G137" i="5" s="1"/>
  <c r="J13" i="12"/>
  <c r="G136" i="5" s="1"/>
  <c r="J27" i="8"/>
  <c r="J19" i="12"/>
  <c r="G142" i="5" s="1"/>
  <c r="J9" i="4"/>
  <c r="J14" i="8"/>
  <c r="J8" i="8"/>
  <c r="J8" i="12"/>
  <c r="J21" i="13"/>
  <c r="G183" i="5" s="1"/>
  <c r="J9" i="12"/>
  <c r="G132" i="5" s="1"/>
  <c r="J25" i="13"/>
  <c r="J23" i="12"/>
  <c r="G146" i="5" s="1"/>
  <c r="J17" i="12"/>
  <c r="G140" i="5" s="1"/>
  <c r="J13" i="4"/>
  <c r="J13" i="8"/>
  <c r="G97" i="5" s="1"/>
  <c r="J8" i="13"/>
  <c r="J17" i="8"/>
  <c r="J9" i="13"/>
  <c r="G171" i="5" s="1"/>
  <c r="J26" i="12"/>
  <c r="J17" i="13"/>
  <c r="G179" i="5" s="1"/>
  <c r="J18" i="13"/>
  <c r="G180" i="5" s="1"/>
  <c r="J10" i="8"/>
  <c r="J18" i="8"/>
  <c r="G102" i="5" s="1"/>
  <c r="J13" i="13"/>
  <c r="G175" i="5" s="1"/>
  <c r="J15" i="8"/>
  <c r="J22" i="8"/>
  <c r="J25" i="12"/>
  <c r="J10" i="13"/>
  <c r="G172" i="5" s="1"/>
  <c r="J21" i="12"/>
  <c r="G144" i="5" s="1"/>
  <c r="J12" i="12"/>
  <c r="G135" i="5" s="1"/>
  <c r="J23" i="8"/>
  <c r="G107" i="5" s="1"/>
  <c r="J16" i="8"/>
  <c r="J27" i="13"/>
  <c r="G189" i="5" s="1"/>
  <c r="J19" i="8"/>
  <c r="J22" i="13"/>
  <c r="G184" i="5" s="1"/>
  <c r="J24" i="12"/>
  <c r="J19" i="13"/>
  <c r="G181" i="5" s="1"/>
  <c r="J12" i="8"/>
  <c r="J16" i="13"/>
  <c r="G178" i="5" s="1"/>
  <c r="G20" i="5"/>
  <c r="G105" i="5"/>
  <c r="G68" i="5"/>
  <c r="G22" i="5"/>
  <c r="G63" i="5"/>
  <c r="G17" i="5"/>
  <c r="G24" i="5"/>
  <c r="G70" i="5"/>
  <c r="G109" i="5"/>
  <c r="G150" i="5"/>
  <c r="G26" i="5"/>
  <c r="G72" i="5"/>
  <c r="G111" i="5"/>
  <c r="G8" i="5"/>
  <c r="G54" i="5"/>
  <c r="G13" i="5"/>
  <c r="G98" i="5"/>
  <c r="G58" i="5"/>
  <c r="G12" i="5"/>
  <c r="G16" i="5"/>
  <c r="G101" i="5"/>
  <c r="G25" i="5"/>
  <c r="G149" i="5"/>
  <c r="G9" i="5"/>
  <c r="G94" i="5"/>
  <c r="G14" i="5"/>
  <c r="G99" i="5"/>
  <c r="G21" i="5"/>
  <c r="G106" i="5"/>
  <c r="G187" i="5"/>
  <c r="G148" i="5"/>
  <c r="G15" i="5"/>
  <c r="G100" i="5"/>
  <c r="G18" i="5"/>
  <c r="G103" i="5"/>
  <c r="G23" i="5"/>
  <c r="G147" i="5"/>
  <c r="G11" i="5"/>
  <c r="G96" i="5"/>
  <c r="G170" i="5" l="1"/>
  <c r="G198" i="5" s="1"/>
  <c r="G203" i="5" s="1"/>
  <c r="J36" i="13"/>
  <c r="J41" i="13" s="1"/>
  <c r="H10" i="9" s="1"/>
  <c r="G131" i="5"/>
  <c r="G159" i="5" s="1"/>
  <c r="G164" i="5" s="1"/>
  <c r="J36" i="12"/>
  <c r="J41" i="12" s="1"/>
  <c r="L11" i="5" s="1"/>
  <c r="N11" i="5" s="1"/>
  <c r="G92" i="5"/>
  <c r="G120" i="5" s="1"/>
  <c r="G125" i="5" s="1"/>
  <c r="G7" i="5"/>
  <c r="G35" i="5" s="1"/>
  <c r="G40" i="5" s="1"/>
  <c r="J36" i="8"/>
  <c r="J41" i="8" s="1"/>
  <c r="C45" i="5" s="1"/>
  <c r="J36" i="4"/>
  <c r="J41" i="4" s="1"/>
  <c r="G81" i="5"/>
  <c r="G86" i="5" s="1"/>
  <c r="C46" i="5"/>
  <c r="G10" i="9"/>
  <c r="G12" i="9"/>
  <c r="H12" i="9"/>
  <c r="O11" i="5"/>
  <c r="L9" i="5" l="1"/>
  <c r="N9" i="5" s="1"/>
  <c r="C44" i="5"/>
  <c r="E10" i="9"/>
  <c r="C47" i="5"/>
  <c r="L12" i="5"/>
  <c r="N12" i="5" s="1"/>
  <c r="L10" i="5"/>
  <c r="N10" i="5" s="1"/>
  <c r="F10" i="9"/>
  <c r="O9" i="5"/>
  <c r="O12" i="5"/>
  <c r="O10" i="5"/>
  <c r="E12" i="9"/>
  <c r="F12" i="9"/>
  <c r="C48" i="5" l="1"/>
  <c r="I10" i="9"/>
  <c r="O13" i="5"/>
  <c r="I12" i="9"/>
  <c r="E8" i="5" l="1"/>
  <c r="E7" i="5"/>
</calcChain>
</file>

<file path=xl/comments1.xml><?xml version="1.0" encoding="utf-8"?>
<comments xmlns="http://schemas.openxmlformats.org/spreadsheetml/2006/main">
  <authors>
    <author>Tom Hansen</author>
    <author>Tom Birch Hansen</author>
    <author>EA</author>
  </authors>
  <commentList>
    <comment ref="D2" authorId="0" shapeId="0">
      <text>
        <r>
          <rPr>
            <b/>
            <sz val="8"/>
            <color indexed="81"/>
            <rFont val="Tahoma"/>
          </rPr>
          <t>Tom Hansen:</t>
        </r>
        <r>
          <rPr>
            <sz val="8"/>
            <color indexed="81"/>
            <rFont val="Tahoma"/>
          </rPr>
          <t xml:space="preserve">
Enter the name of the activity/site here.</t>
        </r>
      </text>
    </comment>
    <comment ref="D7" authorId="0" shapeId="0">
      <text>
        <r>
          <rPr>
            <b/>
            <sz val="8"/>
            <color indexed="81"/>
            <rFont val="Tahoma"/>
          </rPr>
          <t>Tom Hansen:</t>
        </r>
        <r>
          <rPr>
            <sz val="8"/>
            <color indexed="81"/>
            <rFont val="Tahoma"/>
          </rPr>
          <t xml:space="preserve">
this column specifies the type of unit used in the column 'consumption units'</t>
        </r>
      </text>
    </comment>
    <comment ref="E7" authorId="0" shapeId="0">
      <text>
        <r>
          <rPr>
            <b/>
            <sz val="8"/>
            <color indexed="81"/>
            <rFont val="Tahoma"/>
          </rPr>
          <t>Tom Hansen:</t>
        </r>
        <r>
          <rPr>
            <sz val="8"/>
            <color indexed="81"/>
            <rFont val="Tahoma"/>
          </rPr>
          <t xml:space="preserve">
This column contains the consumption units converted into the basic units used for calculation of emissions</t>
        </r>
      </text>
    </comment>
    <comment ref="G7" authorId="0" shapeId="0">
      <text>
        <r>
          <rPr>
            <b/>
            <sz val="8"/>
            <color indexed="81"/>
            <rFont val="Tahoma"/>
          </rPr>
          <t>Tom Hansen:</t>
        </r>
        <r>
          <rPr>
            <sz val="8"/>
            <color indexed="81"/>
            <rFont val="Tahoma"/>
          </rPr>
          <t xml:space="preserve">
This column contains the factors used to convert the consumption into emissions</t>
        </r>
      </text>
    </comment>
    <comment ref="K7" authorId="1" shapeId="0">
      <text>
        <r>
          <rPr>
            <b/>
            <sz val="8"/>
            <color indexed="81"/>
            <rFont val="Tahoma"/>
          </rPr>
          <t>Tom Birch Hansen:</t>
        </r>
        <r>
          <rPr>
            <sz val="8"/>
            <color indexed="81"/>
            <rFont val="Tahoma"/>
          </rPr>
          <t xml:space="preserve">
factor is full fuel cycle (FFC) or point source (PS)</t>
        </r>
      </text>
    </comment>
    <comment ref="G8" authorId="2" shapeId="0">
      <text>
        <r>
          <rPr>
            <b/>
            <sz val="8"/>
            <color indexed="81"/>
            <rFont val="Tahoma"/>
          </rPr>
          <t>EA:</t>
        </r>
        <r>
          <rPr>
            <sz val="8"/>
            <color indexed="81"/>
            <rFont val="Tahoma"/>
          </rPr>
          <t xml:space="preserve">
Electricity factor is different for each state. Make sure the correct state is selected.</t>
        </r>
      </text>
    </comment>
    <comment ref="B9" authorId="1" shapeId="0">
      <text>
        <r>
          <rPr>
            <b/>
            <sz val="8"/>
            <color indexed="81"/>
            <rFont val="Tahoma"/>
          </rPr>
          <t>Tom Birch Hansen:</t>
        </r>
        <r>
          <rPr>
            <sz val="8"/>
            <color indexed="81"/>
            <rFont val="Tahoma"/>
          </rPr>
          <t xml:space="preserve">
Factor is for small users only.</t>
        </r>
      </text>
    </comment>
    <comment ref="G9" authorId="2" shapeId="0">
      <text>
        <r>
          <rPr>
            <b/>
            <sz val="8"/>
            <color indexed="81"/>
            <rFont val="Tahoma"/>
          </rPr>
          <t>EA:</t>
        </r>
        <r>
          <rPr>
            <sz val="8"/>
            <color indexed="81"/>
            <rFont val="Tahoma"/>
          </rPr>
          <t xml:space="preserve">
Natural Gas factor is different for each state. Make sure the correct state is selected.</t>
        </r>
      </text>
    </comment>
    <comment ref="B15" authorId="0" shapeId="0">
      <text>
        <r>
          <rPr>
            <b/>
            <sz val="8"/>
            <color indexed="81"/>
            <rFont val="Tahoma"/>
          </rPr>
          <t>Tom Hansen:</t>
        </r>
        <r>
          <rPr>
            <sz val="8"/>
            <color indexed="81"/>
            <rFont val="Tahoma"/>
          </rPr>
          <t xml:space="preserve">
LDV means Light Duty Vehicles</t>
        </r>
      </text>
    </comment>
    <comment ref="B16" authorId="0" shapeId="0">
      <text>
        <r>
          <rPr>
            <b/>
            <sz val="8"/>
            <color indexed="81"/>
            <rFont val="Tahoma"/>
          </rPr>
          <t>Tom Hansen:</t>
        </r>
        <r>
          <rPr>
            <sz val="8"/>
            <color indexed="81"/>
            <rFont val="Tahoma"/>
          </rPr>
          <t xml:space="preserve">
HDV means heavy duty vehicles</t>
        </r>
      </text>
    </comment>
    <comment ref="C21" authorId="1" shapeId="0">
      <text>
        <r>
          <rPr>
            <b/>
            <sz val="8"/>
            <color indexed="81"/>
            <rFont val="Tahoma"/>
            <family val="2"/>
          </rPr>
          <t>Waste in cubic meters</t>
        </r>
        <r>
          <rPr>
            <sz val="8"/>
            <color indexed="81"/>
            <rFont val="Tahoma"/>
          </rPr>
          <t xml:space="preserve">
If you can only get a waste figure in cubic metres, then you may use the following generic conversion to get a tonnage figure:
Divide the cubic metres of waste by 100.  </t>
        </r>
        <r>
          <rPr>
            <b/>
            <sz val="8"/>
            <color indexed="81"/>
            <rFont val="Tahoma"/>
            <family val="2"/>
          </rPr>
          <t>Please note</t>
        </r>
        <r>
          <rPr>
            <sz val="8"/>
            <color indexed="81"/>
            <rFont val="Tahoma"/>
          </rPr>
          <t xml:space="preserve">, there is significant uncertainty when using this generic conversion as composition and compression of the waste influence the conversion. If you use this conversion, then you should note this in the progress report.
</t>
        </r>
      </text>
    </comment>
    <comment ref="G31" authorId="0" shapeId="0">
      <text>
        <r>
          <rPr>
            <b/>
            <sz val="8"/>
            <color indexed="81"/>
            <rFont val="Tahoma"/>
          </rPr>
          <t>Tom Hansen:</t>
        </r>
        <r>
          <rPr>
            <sz val="8"/>
            <color indexed="81"/>
            <rFont val="Tahoma"/>
          </rPr>
          <t xml:space="preserve">
several different factors, depending on what type of HFC is used. See workbook.</t>
        </r>
      </text>
    </comment>
    <comment ref="B33" authorId="0" shapeId="0">
      <text>
        <r>
          <rPr>
            <b/>
            <sz val="8"/>
            <color indexed="81"/>
            <rFont val="Tahoma"/>
          </rPr>
          <t>Tom Hansen:</t>
        </r>
        <r>
          <rPr>
            <sz val="8"/>
            <color indexed="81"/>
            <rFont val="Tahoma"/>
          </rPr>
          <t xml:space="preserve">
For other fuels/processes enter the data in these rows. Factors may be found in the AGO factors workbook found on the AGO website.</t>
        </r>
      </text>
    </comment>
    <comment ref="B38" authorId="1" shapeId="0">
      <text>
        <r>
          <rPr>
            <sz val="8"/>
            <color indexed="81"/>
            <rFont val="Tahoma"/>
          </rPr>
          <t>Enter any offset data in these rows. Values in right column should be in tonnes CO2-e, expressed as a negative value.</t>
        </r>
      </text>
    </comment>
  </commentList>
</comments>
</file>

<file path=xl/comments2.xml><?xml version="1.0" encoding="utf-8"?>
<comments xmlns="http://schemas.openxmlformats.org/spreadsheetml/2006/main">
  <authors>
    <author>Tom Hansen</author>
    <author>Tom Birch Hansen</author>
    <author>EA</author>
  </authors>
  <commentList>
    <comment ref="D2" authorId="0" shapeId="0">
      <text>
        <r>
          <rPr>
            <b/>
            <sz val="8"/>
            <color indexed="81"/>
            <rFont val="Tahoma"/>
          </rPr>
          <t>Tom Hansen:</t>
        </r>
        <r>
          <rPr>
            <sz val="8"/>
            <color indexed="81"/>
            <rFont val="Tahoma"/>
          </rPr>
          <t xml:space="preserve">
Enter the name of the Activity/Site here</t>
        </r>
      </text>
    </comment>
    <comment ref="D7" authorId="0" shapeId="0">
      <text>
        <r>
          <rPr>
            <b/>
            <sz val="8"/>
            <color indexed="81"/>
            <rFont val="Tahoma"/>
          </rPr>
          <t>Tom Hansen:</t>
        </r>
        <r>
          <rPr>
            <sz val="8"/>
            <color indexed="81"/>
            <rFont val="Tahoma"/>
          </rPr>
          <t xml:space="preserve">
this column specifies the type of unit used in the column 'consumption units'</t>
        </r>
      </text>
    </comment>
    <comment ref="E7" authorId="0" shapeId="0">
      <text>
        <r>
          <rPr>
            <b/>
            <sz val="8"/>
            <color indexed="81"/>
            <rFont val="Tahoma"/>
          </rPr>
          <t>Tom Hansen:</t>
        </r>
        <r>
          <rPr>
            <sz val="8"/>
            <color indexed="81"/>
            <rFont val="Tahoma"/>
          </rPr>
          <t xml:space="preserve">
This column contains the consumption units converted into the basic units used for calculation of emissions</t>
        </r>
      </text>
    </comment>
    <comment ref="G7" authorId="0" shapeId="0">
      <text>
        <r>
          <rPr>
            <b/>
            <sz val="8"/>
            <color indexed="81"/>
            <rFont val="Tahoma"/>
          </rPr>
          <t>Tom Hansen:</t>
        </r>
        <r>
          <rPr>
            <sz val="8"/>
            <color indexed="81"/>
            <rFont val="Tahoma"/>
          </rPr>
          <t xml:space="preserve">
This column contains the factors used to convert the consumption into emissions</t>
        </r>
      </text>
    </comment>
    <comment ref="K7" authorId="1" shapeId="0">
      <text>
        <r>
          <rPr>
            <b/>
            <sz val="8"/>
            <color indexed="81"/>
            <rFont val="Tahoma"/>
          </rPr>
          <t>Tom Birch Hansen:</t>
        </r>
        <r>
          <rPr>
            <sz val="8"/>
            <color indexed="81"/>
            <rFont val="Tahoma"/>
          </rPr>
          <t xml:space="preserve">
factor is full fuel cycle (FFC) or point source (PS)</t>
        </r>
      </text>
    </comment>
    <comment ref="G8" authorId="2" shapeId="0">
      <text>
        <r>
          <rPr>
            <b/>
            <sz val="8"/>
            <color indexed="81"/>
            <rFont val="Tahoma"/>
          </rPr>
          <t>EA:</t>
        </r>
        <r>
          <rPr>
            <sz val="8"/>
            <color indexed="81"/>
            <rFont val="Tahoma"/>
          </rPr>
          <t xml:space="preserve">
Electricity factor is different for each state. Make sure the correct state is selected.</t>
        </r>
      </text>
    </comment>
    <comment ref="B9" authorId="1" shapeId="0">
      <text>
        <r>
          <rPr>
            <b/>
            <sz val="8"/>
            <color indexed="81"/>
            <rFont val="Tahoma"/>
          </rPr>
          <t>Tom Birch Hansen:</t>
        </r>
        <r>
          <rPr>
            <sz val="8"/>
            <color indexed="81"/>
            <rFont val="Tahoma"/>
          </rPr>
          <t xml:space="preserve">
Factor is for small users only.</t>
        </r>
      </text>
    </comment>
    <comment ref="G9" authorId="2" shapeId="0">
      <text>
        <r>
          <rPr>
            <b/>
            <sz val="8"/>
            <color indexed="81"/>
            <rFont val="Tahoma"/>
          </rPr>
          <t>EA:</t>
        </r>
        <r>
          <rPr>
            <sz val="8"/>
            <color indexed="81"/>
            <rFont val="Tahoma"/>
          </rPr>
          <t xml:space="preserve">
Natural Gas factor is different for each state. Make sure the correct state is selected.</t>
        </r>
      </text>
    </comment>
    <comment ref="B15" authorId="0" shapeId="0">
      <text>
        <r>
          <rPr>
            <b/>
            <sz val="8"/>
            <color indexed="81"/>
            <rFont val="Tahoma"/>
          </rPr>
          <t>Tom Hansen:</t>
        </r>
        <r>
          <rPr>
            <sz val="8"/>
            <color indexed="81"/>
            <rFont val="Tahoma"/>
          </rPr>
          <t xml:space="preserve">
LDV means Light Duty Vehicles</t>
        </r>
      </text>
    </comment>
    <comment ref="B16" authorId="0" shapeId="0">
      <text>
        <r>
          <rPr>
            <b/>
            <sz val="8"/>
            <color indexed="81"/>
            <rFont val="Tahoma"/>
          </rPr>
          <t>Tom Hansen:</t>
        </r>
        <r>
          <rPr>
            <sz val="8"/>
            <color indexed="81"/>
            <rFont val="Tahoma"/>
          </rPr>
          <t xml:space="preserve">
HDV means heavy duty vehicles</t>
        </r>
      </text>
    </comment>
    <comment ref="C21" authorId="1" shapeId="0">
      <text>
        <r>
          <rPr>
            <b/>
            <sz val="8"/>
            <color indexed="81"/>
            <rFont val="Tahoma"/>
            <family val="2"/>
          </rPr>
          <t>Waste in cubic meters</t>
        </r>
        <r>
          <rPr>
            <sz val="8"/>
            <color indexed="81"/>
            <rFont val="Tahoma"/>
            <family val="2"/>
          </rPr>
          <t xml:space="preserve">
If you can only get a waste figure in cubic metres, then you may use the following generic conversion to get a tonnage figure:
Divide the cubic metres of waste by 100.  </t>
        </r>
        <r>
          <rPr>
            <b/>
            <sz val="8"/>
            <color indexed="81"/>
            <rFont val="Tahoma"/>
            <family val="2"/>
          </rPr>
          <t>Please note</t>
        </r>
        <r>
          <rPr>
            <sz val="8"/>
            <color indexed="81"/>
            <rFont val="Tahoma"/>
            <family val="2"/>
          </rPr>
          <t>, there is significant uncertainty when using this generic conversion as composition and compression of the waste influence the conversion. If you use this conversion, then you should note this in the progress report.</t>
        </r>
      </text>
    </comment>
    <comment ref="G31" authorId="0" shapeId="0">
      <text>
        <r>
          <rPr>
            <b/>
            <sz val="8"/>
            <color indexed="81"/>
            <rFont val="Tahoma"/>
          </rPr>
          <t>Tom Hansen:</t>
        </r>
        <r>
          <rPr>
            <sz val="8"/>
            <color indexed="81"/>
            <rFont val="Tahoma"/>
          </rPr>
          <t xml:space="preserve">
several different factors, depending on what type of HFC is used. See workbook.</t>
        </r>
      </text>
    </comment>
    <comment ref="B33" authorId="0" shapeId="0">
      <text>
        <r>
          <rPr>
            <b/>
            <sz val="8"/>
            <color indexed="81"/>
            <rFont val="Tahoma"/>
          </rPr>
          <t>Tom Hansen:</t>
        </r>
        <r>
          <rPr>
            <sz val="8"/>
            <color indexed="81"/>
            <rFont val="Tahoma"/>
          </rPr>
          <t xml:space="preserve">
For other fuels/processes enter the data in these rows. Factors may be found in the AGO factors workbook found on the ago website.</t>
        </r>
      </text>
    </comment>
    <comment ref="B38" authorId="1" shapeId="0">
      <text>
        <r>
          <rPr>
            <sz val="8"/>
            <color indexed="81"/>
            <rFont val="Tahoma"/>
            <family val="2"/>
          </rPr>
          <t>Enter any offset data in these rows. Values in right column should be in tonnes CO2-e, expressed as a negative value.</t>
        </r>
      </text>
    </comment>
  </commentList>
</comments>
</file>

<file path=xl/comments3.xml><?xml version="1.0" encoding="utf-8"?>
<comments xmlns="http://schemas.openxmlformats.org/spreadsheetml/2006/main">
  <authors>
    <author>Tom Hansen</author>
    <author>Tom Birch Hansen</author>
    <author>EA</author>
  </authors>
  <commentList>
    <comment ref="D2" authorId="0" shapeId="0">
      <text>
        <r>
          <rPr>
            <b/>
            <sz val="8"/>
            <color indexed="81"/>
            <rFont val="Tahoma"/>
          </rPr>
          <t>Tom Hansen:</t>
        </r>
        <r>
          <rPr>
            <sz val="8"/>
            <color indexed="81"/>
            <rFont val="Tahoma"/>
          </rPr>
          <t xml:space="preserve">
Enter the name of the activity/site here.</t>
        </r>
      </text>
    </comment>
    <comment ref="D7" authorId="0" shapeId="0">
      <text>
        <r>
          <rPr>
            <b/>
            <sz val="8"/>
            <color indexed="81"/>
            <rFont val="Tahoma"/>
          </rPr>
          <t>Tom Hansen:</t>
        </r>
        <r>
          <rPr>
            <sz val="8"/>
            <color indexed="81"/>
            <rFont val="Tahoma"/>
          </rPr>
          <t xml:space="preserve">
this column specifies the type of unit used in the column 'consumption units'</t>
        </r>
      </text>
    </comment>
    <comment ref="E7" authorId="0" shapeId="0">
      <text>
        <r>
          <rPr>
            <b/>
            <sz val="8"/>
            <color indexed="81"/>
            <rFont val="Tahoma"/>
          </rPr>
          <t>Tom Hansen:</t>
        </r>
        <r>
          <rPr>
            <sz val="8"/>
            <color indexed="81"/>
            <rFont val="Tahoma"/>
          </rPr>
          <t xml:space="preserve">
This column contains the consumption units converted into the basic units used for calculation of emissions</t>
        </r>
      </text>
    </comment>
    <comment ref="G7" authorId="0" shapeId="0">
      <text>
        <r>
          <rPr>
            <b/>
            <sz val="8"/>
            <color indexed="81"/>
            <rFont val="Tahoma"/>
          </rPr>
          <t>Tom Hansen:</t>
        </r>
        <r>
          <rPr>
            <sz val="8"/>
            <color indexed="81"/>
            <rFont val="Tahoma"/>
          </rPr>
          <t xml:space="preserve">
This column contains the factors used to convert the consumption into emissions</t>
        </r>
      </text>
    </comment>
    <comment ref="K7" authorId="1" shapeId="0">
      <text>
        <r>
          <rPr>
            <b/>
            <sz val="8"/>
            <color indexed="81"/>
            <rFont val="Tahoma"/>
          </rPr>
          <t>Tom Birch Hansen:</t>
        </r>
        <r>
          <rPr>
            <sz val="8"/>
            <color indexed="81"/>
            <rFont val="Tahoma"/>
          </rPr>
          <t xml:space="preserve">
factor is full fuel cycle (FFC) or point source (PS)</t>
        </r>
      </text>
    </comment>
    <comment ref="G8" authorId="2" shapeId="0">
      <text>
        <r>
          <rPr>
            <b/>
            <sz val="8"/>
            <color indexed="81"/>
            <rFont val="Tahoma"/>
          </rPr>
          <t>EA:</t>
        </r>
        <r>
          <rPr>
            <sz val="8"/>
            <color indexed="81"/>
            <rFont val="Tahoma"/>
          </rPr>
          <t xml:space="preserve">
Electricity factor is different for each state. Make sure the correct state is selected.</t>
        </r>
      </text>
    </comment>
    <comment ref="B9" authorId="1" shapeId="0">
      <text>
        <r>
          <rPr>
            <b/>
            <sz val="8"/>
            <color indexed="81"/>
            <rFont val="Tahoma"/>
          </rPr>
          <t>Tom Birch Hansen:</t>
        </r>
        <r>
          <rPr>
            <sz val="8"/>
            <color indexed="81"/>
            <rFont val="Tahoma"/>
          </rPr>
          <t xml:space="preserve">
Factors are for small users only.</t>
        </r>
      </text>
    </comment>
    <comment ref="G9" authorId="2" shapeId="0">
      <text>
        <r>
          <rPr>
            <b/>
            <sz val="8"/>
            <color indexed="81"/>
            <rFont val="Tahoma"/>
          </rPr>
          <t>EA:</t>
        </r>
        <r>
          <rPr>
            <sz val="8"/>
            <color indexed="81"/>
            <rFont val="Tahoma"/>
          </rPr>
          <t xml:space="preserve">
Natural Gas factor is different for each state. Make sure the correct state is selected.</t>
        </r>
      </text>
    </comment>
    <comment ref="B15" authorId="0" shapeId="0">
      <text>
        <r>
          <rPr>
            <b/>
            <sz val="8"/>
            <color indexed="81"/>
            <rFont val="Tahoma"/>
          </rPr>
          <t>Tom Hansen:</t>
        </r>
        <r>
          <rPr>
            <sz val="8"/>
            <color indexed="81"/>
            <rFont val="Tahoma"/>
          </rPr>
          <t xml:space="preserve">
LDV means Light Duty Vehicles</t>
        </r>
      </text>
    </comment>
    <comment ref="B16" authorId="0" shapeId="0">
      <text>
        <r>
          <rPr>
            <b/>
            <sz val="8"/>
            <color indexed="81"/>
            <rFont val="Tahoma"/>
          </rPr>
          <t>Tom Hansen:</t>
        </r>
        <r>
          <rPr>
            <sz val="8"/>
            <color indexed="81"/>
            <rFont val="Tahoma"/>
          </rPr>
          <t xml:space="preserve">
HDV means heavy duty vehicles</t>
        </r>
      </text>
    </comment>
    <comment ref="C21" authorId="1" shapeId="0">
      <text>
        <r>
          <rPr>
            <b/>
            <sz val="8"/>
            <color indexed="81"/>
            <rFont val="Tahoma"/>
            <family val="2"/>
          </rPr>
          <t>Waste in cubic meters</t>
        </r>
        <r>
          <rPr>
            <sz val="8"/>
            <color indexed="81"/>
            <rFont val="Tahoma"/>
            <family val="2"/>
          </rPr>
          <t xml:space="preserve">
If you can only get a waste figure in cubic metres, then you may use the following generic conversion to get a tonnage figure:
Divide the cubic metres of waste by 100.  </t>
        </r>
        <r>
          <rPr>
            <b/>
            <sz val="8"/>
            <color indexed="81"/>
            <rFont val="Tahoma"/>
            <family val="2"/>
          </rPr>
          <t>Please note</t>
        </r>
        <r>
          <rPr>
            <sz val="8"/>
            <color indexed="81"/>
            <rFont val="Tahoma"/>
            <family val="2"/>
          </rPr>
          <t>, there is significant uncertainty when using this generic conversion as composition and compression of the waste influence the conversion. If you use this conversion, then you should note this in the progress report.</t>
        </r>
      </text>
    </comment>
    <comment ref="G31" authorId="0" shapeId="0">
      <text>
        <r>
          <rPr>
            <b/>
            <sz val="8"/>
            <color indexed="81"/>
            <rFont val="Tahoma"/>
          </rPr>
          <t>Tom Hansen:</t>
        </r>
        <r>
          <rPr>
            <sz val="8"/>
            <color indexed="81"/>
            <rFont val="Tahoma"/>
          </rPr>
          <t xml:space="preserve">
several different factors, depending on what type of HFC is used. See workbook.</t>
        </r>
      </text>
    </comment>
    <comment ref="B33" authorId="0" shapeId="0">
      <text>
        <r>
          <rPr>
            <b/>
            <sz val="8"/>
            <color indexed="81"/>
            <rFont val="Tahoma"/>
          </rPr>
          <t>Tom Hansen:</t>
        </r>
        <r>
          <rPr>
            <sz val="8"/>
            <color indexed="81"/>
            <rFont val="Tahoma"/>
          </rPr>
          <t xml:space="preserve">
For other fuels/processes enter the data in these rows. Factors may be found in the AGO factors workbook found on the ago website.</t>
        </r>
      </text>
    </comment>
    <comment ref="B38" authorId="1" shapeId="0">
      <text>
        <r>
          <rPr>
            <sz val="8"/>
            <color indexed="81"/>
            <rFont val="Tahoma"/>
            <family val="2"/>
          </rPr>
          <t>Enter any offset data in these rows. Values in right column should be in tonnes CO2-e, expressed as a negative value.</t>
        </r>
      </text>
    </comment>
  </commentList>
</comments>
</file>

<file path=xl/comments4.xml><?xml version="1.0" encoding="utf-8"?>
<comments xmlns="http://schemas.openxmlformats.org/spreadsheetml/2006/main">
  <authors>
    <author>Tom Hansen</author>
    <author>Tom Birch Hansen</author>
    <author>EA</author>
  </authors>
  <commentList>
    <comment ref="D2" authorId="0" shapeId="0">
      <text>
        <r>
          <rPr>
            <b/>
            <sz val="8"/>
            <color indexed="81"/>
            <rFont val="Tahoma"/>
          </rPr>
          <t>Tom Hansen:</t>
        </r>
        <r>
          <rPr>
            <sz val="8"/>
            <color indexed="81"/>
            <rFont val="Tahoma"/>
          </rPr>
          <t xml:space="preserve">
Enter the name of the activity/site here.</t>
        </r>
      </text>
    </comment>
    <comment ref="D7" authorId="0" shapeId="0">
      <text>
        <r>
          <rPr>
            <b/>
            <sz val="8"/>
            <color indexed="81"/>
            <rFont val="Tahoma"/>
          </rPr>
          <t>Tom Hansen:</t>
        </r>
        <r>
          <rPr>
            <sz val="8"/>
            <color indexed="81"/>
            <rFont val="Tahoma"/>
          </rPr>
          <t xml:space="preserve">
this column specifies the type of unit used in the column 'consumption units'</t>
        </r>
      </text>
    </comment>
    <comment ref="E7" authorId="0" shapeId="0">
      <text>
        <r>
          <rPr>
            <b/>
            <sz val="8"/>
            <color indexed="81"/>
            <rFont val="Tahoma"/>
          </rPr>
          <t>Tom Hansen:</t>
        </r>
        <r>
          <rPr>
            <sz val="8"/>
            <color indexed="81"/>
            <rFont val="Tahoma"/>
          </rPr>
          <t xml:space="preserve">
This column contains the consumption units converted into the basic units used for calculation of emissions</t>
        </r>
      </text>
    </comment>
    <comment ref="G7" authorId="0" shapeId="0">
      <text>
        <r>
          <rPr>
            <b/>
            <sz val="8"/>
            <color indexed="81"/>
            <rFont val="Tahoma"/>
          </rPr>
          <t>Tom Hansen:</t>
        </r>
        <r>
          <rPr>
            <sz val="8"/>
            <color indexed="81"/>
            <rFont val="Tahoma"/>
          </rPr>
          <t xml:space="preserve">
This column contains the factors used to convert the consumption into emissions</t>
        </r>
      </text>
    </comment>
    <comment ref="K7" authorId="1" shapeId="0">
      <text>
        <r>
          <rPr>
            <b/>
            <sz val="8"/>
            <color indexed="81"/>
            <rFont val="Tahoma"/>
          </rPr>
          <t>Tom Birch Hansen:</t>
        </r>
        <r>
          <rPr>
            <sz val="8"/>
            <color indexed="81"/>
            <rFont val="Tahoma"/>
          </rPr>
          <t xml:space="preserve">
factor is full fuel cycle (FFC) or point source (PS)</t>
        </r>
      </text>
    </comment>
    <comment ref="G8" authorId="2" shapeId="0">
      <text>
        <r>
          <rPr>
            <b/>
            <sz val="8"/>
            <color indexed="81"/>
            <rFont val="Tahoma"/>
          </rPr>
          <t>EA:</t>
        </r>
        <r>
          <rPr>
            <sz val="8"/>
            <color indexed="81"/>
            <rFont val="Tahoma"/>
          </rPr>
          <t xml:space="preserve">
Electricity factor is different for each state. Make sure the correct state is selected.</t>
        </r>
      </text>
    </comment>
    <comment ref="B9" authorId="1" shapeId="0">
      <text>
        <r>
          <rPr>
            <b/>
            <sz val="8"/>
            <color indexed="81"/>
            <rFont val="Tahoma"/>
          </rPr>
          <t>Tom Birch Hansen:</t>
        </r>
        <r>
          <rPr>
            <sz val="8"/>
            <color indexed="81"/>
            <rFont val="Tahoma"/>
          </rPr>
          <t xml:space="preserve">
Factors are for small users only.</t>
        </r>
      </text>
    </comment>
    <comment ref="G9" authorId="2" shapeId="0">
      <text>
        <r>
          <rPr>
            <b/>
            <sz val="8"/>
            <color indexed="81"/>
            <rFont val="Tahoma"/>
          </rPr>
          <t>EA:</t>
        </r>
        <r>
          <rPr>
            <sz val="8"/>
            <color indexed="81"/>
            <rFont val="Tahoma"/>
          </rPr>
          <t xml:space="preserve">
Natural Gas factor is different for each state. Make sure the correct state is selected.</t>
        </r>
      </text>
    </comment>
    <comment ref="B15" authorId="0" shapeId="0">
      <text>
        <r>
          <rPr>
            <b/>
            <sz val="8"/>
            <color indexed="81"/>
            <rFont val="Tahoma"/>
          </rPr>
          <t>Tom Hansen:</t>
        </r>
        <r>
          <rPr>
            <sz val="8"/>
            <color indexed="81"/>
            <rFont val="Tahoma"/>
          </rPr>
          <t xml:space="preserve">
LDV means Light Duty Vehicles</t>
        </r>
      </text>
    </comment>
    <comment ref="B16" authorId="0" shapeId="0">
      <text>
        <r>
          <rPr>
            <b/>
            <sz val="8"/>
            <color indexed="81"/>
            <rFont val="Tahoma"/>
          </rPr>
          <t>Tom Hansen:</t>
        </r>
        <r>
          <rPr>
            <sz val="8"/>
            <color indexed="81"/>
            <rFont val="Tahoma"/>
          </rPr>
          <t xml:space="preserve">
HDV means heavy duty vehicles</t>
        </r>
      </text>
    </comment>
    <comment ref="C21" authorId="1" shapeId="0">
      <text>
        <r>
          <rPr>
            <b/>
            <sz val="8"/>
            <color indexed="81"/>
            <rFont val="Tahoma"/>
            <family val="2"/>
          </rPr>
          <t>Waste in cubic meters</t>
        </r>
        <r>
          <rPr>
            <sz val="8"/>
            <color indexed="81"/>
            <rFont val="Tahoma"/>
            <family val="2"/>
          </rPr>
          <t xml:space="preserve">
If you can only get a waste figure in cubic metres, then you may use the following generic conversion to get a tonnage figure:
Divide the cubic metres of waste by 100.  </t>
        </r>
        <r>
          <rPr>
            <b/>
            <sz val="8"/>
            <color indexed="81"/>
            <rFont val="Tahoma"/>
            <family val="2"/>
          </rPr>
          <t>Please note</t>
        </r>
        <r>
          <rPr>
            <sz val="8"/>
            <color indexed="81"/>
            <rFont val="Tahoma"/>
            <family val="2"/>
          </rPr>
          <t>, there is significant uncertainty when using this generic conversion as composition and compression of the waste influence the conversion. If you use this conversion, then you should note this in the progress report.</t>
        </r>
      </text>
    </comment>
    <comment ref="G31" authorId="0" shapeId="0">
      <text>
        <r>
          <rPr>
            <b/>
            <sz val="8"/>
            <color indexed="81"/>
            <rFont val="Tahoma"/>
          </rPr>
          <t>Tom Hansen:</t>
        </r>
        <r>
          <rPr>
            <sz val="8"/>
            <color indexed="81"/>
            <rFont val="Tahoma"/>
          </rPr>
          <t xml:space="preserve">
several different factors, depending on what type of HFC is used. See workbook.</t>
        </r>
      </text>
    </comment>
    <comment ref="B33" authorId="0" shapeId="0">
      <text>
        <r>
          <rPr>
            <b/>
            <sz val="8"/>
            <color indexed="81"/>
            <rFont val="Tahoma"/>
          </rPr>
          <t>Tom Hansen:</t>
        </r>
        <r>
          <rPr>
            <sz val="8"/>
            <color indexed="81"/>
            <rFont val="Tahoma"/>
          </rPr>
          <t xml:space="preserve">
For other fuels/processes enter the data in these rows. Factors may be found in the AGO factors workbook found on the ago website.</t>
        </r>
      </text>
    </comment>
    <comment ref="B38" authorId="1" shapeId="0">
      <text>
        <r>
          <rPr>
            <sz val="8"/>
            <color indexed="81"/>
            <rFont val="Tahoma"/>
          </rPr>
          <t>Enter any offset data in these rows. Values in right column should be in tonnes CO2-e, expressed as a negative value.</t>
        </r>
      </text>
    </comment>
  </commentList>
</comments>
</file>

<file path=xl/comments5.xml><?xml version="1.0" encoding="utf-8"?>
<comments xmlns="http://schemas.openxmlformats.org/spreadsheetml/2006/main">
  <authors>
    <author>Tom Hansen</author>
    <author>Tom Birch Hansen</author>
  </authors>
  <commentList>
    <comment ref="E10" authorId="0" shapeId="0">
      <text>
        <r>
          <rPr>
            <b/>
            <sz val="8"/>
            <color indexed="81"/>
            <rFont val="Tahoma"/>
          </rPr>
          <t>Tom Hansen:</t>
        </r>
        <r>
          <rPr>
            <sz val="8"/>
            <color indexed="81"/>
            <rFont val="Tahoma"/>
          </rPr>
          <t xml:space="preserve">
Value is the total emission for the activity/site
</t>
        </r>
      </text>
    </comment>
    <comment ref="F10" authorId="0" shapeId="0">
      <text>
        <r>
          <rPr>
            <b/>
            <sz val="8"/>
            <color indexed="81"/>
            <rFont val="Tahoma"/>
          </rPr>
          <t>Tom Hansen:</t>
        </r>
        <r>
          <rPr>
            <sz val="8"/>
            <color indexed="81"/>
            <rFont val="Tahoma"/>
          </rPr>
          <t xml:space="preserve">
Value is the total emission for the activity/site</t>
        </r>
      </text>
    </comment>
    <comment ref="G10" authorId="1" shapeId="0">
      <text>
        <r>
          <rPr>
            <b/>
            <sz val="8"/>
            <color indexed="81"/>
            <rFont val="Tahoma"/>
          </rPr>
          <t>Tom Birch Hansen:</t>
        </r>
        <r>
          <rPr>
            <sz val="8"/>
            <color indexed="81"/>
            <rFont val="Tahoma"/>
          </rPr>
          <t xml:space="preserve">
Value is the total emission for the activity/site</t>
        </r>
      </text>
    </comment>
    <comment ref="H10" authorId="1" shapeId="0">
      <text>
        <r>
          <rPr>
            <b/>
            <sz val="8"/>
            <color indexed="81"/>
            <rFont val="Tahoma"/>
          </rPr>
          <t>Tom Birch Hansen:</t>
        </r>
        <r>
          <rPr>
            <sz val="8"/>
            <color indexed="81"/>
            <rFont val="Tahoma"/>
          </rPr>
          <t xml:space="preserve">
Value is the total emission for the activity/site</t>
        </r>
      </text>
    </comment>
    <comment ref="I10" authorId="0" shapeId="0">
      <text>
        <r>
          <rPr>
            <b/>
            <sz val="8"/>
            <color indexed="81"/>
            <rFont val="Tahoma"/>
          </rPr>
          <t>Tom Hansen:</t>
        </r>
        <r>
          <rPr>
            <sz val="8"/>
            <color indexed="81"/>
            <rFont val="Tahoma"/>
          </rPr>
          <t xml:space="preserve">
Value is the sum of emission for all the activities/sites</t>
        </r>
      </text>
    </comment>
    <comment ref="I11" authorId="0" shapeId="0">
      <text>
        <r>
          <rPr>
            <b/>
            <sz val="8"/>
            <color indexed="81"/>
            <rFont val="Tahoma"/>
          </rPr>
          <t>Tom Hansen:</t>
        </r>
        <r>
          <rPr>
            <sz val="8"/>
            <color indexed="81"/>
            <rFont val="Tahoma"/>
          </rPr>
          <t xml:space="preserve">
value is the sum for all the activites/sites</t>
        </r>
      </text>
    </comment>
  </commentList>
</comments>
</file>

<file path=xl/comments6.xml><?xml version="1.0" encoding="utf-8"?>
<comments xmlns="http://schemas.openxmlformats.org/spreadsheetml/2006/main">
  <authors>
    <author>Tom Birch Hansen</author>
    <author>EA</author>
  </authors>
  <commentList>
    <comment ref="AD1" authorId="0" shapeId="0">
      <text>
        <r>
          <rPr>
            <b/>
            <sz val="8"/>
            <color indexed="81"/>
            <rFont val="Tahoma"/>
          </rPr>
          <t>Is value full fuel cycle FFC or Point Source PS?</t>
        </r>
      </text>
    </comment>
    <comment ref="AE1" authorId="0" shapeId="0">
      <text>
        <r>
          <rPr>
            <b/>
            <sz val="8"/>
            <color indexed="81"/>
            <rFont val="Tahoma"/>
          </rPr>
          <t>Tom Birch Hansen:</t>
        </r>
        <r>
          <rPr>
            <sz val="8"/>
            <color indexed="81"/>
            <rFont val="Tahoma"/>
          </rPr>
          <t xml:space="preserve">
Rounded value as to be used in calculation</t>
        </r>
      </text>
    </comment>
    <comment ref="V2" authorId="1" shapeId="0">
      <text>
        <r>
          <rPr>
            <b/>
            <sz val="8"/>
            <color indexed="81"/>
            <rFont val="Tahoma"/>
          </rPr>
          <t>EA:</t>
        </r>
        <r>
          <rPr>
            <sz val="8"/>
            <color indexed="81"/>
            <rFont val="Tahoma"/>
          </rPr>
          <t xml:space="preserve">
Workbook values are rounded to two digits</t>
        </r>
      </text>
    </comment>
    <comment ref="AE2" authorId="1" shapeId="0">
      <text>
        <r>
          <rPr>
            <b/>
            <sz val="8"/>
            <color indexed="81"/>
            <rFont val="Tahoma"/>
          </rPr>
          <t>EA:</t>
        </r>
        <r>
          <rPr>
            <sz val="8"/>
            <color indexed="81"/>
            <rFont val="Tahoma"/>
          </rPr>
          <t xml:space="preserve">
Rounded to two determining digits.</t>
        </r>
      </text>
    </comment>
    <comment ref="AM2" authorId="0" shapeId="0">
      <text>
        <r>
          <rPr>
            <b/>
            <sz val="8"/>
            <color indexed="81"/>
            <rFont val="Tahoma"/>
          </rPr>
          <t>Tom Birch Hansen:</t>
        </r>
        <r>
          <rPr>
            <sz val="8"/>
            <color indexed="81"/>
            <rFont val="Tahoma"/>
          </rPr>
          <t xml:space="preserve">
Rounded to 2 determining digits</t>
        </r>
      </text>
    </comment>
  </commentList>
</comments>
</file>

<file path=xl/comments7.xml><?xml version="1.0" encoding="utf-8"?>
<comments xmlns="http://schemas.openxmlformats.org/spreadsheetml/2006/main">
  <authors>
    <author>Tom Birch Hansen</author>
  </authors>
  <commentList>
    <comment ref="I2" authorId="0" shapeId="0">
      <text>
        <r>
          <rPr>
            <b/>
            <sz val="8"/>
            <color indexed="81"/>
            <rFont val="Tahoma"/>
          </rPr>
          <t>Tom Birch Hansen:</t>
        </r>
        <r>
          <rPr>
            <sz val="8"/>
            <color indexed="81"/>
            <rFont val="Tahoma"/>
          </rPr>
          <t xml:space="preserve">
Tonnes emission has to be multiplied with this figure to reach the unit in the emission basis</t>
        </r>
      </text>
    </comment>
  </commentList>
</comments>
</file>

<file path=xl/sharedStrings.xml><?xml version="1.0" encoding="utf-8"?>
<sst xmlns="http://schemas.openxmlformats.org/spreadsheetml/2006/main" count="1352" uniqueCount="478">
  <si>
    <t>kWh</t>
  </si>
  <si>
    <t>ACT</t>
  </si>
  <si>
    <t>NSW</t>
  </si>
  <si>
    <t>VIC</t>
  </si>
  <si>
    <t>QLD</t>
  </si>
  <si>
    <t>SA</t>
  </si>
  <si>
    <t>WA</t>
  </si>
  <si>
    <t>TAS</t>
  </si>
  <si>
    <t>NT</t>
  </si>
  <si>
    <t>factors</t>
  </si>
  <si>
    <t>Electricity</t>
  </si>
  <si>
    <t>Fuel/process</t>
  </si>
  <si>
    <t>Unit</t>
  </si>
  <si>
    <t>KWh</t>
  </si>
  <si>
    <t>GWh</t>
  </si>
  <si>
    <t>kg CO2/kWh</t>
  </si>
  <si>
    <t>Unit conversion:</t>
  </si>
  <si>
    <t>ML</t>
  </si>
  <si>
    <t>kL</t>
  </si>
  <si>
    <t>kilolitres</t>
  </si>
  <si>
    <t>T</t>
  </si>
  <si>
    <t>Automotive Diesel Oil</t>
  </si>
  <si>
    <t>GJ</t>
  </si>
  <si>
    <t>kg CO2/GJ</t>
  </si>
  <si>
    <t>Consumption (Units)</t>
  </si>
  <si>
    <t>Conversion factor</t>
  </si>
  <si>
    <t>Consumption units</t>
  </si>
  <si>
    <t>Total</t>
  </si>
  <si>
    <t>Other</t>
  </si>
  <si>
    <t>Natural Gas (non transport)</t>
  </si>
  <si>
    <t>Site/Activity A</t>
  </si>
  <si>
    <t>Natural Gas distribution (non transport)</t>
  </si>
  <si>
    <t>Emissions inventory</t>
  </si>
  <si>
    <t>LPG - transport</t>
  </si>
  <si>
    <t>Aviation Gasoline</t>
  </si>
  <si>
    <t>Aviation Turbine</t>
  </si>
  <si>
    <t>workbook version</t>
  </si>
  <si>
    <t>ID</t>
  </si>
  <si>
    <t>state</t>
  </si>
  <si>
    <t>Transport fuels</t>
  </si>
  <si>
    <t>1_Automotive Gasoline</t>
  </si>
  <si>
    <t>2_Automotive Gasoline</t>
  </si>
  <si>
    <t>1_ADO(current fuel)</t>
  </si>
  <si>
    <t>2_ADO(current fuel)</t>
  </si>
  <si>
    <t>1_ADO low sulfur (&lt;500ppm)</t>
  </si>
  <si>
    <t>2_ADO low sulfur (&lt;500ppm)</t>
  </si>
  <si>
    <t>2_ADO ultra low sulfur (&lt;50ppm)</t>
  </si>
  <si>
    <t>1_ADO ultra low sulfur (&lt;50ppm)</t>
  </si>
  <si>
    <t>1_Aviation Gasoline</t>
  </si>
  <si>
    <t>2_Aviation Gasoline</t>
  </si>
  <si>
    <t>2_Industrial/Marine diesel fuel</t>
  </si>
  <si>
    <t>Other fuels</t>
  </si>
  <si>
    <t>1_Industrial/Marine diesel fuel</t>
  </si>
  <si>
    <t>2_Natural Gas LDV</t>
  </si>
  <si>
    <t>2_Natural Gas HDV</t>
  </si>
  <si>
    <t>Natural Gas/CNG LDV</t>
  </si>
  <si>
    <t>Natural Gas/CNG HDV</t>
  </si>
  <si>
    <t>Marine/Industrial diesel fuel</t>
  </si>
  <si>
    <t>2_Aviation Turbine</t>
  </si>
  <si>
    <t>2_fuel oil</t>
  </si>
  <si>
    <t>2_LPG</t>
  </si>
  <si>
    <t>2_IDF</t>
  </si>
  <si>
    <t>kg CO2-e/kl</t>
  </si>
  <si>
    <t>2_LPG - non-transport</t>
  </si>
  <si>
    <t>Basic units</t>
  </si>
  <si>
    <t>HFC's</t>
  </si>
  <si>
    <t>Petroleum Products</t>
  </si>
  <si>
    <t>Synthetic gases</t>
  </si>
  <si>
    <r>
      <t>SF</t>
    </r>
    <r>
      <rPr>
        <vertAlign val="subscript"/>
        <sz val="10"/>
        <rFont val="Arial"/>
        <family val="2"/>
      </rPr>
      <t>6</t>
    </r>
  </si>
  <si>
    <r>
      <t>Tonnes CO</t>
    </r>
    <r>
      <rPr>
        <b/>
        <vertAlign val="subscript"/>
        <sz val="10"/>
        <rFont val="Arial"/>
        <family val="2"/>
      </rPr>
      <t>2</t>
    </r>
    <r>
      <rPr>
        <b/>
        <sz val="10"/>
        <rFont val="Arial"/>
        <family val="2"/>
      </rPr>
      <t>-e</t>
    </r>
  </si>
  <si>
    <r>
      <t>kg CO</t>
    </r>
    <r>
      <rPr>
        <b/>
        <vertAlign val="subscript"/>
        <sz val="10"/>
        <rFont val="Arial"/>
        <family val="2"/>
      </rPr>
      <t>2</t>
    </r>
    <r>
      <rPr>
        <b/>
        <sz val="10"/>
        <rFont val="Arial"/>
        <family val="2"/>
      </rPr>
      <t>-e</t>
    </r>
  </si>
  <si>
    <r>
      <t>kg CO</t>
    </r>
    <r>
      <rPr>
        <vertAlign val="subscript"/>
        <sz val="10"/>
        <rFont val="Arial"/>
        <family val="2"/>
      </rPr>
      <t>2</t>
    </r>
    <r>
      <rPr>
        <sz val="10"/>
        <rFont val="Arial"/>
      </rPr>
      <t>-e/kWh</t>
    </r>
  </si>
  <si>
    <r>
      <t>kg CO</t>
    </r>
    <r>
      <rPr>
        <vertAlign val="subscript"/>
        <sz val="10"/>
        <rFont val="Arial"/>
        <family val="2"/>
      </rPr>
      <t>2</t>
    </r>
    <r>
      <rPr>
        <sz val="10"/>
        <rFont val="Arial"/>
      </rPr>
      <t>-e/GJ</t>
    </r>
  </si>
  <si>
    <t>Concrete/metal/plastic/glass</t>
  </si>
  <si>
    <t>Medical</t>
  </si>
  <si>
    <t>Food/Garden</t>
  </si>
  <si>
    <t>Garden</t>
  </si>
  <si>
    <t>Wood/straw</t>
  </si>
  <si>
    <t>Co-mingled</t>
  </si>
  <si>
    <t>Petrol/Gasoline</t>
  </si>
  <si>
    <t>Workbooks</t>
  </si>
  <si>
    <t>Select state:</t>
  </si>
  <si>
    <r>
      <t>CO</t>
    </r>
    <r>
      <rPr>
        <b/>
        <vertAlign val="subscript"/>
        <sz val="10"/>
        <rFont val="Arial"/>
        <family val="2"/>
      </rPr>
      <t>2</t>
    </r>
    <r>
      <rPr>
        <b/>
        <sz val="10"/>
        <rFont val="Arial"/>
        <family val="2"/>
      </rPr>
      <t>-e (Tonnes)</t>
    </r>
  </si>
  <si>
    <t>Paper and paper board</t>
  </si>
  <si>
    <t>Textiles (excluding synthetics)</t>
  </si>
  <si>
    <t xml:space="preserve">1997 - Greenhouse Challenge Workbook </t>
  </si>
  <si>
    <t>full fuel cycle values and only values for small users</t>
  </si>
  <si>
    <t>3_Natural Gas LDV</t>
  </si>
  <si>
    <t>3_Natural Gas HDV</t>
  </si>
  <si>
    <t>3_LPG</t>
  </si>
  <si>
    <t>3_IDF</t>
  </si>
  <si>
    <t>3_fuel oil</t>
  </si>
  <si>
    <t>3_Aviation Turbine</t>
  </si>
  <si>
    <t>3_Aviation Gasoline</t>
  </si>
  <si>
    <t>3_Automotive Gasoline</t>
  </si>
  <si>
    <t>3_ADO(current fuel)</t>
  </si>
  <si>
    <t>3_ADO ultra low sulfur (&lt;50ppm)</t>
  </si>
  <si>
    <t>3_ADO low sulfur (&lt;500ppm)</t>
  </si>
  <si>
    <t>4_ADO low sulfur (&lt;500ppm)</t>
  </si>
  <si>
    <t>4_ADO ultra low sulfur (&lt;50ppm)</t>
  </si>
  <si>
    <t>4_ADO(current fuel)</t>
  </si>
  <si>
    <t>4_Automotive Gasoline</t>
  </si>
  <si>
    <t>4_Aviation Gasoline</t>
  </si>
  <si>
    <t>4_Aviation Turbine</t>
  </si>
  <si>
    <t>4_fuel oil</t>
  </si>
  <si>
    <t>4_IDF</t>
  </si>
  <si>
    <t>4_LPG</t>
  </si>
  <si>
    <t>4_Natural Gas HDV</t>
  </si>
  <si>
    <t>4_Natural Gas LDV</t>
  </si>
  <si>
    <t>1_LPG - non-transport</t>
  </si>
  <si>
    <t>2001 - Greenhouse Challenge Factors and Methods workbook version 2</t>
  </si>
  <si>
    <t>5_ADO low sulfur (&lt;500ppm)</t>
  </si>
  <si>
    <t>5_ADO ultra low sulfur (&lt;50ppm)</t>
  </si>
  <si>
    <t>5_ADO(current fuel)</t>
  </si>
  <si>
    <t>5_Automotive Gasoline</t>
  </si>
  <si>
    <t>5_Aviation Turbine</t>
  </si>
  <si>
    <t>5_Aviation Gasoline</t>
  </si>
  <si>
    <t>5_fuel oil</t>
  </si>
  <si>
    <t>5_IDF</t>
  </si>
  <si>
    <t>5_LPG</t>
  </si>
  <si>
    <t>5_Natural Gas HDV</t>
  </si>
  <si>
    <t>5_Natural Gas LDV</t>
  </si>
  <si>
    <t>FFC</t>
  </si>
  <si>
    <t>FFC unleaded</t>
  </si>
  <si>
    <t>FFC for Industrial/marine diesel fuel</t>
  </si>
  <si>
    <t>kg CO2/1000m3</t>
  </si>
  <si>
    <t>1_Aviation Turbine</t>
  </si>
  <si>
    <t>1_fuel oil</t>
  </si>
  <si>
    <t>1_IDF</t>
  </si>
  <si>
    <t>1_LPG</t>
  </si>
  <si>
    <t>1_Natural Gas HDV</t>
  </si>
  <si>
    <t>1_Natural Gas LDV</t>
  </si>
  <si>
    <t>3_Industrial/Marine diesel fuel</t>
  </si>
  <si>
    <t>3_LPG - non-transport</t>
  </si>
  <si>
    <t>4_Industrial/Marine diesel fuel</t>
  </si>
  <si>
    <t>4_LPG - non-transport</t>
  </si>
  <si>
    <t>5_Industrial/Marine diesel fuel</t>
  </si>
  <si>
    <t>5_LPG - non-transport</t>
  </si>
  <si>
    <r>
      <t>m</t>
    </r>
    <r>
      <rPr>
        <vertAlign val="superscript"/>
        <sz val="10"/>
        <rFont val="Arial"/>
        <family val="2"/>
      </rPr>
      <t>3</t>
    </r>
  </si>
  <si>
    <t>kg CO2/1000m3 Natural gas/CNG</t>
  </si>
  <si>
    <t>Description</t>
  </si>
  <si>
    <t>factors found in Bus Progress Report - version 2</t>
  </si>
  <si>
    <t>Waste</t>
  </si>
  <si>
    <t xml:space="preserve">Workbook version used for rest: </t>
  </si>
  <si>
    <t xml:space="preserve">Workbook version used for electricity and gas: </t>
  </si>
  <si>
    <t>8_ADO low sulfur (&lt;500ppm)</t>
  </si>
  <si>
    <t>8_ADO ultra low sulfur (&lt;50ppm)</t>
  </si>
  <si>
    <t>8_ADO(current fuel)</t>
  </si>
  <si>
    <t>8_Automotive Gasoline</t>
  </si>
  <si>
    <t>8_Aviation Gasoline</t>
  </si>
  <si>
    <t>8_Aviation Turbine</t>
  </si>
  <si>
    <t>8_fuel oil</t>
  </si>
  <si>
    <t>8_IDF</t>
  </si>
  <si>
    <t>8_LPG</t>
  </si>
  <si>
    <t>8_Natural Gas HDV</t>
  </si>
  <si>
    <t>8_Natural Gas LDV</t>
  </si>
  <si>
    <t>7_Natural Gas LDV</t>
  </si>
  <si>
    <t>7_ADO low sulfur (&lt;500ppm)</t>
  </si>
  <si>
    <t>7_ADO ultra low sulfur (&lt;50ppm)</t>
  </si>
  <si>
    <t>7_ADO(current fuel)</t>
  </si>
  <si>
    <t>7_Automotive Gasoline</t>
  </si>
  <si>
    <t>7_Aviation Gasoline</t>
  </si>
  <si>
    <t>7_Aviation Turbine</t>
  </si>
  <si>
    <t>7_fuel oil</t>
  </si>
  <si>
    <t>7_IDF</t>
  </si>
  <si>
    <t>7_LPG</t>
  </si>
  <si>
    <t>7_Natural Gas HDV</t>
  </si>
  <si>
    <t>6_ADO low sulfur (&lt;500ppm)</t>
  </si>
  <si>
    <t>6_ADO ultra low sulfur (&lt;50ppm)</t>
  </si>
  <si>
    <t>6_ADO(current fuel)</t>
  </si>
  <si>
    <t>6_Automotive Gasoline</t>
  </si>
  <si>
    <t>6_Aviation Gasoline</t>
  </si>
  <si>
    <t>6_Aviation Turbine</t>
  </si>
  <si>
    <t>6_fuel oil</t>
  </si>
  <si>
    <t>6_IDF</t>
  </si>
  <si>
    <t>6_Natural Gas LDV</t>
  </si>
  <si>
    <t>6_Natural Gas HDV</t>
  </si>
  <si>
    <t>6_LPG</t>
  </si>
  <si>
    <t>8_LPG - non-transport</t>
  </si>
  <si>
    <t>8_Industrial/Marine diesel fuel</t>
  </si>
  <si>
    <t>7_Industrial/Marine diesel fuel</t>
  </si>
  <si>
    <t>7_LPG - non-transport</t>
  </si>
  <si>
    <t>6_Industrial/Marine diesel fuel</t>
  </si>
  <si>
    <t>6_LPG - non-transport</t>
  </si>
  <si>
    <t>6_comingled</t>
  </si>
  <si>
    <t>6_paper</t>
  </si>
  <si>
    <t>8_paper</t>
  </si>
  <si>
    <t>8_wood</t>
  </si>
  <si>
    <t>8_comingled</t>
  </si>
  <si>
    <t>8_food</t>
  </si>
  <si>
    <t>6_textile</t>
  </si>
  <si>
    <t>8_textile</t>
  </si>
  <si>
    <t>food and textiles</t>
  </si>
  <si>
    <t>none</t>
  </si>
  <si>
    <t>6_wood</t>
  </si>
  <si>
    <t>6_food</t>
  </si>
  <si>
    <t>9_Natural Gas LDV</t>
  </si>
  <si>
    <t>9_Natural Gas HDV</t>
  </si>
  <si>
    <t>9_ADO low sulfur (&lt;500ppm)</t>
  </si>
  <si>
    <t>9_ADO ultra low sulfur (&lt;50ppm)</t>
  </si>
  <si>
    <t>9_ADO(current fuel)</t>
  </si>
  <si>
    <t>9_Automotive Gasoline</t>
  </si>
  <si>
    <t>9_Aviation Gasoline</t>
  </si>
  <si>
    <t>9_Aviation Turbine</t>
  </si>
  <si>
    <t>9_fuel oil</t>
  </si>
  <si>
    <t>9_IDF</t>
  </si>
  <si>
    <t>9_LPG</t>
  </si>
  <si>
    <t>Marine/industrial diesel fuel</t>
  </si>
  <si>
    <t>5_textile</t>
  </si>
  <si>
    <t>5_food</t>
  </si>
  <si>
    <t>5_comingled</t>
  </si>
  <si>
    <t>5_wood</t>
  </si>
  <si>
    <t>5_paper</t>
  </si>
  <si>
    <t>9_food</t>
  </si>
  <si>
    <t>9_comingled</t>
  </si>
  <si>
    <t>9_paper</t>
  </si>
  <si>
    <t>9_textile</t>
  </si>
  <si>
    <t>9_wood</t>
  </si>
  <si>
    <t>9_garden</t>
  </si>
  <si>
    <t>6_garden</t>
  </si>
  <si>
    <t>8_garden</t>
  </si>
  <si>
    <t>5_garden</t>
  </si>
  <si>
    <t>food/garden</t>
  </si>
  <si>
    <t>9_medical</t>
  </si>
  <si>
    <t>9_concrete metal</t>
  </si>
  <si>
    <t>6_medical</t>
  </si>
  <si>
    <t>6_concrete metal</t>
  </si>
  <si>
    <t>8_medical</t>
  </si>
  <si>
    <t>8_concrete metal</t>
  </si>
  <si>
    <t>5_medical</t>
  </si>
  <si>
    <t>5_concrete metal</t>
  </si>
  <si>
    <t>1_wood</t>
  </si>
  <si>
    <t>1_textile</t>
  </si>
  <si>
    <t>1_paper</t>
  </si>
  <si>
    <t>1_medical</t>
  </si>
  <si>
    <t>1_garden</t>
  </si>
  <si>
    <t>1_food</t>
  </si>
  <si>
    <t>1_concrete metal</t>
  </si>
  <si>
    <t>1_comingled</t>
  </si>
  <si>
    <t>2_wood</t>
  </si>
  <si>
    <t>2_comingled</t>
  </si>
  <si>
    <t>2_concrete metal</t>
  </si>
  <si>
    <t>2_food</t>
  </si>
  <si>
    <t>2_garden</t>
  </si>
  <si>
    <t>2_medical</t>
  </si>
  <si>
    <t>2_paper</t>
  </si>
  <si>
    <t>2_textile</t>
  </si>
  <si>
    <t>3_comingled</t>
  </si>
  <si>
    <t>3_concrete metal</t>
  </si>
  <si>
    <t>3_food</t>
  </si>
  <si>
    <t>3_garden</t>
  </si>
  <si>
    <t>3_medical</t>
  </si>
  <si>
    <t>3_paper</t>
  </si>
  <si>
    <t>3_textile</t>
  </si>
  <si>
    <t>3_wood</t>
  </si>
  <si>
    <t>4_comingled</t>
  </si>
  <si>
    <t>4_concrete metal</t>
  </si>
  <si>
    <t>4_food</t>
  </si>
  <si>
    <t>4_garden</t>
  </si>
  <si>
    <t>4_medical</t>
  </si>
  <si>
    <t>4_paper</t>
  </si>
  <si>
    <t>4_textile</t>
  </si>
  <si>
    <t>4_wood</t>
  </si>
  <si>
    <t>9_Industrial/Marine diesel fuel</t>
  </si>
  <si>
    <t>9_LPG - non-transport</t>
  </si>
  <si>
    <t>?</t>
  </si>
  <si>
    <t>no methane recovery</t>
  </si>
  <si>
    <t>7_wood</t>
  </si>
  <si>
    <t>7_comingled</t>
  </si>
  <si>
    <t>7_concrete metal</t>
  </si>
  <si>
    <t>7_food</t>
  </si>
  <si>
    <t>7_garden</t>
  </si>
  <si>
    <t>7_medical</t>
  </si>
  <si>
    <t>7_paper</t>
  </si>
  <si>
    <t>7_textile</t>
  </si>
  <si>
    <t>industrial diesel fuel</t>
  </si>
  <si>
    <t>Marine diesel fuel 3263</t>
  </si>
  <si>
    <t>10_ADO low sulfur (&lt;500ppm)</t>
  </si>
  <si>
    <t>10_ADO ultra low sulfur (&lt;50ppm)</t>
  </si>
  <si>
    <t>10_ADO(current fuel)</t>
  </si>
  <si>
    <t>10_Automotive Gasoline</t>
  </si>
  <si>
    <t>10_Aviation Gasoline</t>
  </si>
  <si>
    <t>10_Aviation Turbine</t>
  </si>
  <si>
    <t>10_fuel oil</t>
  </si>
  <si>
    <t>10_IDF</t>
  </si>
  <si>
    <t>10_LPG</t>
  </si>
  <si>
    <t>10_Natural Gas HDV</t>
  </si>
  <si>
    <t>10_Natural Gas LDV</t>
  </si>
  <si>
    <t>10_comingled</t>
  </si>
  <si>
    <t>10_concrete metal</t>
  </si>
  <si>
    <t>10_food</t>
  </si>
  <si>
    <t>10_garden</t>
  </si>
  <si>
    <t>10_medical</t>
  </si>
  <si>
    <t>10_paper</t>
  </si>
  <si>
    <t>10_textile</t>
  </si>
  <si>
    <t>10_wood</t>
  </si>
  <si>
    <t>paper/textile</t>
  </si>
  <si>
    <t>10_LPG - non-transport</t>
  </si>
  <si>
    <t>10_Industrial/Marine diesel fuel</t>
  </si>
  <si>
    <t>N/A</t>
  </si>
  <si>
    <t>WB ID</t>
  </si>
  <si>
    <t>kg CO2/tonnes</t>
  </si>
  <si>
    <t>not available</t>
  </si>
  <si>
    <t>factors in Transport Progress Report - version 2</t>
  </si>
  <si>
    <t>factors in Progress report - version 1</t>
  </si>
  <si>
    <t>factors in Progress report - version 2</t>
  </si>
  <si>
    <t>factors  in Progress report - version 1 using point source emissions</t>
  </si>
  <si>
    <t>none available</t>
  </si>
  <si>
    <t>Emission by Site/Activity:</t>
  </si>
  <si>
    <t>tonnes CO2-e</t>
  </si>
  <si>
    <t>Site/Activity:</t>
  </si>
  <si>
    <t>Acitivity/Site name:</t>
  </si>
  <si>
    <t>Configuration for factors used</t>
  </si>
  <si>
    <t>Key performance indicators</t>
  </si>
  <si>
    <r>
      <t>Emission (tonnes CO</t>
    </r>
    <r>
      <rPr>
        <b/>
        <vertAlign val="subscript"/>
        <sz val="10"/>
        <rFont val="Arial"/>
        <family val="2"/>
      </rPr>
      <t>2</t>
    </r>
    <r>
      <rPr>
        <b/>
        <sz val="10"/>
        <rFont val="Arial"/>
        <family val="2"/>
      </rPr>
      <t>):</t>
    </r>
  </si>
  <si>
    <t>sectors</t>
  </si>
  <si>
    <t>kg CO2</t>
  </si>
  <si>
    <t>100 km travelled</t>
  </si>
  <si>
    <t>basis</t>
  </si>
  <si>
    <t>multiplication to reach basis</t>
  </si>
  <si>
    <t>unit</t>
  </si>
  <si>
    <t>km</t>
  </si>
  <si>
    <t>Emission basis</t>
  </si>
  <si>
    <t>multiplication for emission basis</t>
  </si>
  <si>
    <t>100 items</t>
  </si>
  <si>
    <t>item</t>
  </si>
  <si>
    <t>Business sector:</t>
  </si>
  <si>
    <t>Key performance indicator:</t>
  </si>
  <si>
    <t>KPI:</t>
  </si>
  <si>
    <t>Transportation : kg CO2 per 100 km travelled</t>
  </si>
  <si>
    <r>
      <t xml:space="preserve">Units </t>
    </r>
    <r>
      <rPr>
        <sz val="10"/>
        <rFont val="Wingdings"/>
        <charset val="2"/>
      </rPr>
      <t>â</t>
    </r>
  </si>
  <si>
    <r>
      <t xml:space="preserve">Site </t>
    </r>
    <r>
      <rPr>
        <sz val="10"/>
        <rFont val="Wingdings"/>
        <charset val="2"/>
      </rPr>
      <t>à</t>
    </r>
  </si>
  <si>
    <t>litres</t>
  </si>
  <si>
    <t>litre</t>
  </si>
  <si>
    <t>KPI definitions</t>
  </si>
  <si>
    <t>Testco Pty North</t>
  </si>
  <si>
    <t>Testco Pty South</t>
  </si>
  <si>
    <r>
      <t>tonnes CO</t>
    </r>
    <r>
      <rPr>
        <b/>
        <vertAlign val="subscript"/>
        <sz val="10"/>
        <rFont val="Arial"/>
        <family val="2"/>
      </rPr>
      <t>2</t>
    </r>
    <r>
      <rPr>
        <b/>
        <sz val="10"/>
        <rFont val="Arial"/>
        <family val="2"/>
      </rPr>
      <t>-e:</t>
    </r>
  </si>
  <si>
    <t>kg CO2-e/kl point source</t>
  </si>
  <si>
    <t>PS</t>
  </si>
  <si>
    <t>FFC/PS</t>
  </si>
  <si>
    <t>Comment</t>
  </si>
  <si>
    <t>Value to be used</t>
  </si>
  <si>
    <t>calculated value</t>
  </si>
  <si>
    <t>Value as written I PR</t>
  </si>
  <si>
    <t>Rounded value to be used</t>
  </si>
  <si>
    <t>calculated</t>
  </si>
  <si>
    <t>value from PR</t>
  </si>
  <si>
    <t>value to be used</t>
  </si>
  <si>
    <t>Value in PR</t>
  </si>
  <si>
    <t>kg CO2-e/T Wrkbook says to use pointsource</t>
  </si>
  <si>
    <t>kg CO2-e/T Workbook says to use point source</t>
  </si>
  <si>
    <t>Jet fuel</t>
  </si>
  <si>
    <t>LPG - (non-transport)</t>
  </si>
  <si>
    <t>Natural Gas (non-transport)</t>
  </si>
  <si>
    <r>
      <t>kg CO</t>
    </r>
    <r>
      <rPr>
        <vertAlign val="subscript"/>
        <sz val="10"/>
        <rFont val="Arial"/>
        <family val="2"/>
      </rPr>
      <t>2</t>
    </r>
    <r>
      <rPr>
        <sz val="10"/>
        <rFont val="Arial"/>
      </rPr>
      <t>/m</t>
    </r>
    <r>
      <rPr>
        <vertAlign val="superscript"/>
        <sz val="10"/>
        <rFont val="Arial"/>
        <family val="2"/>
      </rPr>
      <t>3</t>
    </r>
  </si>
  <si>
    <t>Site/Activity B</t>
  </si>
  <si>
    <t>Site/Activity C</t>
  </si>
  <si>
    <t>Site/Activity D</t>
  </si>
  <si>
    <t>Testco Pty East</t>
  </si>
  <si>
    <t>Testco Pty West</t>
  </si>
  <si>
    <t>Natural GAS (CNG):</t>
  </si>
  <si>
    <t>m3</t>
  </si>
  <si>
    <t xml:space="preserve">Specify here what workbook is being used for the factors. Generally the lastest workbook should always be used. Use older versions only to check/verify old data. </t>
  </si>
  <si>
    <t>Spreadsheet version:</t>
  </si>
  <si>
    <t>Activity A:</t>
  </si>
  <si>
    <t>Emission inventory for Activity/Site A</t>
  </si>
  <si>
    <t>Activity B:</t>
  </si>
  <si>
    <t>Activity C:</t>
  </si>
  <si>
    <t>Emission inventory for Activity/Site B</t>
  </si>
  <si>
    <t>Emission inventory for Activity/Site C</t>
  </si>
  <si>
    <t>Emission inventory for Activity/Site D</t>
  </si>
  <si>
    <t>Summary</t>
  </si>
  <si>
    <t>cfg</t>
  </si>
  <si>
    <t>Configuration. Allows selection of workbook used</t>
  </si>
  <si>
    <t>contains all the factors, do not modify this sheet.</t>
  </si>
  <si>
    <t>wrkb</t>
  </si>
  <si>
    <t>contains list of workbooks, do not modify this sheet.</t>
  </si>
  <si>
    <t>Units</t>
  </si>
  <si>
    <t>A summary of all the activities. The summary can be copied into the progress report</t>
  </si>
  <si>
    <t>http://www.greenhouse.gov.au/challenge</t>
  </si>
  <si>
    <t>Natural GAS (non transport)</t>
  </si>
  <si>
    <t>units</t>
  </si>
  <si>
    <t>Manufacturing : kg CO2 per item</t>
  </si>
  <si>
    <t>Manufacturing : kg CO2 per litre</t>
  </si>
  <si>
    <t>Manufacturing : kg CO2 per 1000 units</t>
  </si>
  <si>
    <t>accomodations</t>
  </si>
  <si>
    <t>accomodation</t>
  </si>
  <si>
    <t>1000 units</t>
  </si>
  <si>
    <t>Comment for calculated value</t>
  </si>
  <si>
    <t>A used</t>
  </si>
  <si>
    <t>B used</t>
  </si>
  <si>
    <t>C used</t>
  </si>
  <si>
    <t>D used</t>
  </si>
  <si>
    <t>Checking if same state is used for all used activities/sites. Used for summary factors</t>
  </si>
  <si>
    <t>FFC/PC</t>
  </si>
  <si>
    <t>old ffc values</t>
  </si>
  <si>
    <t>check value: (is 0 when same state)</t>
  </si>
  <si>
    <t>Gross Emissions</t>
  </si>
  <si>
    <t>Net Emissions</t>
  </si>
  <si>
    <t>Gross Offsets</t>
  </si>
  <si>
    <t>2002 Dec/2003 Mar - AGO Factors and Methods workbook v. 2 &amp; v.3</t>
  </si>
  <si>
    <t>2001 Dec - Greenhouse challenge Factors and Methods workbook version 3</t>
  </si>
  <si>
    <t>2002 Nov - AGO Factors and Methods workbook version 1</t>
  </si>
  <si>
    <t>TOTAL GROSS EMISSIONS</t>
  </si>
  <si>
    <t>TOTAL OFFSET</t>
  </si>
  <si>
    <t>TOTAL NET EMISSIONS</t>
  </si>
  <si>
    <t>TOTAL OFFSETS</t>
  </si>
  <si>
    <t>Emission summary tables of all sites/activities, can be copied into progress report.</t>
  </si>
  <si>
    <t>Summary all sites/activities</t>
  </si>
  <si>
    <t>t</t>
  </si>
  <si>
    <t>t CO2/kL</t>
  </si>
  <si>
    <t>t CO2-e/t</t>
  </si>
  <si>
    <t>t CO2/t</t>
  </si>
  <si>
    <t>Info</t>
  </si>
  <si>
    <t>Manufacturing : kg CO2 per tonne</t>
  </si>
  <si>
    <t>tonne</t>
  </si>
  <si>
    <t>tonnes</t>
  </si>
  <si>
    <t>square meters</t>
  </si>
  <si>
    <t>Office based business: Buildings kg CO2 per m2</t>
  </si>
  <si>
    <t>m2</t>
  </si>
  <si>
    <t>Electricity generation: t CO2 per GWh sent out</t>
  </si>
  <si>
    <t>Electricity distribution: t CO2 per GWh throughput</t>
  </si>
  <si>
    <t>Offsets (should be entered as negative figures)</t>
  </si>
  <si>
    <t>Offset</t>
  </si>
  <si>
    <t>Water treatment: kg CO2 per ML water processed</t>
  </si>
  <si>
    <t>Megalitres</t>
  </si>
  <si>
    <t>Gas network: kg CO2 per GJ delivered</t>
  </si>
  <si>
    <t>hours</t>
  </si>
  <si>
    <t>hour</t>
  </si>
  <si>
    <r>
      <t xml:space="preserve"> </t>
    </r>
    <r>
      <rPr>
        <sz val="9"/>
        <rFont val="Arial Narrow"/>
        <family val="2"/>
      </rPr>
      <t>for mixed products , Note that this is an input quantity.  Where practical, indicators should be based on outputs.</t>
    </r>
  </si>
  <si>
    <t>Manufacturing : kg CO2 per m3</t>
  </si>
  <si>
    <t>where Guest Nights= total rooms X occupancy rate X 365</t>
  </si>
  <si>
    <t>Applies to both drinking water and sewerage</t>
  </si>
  <si>
    <t>Applies to passenger transportation businesses (busses, ferries, trains etc.) where passenger kilometres figures are available.</t>
  </si>
  <si>
    <t>Unit conversion used by the automatic calculations. Do not modify.</t>
  </si>
  <si>
    <t>Manufacturing : tonnes CO2 per booked hour</t>
  </si>
  <si>
    <t>passenger kilometres</t>
  </si>
  <si>
    <t>Transportation : kg CO2 per passenger kilometre</t>
  </si>
  <si>
    <t>passenger kilometre</t>
  </si>
  <si>
    <t>Accomodation : kg CO2 per guest nights</t>
  </si>
  <si>
    <t>Calculate the key performance indicators</t>
  </si>
  <si>
    <t>13 May 2003</t>
  </si>
  <si>
    <t>g (grams)</t>
  </si>
  <si>
    <t>kg (kilograms)</t>
  </si>
  <si>
    <t>t (tonnes)</t>
  </si>
  <si>
    <t>kt (kilotonnes)</t>
  </si>
  <si>
    <t>Mt (Megatonnes)</t>
  </si>
  <si>
    <t>L (litres)</t>
  </si>
  <si>
    <t>hL (hectolitres)</t>
  </si>
  <si>
    <t>ML (Megalitres)</t>
  </si>
  <si>
    <r>
      <t>m</t>
    </r>
    <r>
      <rPr>
        <vertAlign val="superscript"/>
        <sz val="10"/>
        <rFont val="Arial"/>
        <family val="2"/>
      </rPr>
      <t>3</t>
    </r>
    <r>
      <rPr>
        <sz val="10"/>
        <rFont val="Arial"/>
        <family val="2"/>
      </rPr>
      <t xml:space="preserve"> (cubic metres)</t>
    </r>
  </si>
  <si>
    <t>J (Joules)</t>
  </si>
  <si>
    <t>KJ (Kilojoules)</t>
  </si>
  <si>
    <t>MJ (Megajoules)</t>
  </si>
  <si>
    <t>GJ (Gigajoules)</t>
  </si>
  <si>
    <t>TJ (Terajoules)</t>
  </si>
  <si>
    <t>PJ (Petajoules)</t>
  </si>
  <si>
    <t>GWh (GigaWattHours)</t>
  </si>
  <si>
    <t>kWh (KiloWattHours)</t>
  </si>
  <si>
    <t>MJ (MegaJoules)</t>
  </si>
  <si>
    <t>MWh (MegaWattHours)</t>
  </si>
  <si>
    <t>Wh (WattHours)</t>
  </si>
  <si>
    <t>GJ (GigaJoules)</t>
  </si>
  <si>
    <t>PJ (PetaJoules)</t>
  </si>
  <si>
    <t>TJ (TeraJoules)</t>
  </si>
  <si>
    <t>1.03</t>
  </si>
  <si>
    <t>kL (kilolitres)</t>
  </si>
  <si>
    <t>Log of changes:</t>
  </si>
  <si>
    <t>Added comment info for waste</t>
  </si>
  <si>
    <t>Added description of units</t>
  </si>
  <si>
    <t>Added log of changes</t>
  </si>
  <si>
    <t>Corrected PetaJoule to GigaJoule conversion</t>
  </si>
  <si>
    <t>assuming 39,5J/m3</t>
  </si>
  <si>
    <t>http://www.greenhouse.gov.au/challenge/tools/spreadsheet/index.html</t>
  </si>
  <si>
    <t>The spreadsheet allows up to four sites or activites to be entered.</t>
  </si>
  <si>
    <t>Below is a description of the worksheet and what they are used for:</t>
  </si>
  <si>
    <r>
      <t>This spreadsheet may help some companies in their reporting for the Greenhouse Challenge. The spreadsheet will calculate the CO</t>
    </r>
    <r>
      <rPr>
        <vertAlign val="subscript"/>
        <sz val="10"/>
        <rFont val="Arial"/>
        <family val="2"/>
      </rPr>
      <t>2</t>
    </r>
    <r>
      <rPr>
        <sz val="10"/>
        <rFont val="Arial"/>
      </rPr>
      <t xml:space="preserve"> equivalent emissions based on the fuel/processes entered. Conversion factors are automatically updated based on the selected state.
Make sure you are using the latest version of the spreadsheet, by downloading the latest version from the Challenge website: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</si>
</sst>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0">
    <numFmt numFmtId="171" formatCode="_-* #,##0.00_-;\-* #,##0.00_-;_-* &quot;-&quot;??_-;_-@_-"/>
    <numFmt numFmtId="172" formatCode="0.0"/>
    <numFmt numFmtId="177" formatCode="_-* #,##0_-;\-* #,##0_-;_-* &quot;-&quot;??_-;_-@_-"/>
    <numFmt numFmtId="183" formatCode="#,##0\ &quot;kWh&quot;"/>
    <numFmt numFmtId="184" formatCode="#,##0\ &quot;kL&quot;"/>
    <numFmt numFmtId="185" formatCode="#,##0\ &quot;T&quot;"/>
    <numFmt numFmtId="188" formatCode="#,##0.00\ &quot;GJ&quot;"/>
    <numFmt numFmtId="195" formatCode="0.000\ &quot;kg CO2-e/kWh&quot;"/>
    <numFmt numFmtId="200" formatCode="0\ &quot;kg CO2/kL&quot;"/>
    <numFmt numFmtId="201" formatCode="0.0\ &quot;kg CO2-e/GJ&quot;"/>
    <numFmt numFmtId="207" formatCode="0.000"/>
    <numFmt numFmtId="209" formatCode="0\ &quot;kg CO2-e/kg&quot;"/>
    <numFmt numFmtId="212" formatCode="#,##0.000\ &quot;kL&quot;"/>
    <numFmt numFmtId="215" formatCode="0\ &quot;kg CO2-e/T&quot;"/>
    <numFmt numFmtId="218" formatCode="#,##0.000\ &quot;T&quot;"/>
    <numFmt numFmtId="222" formatCode="#\ &quot;kg CO2-e/kWh&quot;"/>
    <numFmt numFmtId="223" formatCode="#"/>
    <numFmt numFmtId="232" formatCode="0;\-#;"/>
    <numFmt numFmtId="234" formatCode="#,###;\-#,###;"/>
    <numFmt numFmtId="235" formatCode="#,##0;\-#,##0;"/>
  </numFmts>
  <fonts count="22" x14ac:knownFonts="1">
    <font>
      <sz val="10"/>
      <name val="Arial"/>
    </font>
    <font>
      <sz val="10"/>
      <name val="Arial"/>
    </font>
    <font>
      <sz val="10"/>
      <name val="Arial"/>
      <family val="2"/>
    </font>
    <font>
      <sz val="8"/>
      <color indexed="81"/>
      <name val="Tahoma"/>
    </font>
    <font>
      <b/>
      <sz val="8"/>
      <color indexed="81"/>
      <name val="Tahoma"/>
    </font>
    <font>
      <b/>
      <sz val="10"/>
      <name val="Arial"/>
      <family val="2"/>
    </font>
    <font>
      <b/>
      <sz val="12"/>
      <name val="Arial"/>
      <family val="2"/>
    </font>
    <font>
      <u/>
      <sz val="10"/>
      <color indexed="12"/>
      <name val="Arial"/>
    </font>
    <font>
      <strike/>
      <sz val="10"/>
      <name val="Arial"/>
      <family val="2"/>
    </font>
    <font>
      <vertAlign val="subscript"/>
      <sz val="10"/>
      <name val="Arial"/>
      <family val="2"/>
    </font>
    <font>
      <b/>
      <vertAlign val="subscript"/>
      <sz val="10"/>
      <name val="Arial"/>
      <family val="2"/>
    </font>
    <font>
      <b/>
      <sz val="11"/>
      <name val="Arial"/>
      <family val="2"/>
    </font>
    <font>
      <vertAlign val="superscript"/>
      <sz val="10"/>
      <name val="Arial"/>
      <family val="2"/>
    </font>
    <font>
      <sz val="11"/>
      <name val="Times New Roman"/>
      <family val="1"/>
    </font>
    <font>
      <sz val="10"/>
      <name val="Wingdings"/>
      <charset val="2"/>
    </font>
    <font>
      <sz val="9"/>
      <name val="Arial Narrow"/>
      <family val="2"/>
    </font>
    <font>
      <b/>
      <sz val="9"/>
      <name val="Arial Narrow"/>
      <family val="2"/>
    </font>
    <font>
      <sz val="9"/>
      <name val="Arial"/>
      <family val="2"/>
    </font>
    <font>
      <b/>
      <sz val="11"/>
      <color indexed="9"/>
      <name val="Arial"/>
      <family val="2"/>
    </font>
    <font>
      <sz val="10"/>
      <color indexed="9"/>
      <name val="Arial"/>
      <family val="2"/>
    </font>
    <font>
      <sz val="8"/>
      <color indexed="81"/>
      <name val="Tahoma"/>
      <family val="2"/>
    </font>
    <font>
      <b/>
      <sz val="8"/>
      <color indexed="81"/>
      <name val="Tahoma"/>
      <family val="2"/>
    </font>
  </fonts>
  <fills count="7">
    <fill>
      <patternFill patternType="none"/>
    </fill>
    <fill>
      <patternFill patternType="gray125"/>
    </fill>
    <fill>
      <patternFill patternType="solid">
        <fgColor indexed="44"/>
        <bgColor indexed="64"/>
      </patternFill>
    </fill>
    <fill>
      <patternFill patternType="solid">
        <fgColor indexed="41"/>
        <bgColor indexed="64"/>
      </patternFill>
    </fill>
    <fill>
      <patternFill patternType="solid">
        <fgColor indexed="9"/>
        <bgColor indexed="64"/>
      </patternFill>
    </fill>
    <fill>
      <patternFill patternType="solid">
        <fgColor indexed="42"/>
        <bgColor indexed="64"/>
      </patternFill>
    </fill>
    <fill>
      <patternFill patternType="solid">
        <fgColor indexed="8"/>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4">
    <xf numFmtId="0" fontId="0" fillId="0" borderId="0"/>
    <xf numFmtId="171" fontId="1" fillId="0" borderId="0" applyFont="0" applyFill="0" applyBorder="0" applyAlignment="0" applyProtection="0"/>
    <xf numFmtId="0" fontId="7" fillId="0" borderId="0" applyNumberFormat="0" applyFill="0" applyBorder="0" applyAlignment="0" applyProtection="0">
      <alignment vertical="top"/>
      <protection locked="0"/>
    </xf>
    <xf numFmtId="9" fontId="1" fillId="0" borderId="0" applyFont="0" applyFill="0" applyBorder="0" applyAlignment="0" applyProtection="0"/>
  </cellStyleXfs>
  <cellXfs count="303">
    <xf numFmtId="0" fontId="0" fillId="0" borderId="0" xfId="0"/>
    <xf numFmtId="0" fontId="5" fillId="0" borderId="0" xfId="0" applyFont="1"/>
    <xf numFmtId="0" fontId="5" fillId="2" borderId="1" xfId="0" applyFont="1" applyFill="1" applyBorder="1"/>
    <xf numFmtId="0" fontId="0" fillId="2" borderId="0" xfId="0" applyFill="1"/>
    <xf numFmtId="1" fontId="0" fillId="3" borderId="1" xfId="0" applyNumberFormat="1" applyFill="1" applyBorder="1"/>
    <xf numFmtId="0" fontId="6" fillId="0" borderId="0" xfId="0" applyFont="1"/>
    <xf numFmtId="0" fontId="0" fillId="0" borderId="0" xfId="0" applyFill="1" applyBorder="1"/>
    <xf numFmtId="0" fontId="5" fillId="2" borderId="2" xfId="0" applyFont="1" applyFill="1" applyBorder="1"/>
    <xf numFmtId="0" fontId="5" fillId="2" borderId="3" xfId="0" applyFont="1" applyFill="1" applyBorder="1"/>
    <xf numFmtId="0" fontId="0" fillId="3" borderId="3" xfId="0" applyFill="1" applyBorder="1"/>
    <xf numFmtId="201" fontId="0" fillId="3" borderId="3" xfId="0" applyNumberFormat="1" applyFill="1" applyBorder="1" applyAlignment="1">
      <alignment horizontal="left"/>
    </xf>
    <xf numFmtId="195" fontId="0" fillId="3" borderId="3" xfId="0" applyNumberFormat="1" applyFill="1" applyBorder="1" applyAlignment="1">
      <alignment horizontal="left"/>
    </xf>
    <xf numFmtId="207" fontId="0" fillId="3" borderId="2" xfId="1" applyNumberFormat="1" applyFont="1" applyFill="1" applyBorder="1" applyAlignment="1">
      <alignment horizontal="right"/>
    </xf>
    <xf numFmtId="215" fontId="0" fillId="3" borderId="3" xfId="0" applyNumberFormat="1" applyFill="1" applyBorder="1" applyAlignment="1">
      <alignment horizontal="left"/>
    </xf>
    <xf numFmtId="200" fontId="0" fillId="3" borderId="3" xfId="0" applyNumberFormat="1" applyFill="1" applyBorder="1" applyAlignment="1">
      <alignment horizontal="left"/>
    </xf>
    <xf numFmtId="209" fontId="0" fillId="3" borderId="3" xfId="0" applyNumberFormat="1" applyFill="1" applyBorder="1"/>
    <xf numFmtId="0" fontId="0" fillId="0" borderId="2" xfId="0" applyFill="1" applyBorder="1"/>
    <xf numFmtId="2" fontId="0" fillId="3" borderId="2" xfId="0" applyNumberFormat="1" applyFill="1" applyBorder="1"/>
    <xf numFmtId="183" fontId="0" fillId="3" borderId="3" xfId="0" applyNumberFormat="1" applyFill="1" applyBorder="1"/>
    <xf numFmtId="188" fontId="0" fillId="3" borderId="3" xfId="0" applyNumberFormat="1" applyFill="1" applyBorder="1"/>
    <xf numFmtId="218" fontId="0" fillId="3" borderId="3" xfId="0" applyNumberFormat="1" applyFill="1" applyBorder="1"/>
    <xf numFmtId="212" fontId="0" fillId="3" borderId="3" xfId="0" applyNumberFormat="1" applyFill="1" applyBorder="1"/>
    <xf numFmtId="184" fontId="0" fillId="3" borderId="3" xfId="0" applyNumberFormat="1" applyFill="1" applyBorder="1"/>
    <xf numFmtId="185" fontId="0" fillId="3" borderId="3" xfId="0" applyNumberFormat="1" applyFill="1" applyBorder="1"/>
    <xf numFmtId="0" fontId="5" fillId="2" borderId="4" xfId="0" applyFont="1" applyFill="1" applyBorder="1"/>
    <xf numFmtId="0" fontId="5" fillId="2" borderId="5" xfId="0" applyFont="1" applyFill="1" applyBorder="1"/>
    <xf numFmtId="172" fontId="0" fillId="3" borderId="5" xfId="0" applyNumberFormat="1" applyFill="1" applyBorder="1"/>
    <xf numFmtId="177" fontId="0" fillId="0" borderId="1" xfId="1" applyNumberFormat="1" applyFont="1" applyBorder="1" applyProtection="1">
      <protection locked="0"/>
    </xf>
    <xf numFmtId="0" fontId="0" fillId="0" borderId="1" xfId="0" applyFill="1" applyBorder="1" applyProtection="1">
      <protection locked="0"/>
    </xf>
    <xf numFmtId="0" fontId="0" fillId="0" borderId="1" xfId="0" applyBorder="1" applyProtection="1">
      <protection locked="0"/>
    </xf>
    <xf numFmtId="1" fontId="0" fillId="0" borderId="1" xfId="0" applyNumberFormat="1" applyFill="1" applyBorder="1" applyProtection="1">
      <protection locked="0"/>
    </xf>
    <xf numFmtId="171" fontId="0" fillId="0" borderId="1" xfId="1" applyFont="1" applyBorder="1" applyProtection="1">
      <protection locked="0"/>
    </xf>
    <xf numFmtId="171" fontId="0" fillId="0" borderId="1" xfId="1" applyNumberFormat="1" applyFont="1" applyBorder="1" applyProtection="1">
      <protection locked="0"/>
    </xf>
    <xf numFmtId="0" fontId="0" fillId="0" borderId="4" xfId="0" applyFill="1" applyBorder="1" applyProtection="1">
      <protection locked="0"/>
    </xf>
    <xf numFmtId="0" fontId="0" fillId="0" borderId="2" xfId="0" applyFill="1" applyBorder="1" applyProtection="1">
      <protection locked="0"/>
    </xf>
    <xf numFmtId="0" fontId="0" fillId="0" borderId="3" xfId="0" applyFill="1" applyBorder="1" applyProtection="1">
      <protection locked="0"/>
    </xf>
    <xf numFmtId="172" fontId="0" fillId="0" borderId="5" xfId="0" applyNumberFormat="1" applyFill="1" applyBorder="1" applyProtection="1">
      <protection locked="0"/>
    </xf>
    <xf numFmtId="0" fontId="0" fillId="0" borderId="4" xfId="0" applyBorder="1" applyProtection="1">
      <protection locked="0"/>
    </xf>
    <xf numFmtId="184" fontId="0" fillId="4" borderId="3" xfId="0" applyNumberFormat="1" applyFill="1" applyBorder="1" applyProtection="1">
      <protection locked="0"/>
    </xf>
    <xf numFmtId="0" fontId="0" fillId="4" borderId="2" xfId="0" applyFill="1" applyBorder="1" applyProtection="1">
      <protection locked="0"/>
    </xf>
    <xf numFmtId="1" fontId="0" fillId="4" borderId="1" xfId="0" applyNumberFormat="1" applyFill="1" applyBorder="1" applyProtection="1">
      <protection locked="0"/>
    </xf>
    <xf numFmtId="172" fontId="0" fillId="4" borderId="5" xfId="0" applyNumberFormat="1" applyFill="1" applyBorder="1" applyProtection="1">
      <protection locked="0"/>
    </xf>
    <xf numFmtId="0" fontId="0" fillId="3" borderId="4" xfId="0" applyFill="1" applyBorder="1"/>
    <xf numFmtId="0" fontId="0" fillId="3" borderId="6" xfId="0" applyFill="1" applyBorder="1"/>
    <xf numFmtId="0" fontId="2" fillId="0" borderId="0" xfId="0" applyFont="1"/>
    <xf numFmtId="0" fontId="0" fillId="0" borderId="0" xfId="0" applyAlignment="1">
      <alignment horizontal="left"/>
    </xf>
    <xf numFmtId="0" fontId="0" fillId="5" borderId="0" xfId="0" applyFill="1"/>
    <xf numFmtId="4" fontId="0" fillId="3" borderId="2" xfId="0" applyNumberFormat="1" applyFill="1" applyBorder="1"/>
    <xf numFmtId="0" fontId="0" fillId="4" borderId="1" xfId="0" applyFill="1" applyBorder="1" applyProtection="1">
      <protection locked="0"/>
    </xf>
    <xf numFmtId="177" fontId="1" fillId="0" borderId="1" xfId="1" applyNumberFormat="1" applyBorder="1" applyProtection="1">
      <protection locked="0"/>
    </xf>
    <xf numFmtId="207" fontId="1" fillId="3" borderId="2" xfId="1" applyNumberFormat="1" applyFill="1" applyBorder="1" applyAlignment="1">
      <alignment horizontal="right"/>
    </xf>
    <xf numFmtId="171" fontId="1" fillId="0" borderId="1" xfId="1" applyNumberFormat="1" applyBorder="1" applyProtection="1">
      <protection locked="0"/>
    </xf>
    <xf numFmtId="171" fontId="1" fillId="0" borderId="1" xfId="1" applyBorder="1" applyProtection="1">
      <protection locked="0"/>
    </xf>
    <xf numFmtId="0" fontId="11" fillId="2" borderId="0" xfId="0" applyFont="1" applyFill="1"/>
    <xf numFmtId="0" fontId="5" fillId="3" borderId="1" xfId="0" applyFont="1" applyFill="1" applyBorder="1"/>
    <xf numFmtId="0" fontId="0" fillId="3" borderId="0" xfId="0" applyFill="1"/>
    <xf numFmtId="2" fontId="0" fillId="0" borderId="0" xfId="0" applyNumberFormat="1"/>
    <xf numFmtId="0" fontId="0" fillId="3" borderId="7" xfId="0" applyFill="1" applyBorder="1"/>
    <xf numFmtId="0" fontId="0" fillId="3" borderId="5" xfId="0" applyFill="1" applyBorder="1"/>
    <xf numFmtId="0" fontId="0" fillId="3" borderId="8" xfId="0" applyFill="1" applyBorder="1"/>
    <xf numFmtId="0" fontId="0" fillId="3" borderId="9" xfId="0" applyFill="1" applyBorder="1"/>
    <xf numFmtId="0" fontId="5" fillId="3" borderId="9" xfId="0" applyFont="1" applyFill="1" applyBorder="1"/>
    <xf numFmtId="2" fontId="5" fillId="3" borderId="9" xfId="0" applyNumberFormat="1" applyFont="1" applyFill="1" applyBorder="1"/>
    <xf numFmtId="1" fontId="2" fillId="3" borderId="1" xfId="0" applyNumberFormat="1" applyFont="1" applyFill="1" applyBorder="1"/>
    <xf numFmtId="1" fontId="2" fillId="3" borderId="5" xfId="0" applyNumberFormat="1" applyFont="1" applyFill="1" applyBorder="1"/>
    <xf numFmtId="2" fontId="5" fillId="3" borderId="10" xfId="0" applyNumberFormat="1" applyFont="1" applyFill="1" applyBorder="1"/>
    <xf numFmtId="0" fontId="0" fillId="3" borderId="11" xfId="0" applyFill="1" applyBorder="1"/>
    <xf numFmtId="0" fontId="0" fillId="3" borderId="12" xfId="0" applyFill="1" applyBorder="1"/>
    <xf numFmtId="0" fontId="5" fillId="2" borderId="0" xfId="0" applyFont="1" applyFill="1" applyProtection="1"/>
    <xf numFmtId="0" fontId="0" fillId="2" borderId="0" xfId="0" applyFill="1" applyProtection="1"/>
    <xf numFmtId="0" fontId="0" fillId="0" borderId="0" xfId="0" applyProtection="1"/>
    <xf numFmtId="0" fontId="5" fillId="0" borderId="0" xfId="0" applyFont="1" applyProtection="1"/>
    <xf numFmtId="0" fontId="5" fillId="0" borderId="13" xfId="0" applyFont="1" applyFill="1" applyBorder="1" applyAlignment="1" applyProtection="1">
      <alignment vertical="top" wrapText="1"/>
    </xf>
    <xf numFmtId="0" fontId="5" fillId="0" borderId="14" xfId="0" applyFont="1" applyFill="1" applyBorder="1" applyAlignment="1" applyProtection="1">
      <alignment vertical="top" wrapText="1"/>
    </xf>
    <xf numFmtId="0" fontId="5" fillId="0" borderId="15" xfId="0" applyFont="1" applyFill="1" applyBorder="1" applyAlignment="1" applyProtection="1">
      <alignment vertical="top" wrapText="1"/>
    </xf>
    <xf numFmtId="0" fontId="5" fillId="0" borderId="16" xfId="0" applyFont="1" applyFill="1" applyBorder="1" applyAlignment="1" applyProtection="1">
      <alignment vertical="top" wrapText="1"/>
    </xf>
    <xf numFmtId="0" fontId="0" fillId="0" borderId="4" xfId="0" applyFill="1" applyBorder="1" applyProtection="1"/>
    <xf numFmtId="2" fontId="0" fillId="0" borderId="2" xfId="0" applyNumberFormat="1" applyFill="1" applyBorder="1" applyProtection="1"/>
    <xf numFmtId="2" fontId="0" fillId="0" borderId="3" xfId="0" applyNumberFormat="1" applyFill="1" applyBorder="1" applyProtection="1"/>
    <xf numFmtId="0" fontId="5" fillId="0" borderId="4" xfId="0" applyFont="1" applyFill="1" applyBorder="1" applyProtection="1"/>
    <xf numFmtId="223" fontId="0" fillId="0" borderId="3" xfId="0" applyNumberFormat="1" applyFill="1" applyBorder="1" applyProtection="1"/>
    <xf numFmtId="0" fontId="0" fillId="0" borderId="3" xfId="0" applyFill="1" applyBorder="1" applyProtection="1"/>
    <xf numFmtId="0" fontId="11" fillId="0" borderId="0" xfId="0" applyFont="1" applyProtection="1"/>
    <xf numFmtId="0" fontId="0" fillId="0" borderId="4" xfId="0" applyBorder="1" applyProtection="1"/>
    <xf numFmtId="177" fontId="0" fillId="0" borderId="5" xfId="1" applyNumberFormat="1" applyFont="1" applyBorder="1" applyProtection="1"/>
    <xf numFmtId="177" fontId="5" fillId="0" borderId="10" xfId="0" applyNumberFormat="1" applyFont="1" applyBorder="1" applyProtection="1"/>
    <xf numFmtId="0" fontId="6" fillId="3" borderId="0" xfId="0" applyFont="1" applyFill="1"/>
    <xf numFmtId="0" fontId="5" fillId="3" borderId="0" xfId="0" applyFont="1" applyFill="1" applyAlignment="1">
      <alignment horizontal="right"/>
    </xf>
    <xf numFmtId="0" fontId="0" fillId="3" borderId="0" xfId="0" applyFill="1" applyProtection="1">
      <protection locked="0"/>
    </xf>
    <xf numFmtId="0" fontId="6" fillId="3" borderId="0" xfId="0" applyFont="1" applyFill="1" applyAlignment="1"/>
    <xf numFmtId="0" fontId="0" fillId="3" borderId="0" xfId="0" applyFill="1" applyAlignment="1"/>
    <xf numFmtId="0" fontId="0" fillId="4" borderId="0" xfId="0" applyFill="1"/>
    <xf numFmtId="0" fontId="0" fillId="4" borderId="0" xfId="0" applyFill="1" applyBorder="1"/>
    <xf numFmtId="0" fontId="0" fillId="0" borderId="0" xfId="0" applyFill="1"/>
    <xf numFmtId="0" fontId="0" fillId="0" borderId="1" xfId="0" applyBorder="1" applyProtection="1"/>
    <xf numFmtId="0" fontId="0" fillId="0" borderId="4" xfId="0" applyBorder="1" applyAlignment="1" applyProtection="1">
      <alignment horizontal="left"/>
    </xf>
    <xf numFmtId="0" fontId="5" fillId="5" borderId="0" xfId="0" applyFont="1" applyFill="1" applyAlignment="1">
      <alignment horizontal="right"/>
    </xf>
    <xf numFmtId="0" fontId="0" fillId="5" borderId="0" xfId="0" applyFill="1" applyProtection="1">
      <protection locked="0"/>
    </xf>
    <xf numFmtId="0" fontId="0" fillId="2" borderId="1" xfId="0" applyFill="1" applyBorder="1" applyProtection="1"/>
    <xf numFmtId="0" fontId="0" fillId="0" borderId="0" xfId="0" applyBorder="1" applyProtection="1"/>
    <xf numFmtId="0" fontId="5" fillId="0" borderId="1" xfId="0" applyFont="1" applyBorder="1" applyProtection="1"/>
    <xf numFmtId="0" fontId="2" fillId="0" borderId="1" xfId="0" applyFont="1" applyBorder="1" applyAlignment="1" applyProtection="1"/>
    <xf numFmtId="0" fontId="0" fillId="0" borderId="0" xfId="0" applyFill="1" applyBorder="1" applyProtection="1"/>
    <xf numFmtId="172" fontId="0" fillId="0" borderId="0" xfId="0" applyNumberFormat="1" applyProtection="1"/>
    <xf numFmtId="0" fontId="2" fillId="0" borderId="1" xfId="0" applyFont="1" applyBorder="1" applyProtection="1"/>
    <xf numFmtId="0" fontId="0" fillId="0" borderId="1" xfId="0" applyBorder="1" applyAlignment="1" applyProtection="1">
      <alignment horizontal="center"/>
    </xf>
    <xf numFmtId="0" fontId="2" fillId="0" borderId="0" xfId="0" applyFont="1" applyBorder="1" applyAlignment="1" applyProtection="1">
      <alignment horizontal="center"/>
    </xf>
    <xf numFmtId="0" fontId="2" fillId="0" borderId="1" xfId="0" applyFont="1" applyBorder="1" applyAlignment="1" applyProtection="1">
      <alignment vertical="top" wrapText="1"/>
    </xf>
    <xf numFmtId="0" fontId="0" fillId="0" borderId="1" xfId="0" applyFill="1" applyBorder="1" applyProtection="1"/>
    <xf numFmtId="0" fontId="0" fillId="0" borderId="17" xfId="0" applyFill="1" applyBorder="1" applyProtection="1"/>
    <xf numFmtId="0" fontId="2" fillId="0" borderId="1" xfId="0" applyFont="1" applyBorder="1" applyAlignment="1" applyProtection="1">
      <alignment horizontal="center" vertical="top" wrapText="1"/>
    </xf>
    <xf numFmtId="0" fontId="0" fillId="0" borderId="0" xfId="0" quotePrefix="1" applyProtection="1"/>
    <xf numFmtId="207" fontId="0" fillId="0" borderId="1" xfId="1" applyNumberFormat="1" applyFont="1" applyBorder="1" applyAlignment="1" applyProtection="1">
      <alignment horizontal="center"/>
    </xf>
    <xf numFmtId="2" fontId="0" fillId="0" borderId="1" xfId="0" applyNumberFormat="1" applyBorder="1" applyAlignment="1" applyProtection="1">
      <alignment horizontal="center"/>
    </xf>
    <xf numFmtId="0" fontId="2" fillId="0" borderId="17" xfId="0" applyFont="1" applyFill="1" applyBorder="1" applyAlignment="1" applyProtection="1">
      <alignment vertical="top" wrapText="1"/>
    </xf>
    <xf numFmtId="207" fontId="2" fillId="0" borderId="17" xfId="1" applyNumberFormat="1" applyFont="1" applyFill="1" applyBorder="1" applyAlignment="1" applyProtection="1">
      <alignment horizontal="center" vertical="top" wrapText="1"/>
    </xf>
    <xf numFmtId="0" fontId="5" fillId="3" borderId="7" xfId="0" applyFont="1" applyFill="1" applyBorder="1"/>
    <xf numFmtId="0" fontId="14" fillId="0" borderId="0" xfId="0" applyFont="1"/>
    <xf numFmtId="0" fontId="5" fillId="2" borderId="4" xfId="0" applyFont="1" applyFill="1" applyBorder="1" applyProtection="1"/>
    <xf numFmtId="0" fontId="5" fillId="2" borderId="1" xfId="0" applyFont="1" applyFill="1" applyBorder="1" applyProtection="1"/>
    <xf numFmtId="0" fontId="5" fillId="2" borderId="2" xfId="0" applyFont="1" applyFill="1" applyBorder="1" applyProtection="1"/>
    <xf numFmtId="0" fontId="5" fillId="2" borderId="3" xfId="0" applyFont="1" applyFill="1" applyBorder="1" applyProtection="1"/>
    <xf numFmtId="0" fontId="5" fillId="2" borderId="5" xfId="0" applyFont="1" applyFill="1" applyBorder="1" applyProtection="1"/>
    <xf numFmtId="0" fontId="5" fillId="3" borderId="1" xfId="0" applyFont="1" applyFill="1" applyBorder="1" applyAlignment="1">
      <alignment horizontal="center"/>
    </xf>
    <xf numFmtId="2" fontId="2" fillId="0" borderId="1" xfId="0" applyNumberFormat="1" applyFont="1" applyBorder="1" applyAlignment="1" applyProtection="1"/>
    <xf numFmtId="0" fontId="2" fillId="0" borderId="1" xfId="0" applyFont="1" applyBorder="1" applyAlignment="1" applyProtection="1">
      <alignment horizontal="right"/>
    </xf>
    <xf numFmtId="177" fontId="0" fillId="0" borderId="1" xfId="1" applyNumberFormat="1" applyFont="1" applyBorder="1" applyAlignment="1" applyProtection="1">
      <alignment horizontal="right"/>
    </xf>
    <xf numFmtId="0" fontId="13" fillId="0" borderId="1" xfId="0" applyFont="1" applyBorder="1" applyAlignment="1" applyProtection="1">
      <alignment horizontal="right"/>
    </xf>
    <xf numFmtId="0" fontId="0" fillId="0" borderId="1" xfId="0" applyBorder="1" applyAlignment="1" applyProtection="1">
      <alignment horizontal="right"/>
    </xf>
    <xf numFmtId="177" fontId="2" fillId="0" borderId="1" xfId="1" applyNumberFormat="1" applyFont="1" applyBorder="1" applyAlignment="1" applyProtection="1">
      <alignment horizontal="right"/>
    </xf>
    <xf numFmtId="172" fontId="0" fillId="3" borderId="2" xfId="0" applyNumberFormat="1" applyFill="1" applyBorder="1" applyAlignment="1">
      <alignment horizontal="right"/>
    </xf>
    <xf numFmtId="172" fontId="0" fillId="0" borderId="0" xfId="0" applyNumberFormat="1" applyFill="1"/>
    <xf numFmtId="177" fontId="0" fillId="3" borderId="2" xfId="1" applyNumberFormat="1" applyFont="1" applyFill="1" applyBorder="1"/>
    <xf numFmtId="172" fontId="2" fillId="0" borderId="1" xfId="0" applyNumberFormat="1" applyFont="1" applyBorder="1" applyAlignment="1" applyProtection="1"/>
    <xf numFmtId="207" fontId="2" fillId="0" borderId="1" xfId="0" applyNumberFormat="1" applyFont="1" applyBorder="1" applyAlignment="1" applyProtection="1"/>
    <xf numFmtId="0" fontId="5" fillId="2" borderId="0" xfId="0" applyFont="1" applyFill="1" applyBorder="1" applyProtection="1"/>
    <xf numFmtId="0" fontId="0" fillId="3" borderId="2" xfId="0" applyNumberFormat="1" applyFill="1" applyBorder="1" applyAlignment="1">
      <alignment horizontal="right"/>
    </xf>
    <xf numFmtId="0" fontId="0" fillId="3" borderId="2" xfId="1" applyNumberFormat="1" applyFont="1" applyFill="1" applyBorder="1"/>
    <xf numFmtId="0" fontId="1" fillId="3" borderId="2" xfId="1" applyNumberFormat="1" applyFill="1" applyBorder="1"/>
    <xf numFmtId="209" fontId="0" fillId="4" borderId="3" xfId="0" applyNumberFormat="1" applyFill="1" applyBorder="1" applyProtection="1">
      <protection locked="0"/>
    </xf>
    <xf numFmtId="0" fontId="0" fillId="3" borderId="0" xfId="0" applyFill="1" applyProtection="1"/>
    <xf numFmtId="0" fontId="0" fillId="0" borderId="0" xfId="0" applyFill="1" applyProtection="1"/>
    <xf numFmtId="0" fontId="8" fillId="0" borderId="1" xfId="0" applyFont="1" applyBorder="1" applyAlignment="1" applyProtection="1">
      <alignment horizontal="center"/>
    </xf>
    <xf numFmtId="0" fontId="0" fillId="0" borderId="1" xfId="0" applyBorder="1" applyAlignment="1" applyProtection="1">
      <alignment horizontal="left"/>
    </xf>
    <xf numFmtId="0" fontId="2" fillId="0" borderId="1" xfId="0" applyFont="1" applyBorder="1" applyAlignment="1" applyProtection="1">
      <alignment horizontal="left"/>
    </xf>
    <xf numFmtId="0" fontId="2" fillId="0" borderId="1" xfId="0" applyFont="1" applyBorder="1" applyAlignment="1" applyProtection="1">
      <alignment horizontal="center"/>
    </xf>
    <xf numFmtId="0" fontId="2" fillId="0" borderId="1" xfId="0" applyFont="1" applyFill="1" applyBorder="1" applyAlignment="1" applyProtection="1">
      <alignment horizontal="center" vertical="top" wrapText="1"/>
    </xf>
    <xf numFmtId="0" fontId="0" fillId="2" borderId="2" xfId="0" applyFill="1" applyBorder="1" applyProtection="1"/>
    <xf numFmtId="0" fontId="0" fillId="0" borderId="18" xfId="0" applyBorder="1" applyProtection="1"/>
    <xf numFmtId="0" fontId="5" fillId="2" borderId="19" xfId="0" applyFont="1" applyFill="1" applyBorder="1" applyProtection="1"/>
    <xf numFmtId="0" fontId="0" fillId="2" borderId="19" xfId="0" applyFill="1" applyBorder="1" applyProtection="1"/>
    <xf numFmtId="0" fontId="0" fillId="2" borderId="3" xfId="0" applyFill="1" applyBorder="1" applyProtection="1"/>
    <xf numFmtId="0" fontId="0" fillId="0" borderId="2" xfId="0" applyNumberFormat="1" applyFill="1" applyBorder="1" applyProtection="1"/>
    <xf numFmtId="0" fontId="0" fillId="3" borderId="2" xfId="1" applyNumberFormat="1" applyFont="1" applyFill="1" applyBorder="1" applyAlignment="1">
      <alignment horizontal="right"/>
    </xf>
    <xf numFmtId="0" fontId="1" fillId="3" borderId="2" xfId="1" applyNumberFormat="1" applyFill="1" applyBorder="1" applyAlignment="1">
      <alignment horizontal="right"/>
    </xf>
    <xf numFmtId="177" fontId="1" fillId="3" borderId="2" xfId="1" applyNumberFormat="1" applyFill="1" applyBorder="1"/>
    <xf numFmtId="1" fontId="2" fillId="3" borderId="2" xfId="0" applyNumberFormat="1" applyFont="1" applyFill="1" applyBorder="1"/>
    <xf numFmtId="0" fontId="0" fillId="0" borderId="4" xfId="0" quotePrefix="1" applyBorder="1" applyProtection="1"/>
    <xf numFmtId="209" fontId="0" fillId="0" borderId="3" xfId="0" applyNumberFormat="1" applyFill="1" applyBorder="1" applyProtection="1">
      <protection locked="0"/>
    </xf>
    <xf numFmtId="2" fontId="0" fillId="0" borderId="3" xfId="0" applyNumberFormat="1" applyFill="1" applyBorder="1" applyAlignment="1" applyProtection="1">
      <alignment vertical="top"/>
    </xf>
    <xf numFmtId="184" fontId="0" fillId="3" borderId="3" xfId="0" applyNumberFormat="1" applyFill="1" applyBorder="1" applyAlignment="1">
      <alignment vertical="top"/>
    </xf>
    <xf numFmtId="0" fontId="0" fillId="3" borderId="20" xfId="0" applyFill="1" applyBorder="1"/>
    <xf numFmtId="0" fontId="0" fillId="3" borderId="0" xfId="0" applyFill="1" applyBorder="1"/>
    <xf numFmtId="0" fontId="0" fillId="3" borderId="0" xfId="0" applyFill="1" applyBorder="1" applyAlignment="1">
      <alignment vertical="top"/>
    </xf>
    <xf numFmtId="0" fontId="0" fillId="3" borderId="21" xfId="0" applyFill="1" applyBorder="1"/>
    <xf numFmtId="0" fontId="0" fillId="3" borderId="22" xfId="0" applyFill="1" applyBorder="1"/>
    <xf numFmtId="0" fontId="0" fillId="3" borderId="23" xfId="0" applyFill="1" applyBorder="1"/>
    <xf numFmtId="0" fontId="0" fillId="3" borderId="0" xfId="0" applyFill="1" applyBorder="1" applyAlignment="1">
      <alignment horizontal="right"/>
    </xf>
    <xf numFmtId="0" fontId="0" fillId="3" borderId="20" xfId="0" quotePrefix="1" applyFill="1" applyBorder="1" applyAlignment="1">
      <alignment horizontal="center"/>
    </xf>
    <xf numFmtId="14" fontId="0" fillId="3" borderId="0" xfId="0" quotePrefix="1" applyNumberFormat="1" applyFill="1" applyBorder="1"/>
    <xf numFmtId="0" fontId="7" fillId="3" borderId="22" xfId="2" applyFill="1" applyBorder="1" applyAlignment="1" applyProtection="1">
      <alignment horizontal="center"/>
    </xf>
    <xf numFmtId="0" fontId="0" fillId="0" borderId="1" xfId="0" quotePrefix="1" applyBorder="1" applyProtection="1"/>
    <xf numFmtId="0" fontId="0" fillId="0" borderId="2" xfId="0" applyNumberFormat="1" applyFill="1" applyBorder="1" applyAlignment="1" applyProtection="1">
      <alignment horizontal="right"/>
    </xf>
    <xf numFmtId="0" fontId="0" fillId="2" borderId="0" xfId="0" applyFill="1" applyBorder="1" applyProtection="1"/>
    <xf numFmtId="0" fontId="0" fillId="0" borderId="24" xfId="0" applyFill="1" applyBorder="1" applyProtection="1">
      <protection locked="0"/>
    </xf>
    <xf numFmtId="0" fontId="0" fillId="0" borderId="25" xfId="0" applyFill="1" applyBorder="1" applyProtection="1">
      <protection locked="0"/>
    </xf>
    <xf numFmtId="0" fontId="0" fillId="0" borderId="26" xfId="0" applyFill="1" applyBorder="1" applyProtection="1">
      <protection locked="0"/>
    </xf>
    <xf numFmtId="0" fontId="0" fillId="0" borderId="27" xfId="0" applyFill="1" applyBorder="1" applyProtection="1">
      <protection locked="0"/>
    </xf>
    <xf numFmtId="172" fontId="0" fillId="0" borderId="28" xfId="0" applyNumberFormat="1" applyFill="1" applyBorder="1" applyProtection="1">
      <protection locked="0"/>
    </xf>
    <xf numFmtId="177" fontId="0" fillId="5" borderId="19" xfId="1" applyNumberFormat="1" applyFont="1" applyFill="1" applyBorder="1"/>
    <xf numFmtId="1" fontId="0" fillId="5" borderId="19" xfId="0" applyNumberFormat="1" applyFill="1" applyBorder="1" applyProtection="1">
      <protection locked="0"/>
    </xf>
    <xf numFmtId="2" fontId="0" fillId="5" borderId="19" xfId="0" applyNumberFormat="1" applyFill="1" applyBorder="1"/>
    <xf numFmtId="218" fontId="0" fillId="5" borderId="19" xfId="0" applyNumberFormat="1" applyFill="1" applyBorder="1"/>
    <xf numFmtId="215" fontId="0" fillId="5" borderId="19" xfId="0" applyNumberFormat="1" applyFill="1" applyBorder="1" applyAlignment="1">
      <alignment horizontal="center"/>
    </xf>
    <xf numFmtId="1" fontId="0" fillId="5" borderId="19" xfId="0" applyNumberFormat="1" applyFill="1" applyBorder="1"/>
    <xf numFmtId="0" fontId="0" fillId="5" borderId="19" xfId="0" applyFill="1" applyBorder="1"/>
    <xf numFmtId="177" fontId="0" fillId="5" borderId="19" xfId="1" applyNumberFormat="1" applyFont="1" applyFill="1" applyBorder="1" applyAlignment="1" applyProtection="1">
      <alignment horizontal="right"/>
      <protection locked="0"/>
    </xf>
    <xf numFmtId="184" fontId="0" fillId="5" borderId="19" xfId="0" applyNumberFormat="1" applyFill="1" applyBorder="1"/>
    <xf numFmtId="9" fontId="0" fillId="5" borderId="19" xfId="3" applyFont="1" applyFill="1" applyBorder="1"/>
    <xf numFmtId="0" fontId="5" fillId="5" borderId="19" xfId="0" applyFont="1" applyFill="1" applyBorder="1"/>
    <xf numFmtId="0" fontId="5" fillId="5" borderId="19" xfId="0" applyFont="1" applyFill="1" applyBorder="1" applyProtection="1">
      <protection locked="0"/>
    </xf>
    <xf numFmtId="2" fontId="5" fillId="5" borderId="19" xfId="0" applyNumberFormat="1" applyFont="1" applyFill="1" applyBorder="1"/>
    <xf numFmtId="0" fontId="11" fillId="5" borderId="29" xfId="0" applyFont="1" applyFill="1" applyBorder="1"/>
    <xf numFmtId="172" fontId="0" fillId="5" borderId="30" xfId="0" applyNumberFormat="1" applyFill="1" applyBorder="1"/>
    <xf numFmtId="172" fontId="5" fillId="5" borderId="30" xfId="0" applyNumberFormat="1" applyFont="1" applyFill="1" applyBorder="1"/>
    <xf numFmtId="0" fontId="11" fillId="2" borderId="31" xfId="0" applyFont="1" applyFill="1" applyBorder="1"/>
    <xf numFmtId="0" fontId="0" fillId="2" borderId="32" xfId="0" applyFill="1" applyBorder="1"/>
    <xf numFmtId="172" fontId="11" fillId="2" borderId="33" xfId="0" applyNumberFormat="1" applyFont="1" applyFill="1" applyBorder="1" applyProtection="1"/>
    <xf numFmtId="177" fontId="1" fillId="5" borderId="19" xfId="1" applyNumberFormat="1" applyFill="1" applyBorder="1"/>
    <xf numFmtId="177" fontId="1" fillId="5" borderId="19" xfId="1" applyNumberFormat="1" applyFont="1" applyFill="1" applyBorder="1" applyAlignment="1" applyProtection="1">
      <alignment horizontal="right"/>
      <protection locked="0"/>
    </xf>
    <xf numFmtId="9" fontId="1" fillId="5" borderId="19" xfId="3" applyFill="1" applyBorder="1"/>
    <xf numFmtId="0" fontId="0" fillId="5" borderId="19" xfId="0" applyFill="1" applyBorder="1" applyProtection="1">
      <protection locked="0"/>
    </xf>
    <xf numFmtId="0" fontId="11" fillId="2" borderId="31" xfId="0" applyFont="1" applyFill="1" applyBorder="1" applyProtection="1"/>
    <xf numFmtId="0" fontId="0" fillId="2" borderId="32" xfId="0" applyFill="1" applyBorder="1" applyProtection="1"/>
    <xf numFmtId="0" fontId="11" fillId="5" borderId="29" xfId="0" applyFont="1" applyFill="1" applyBorder="1" applyProtection="1"/>
    <xf numFmtId="177" fontId="0" fillId="5" borderId="19" xfId="1" applyNumberFormat="1" applyFont="1" applyFill="1" applyBorder="1" applyProtection="1"/>
    <xf numFmtId="0" fontId="0" fillId="5" borderId="19" xfId="0" applyFill="1" applyBorder="1" applyProtection="1"/>
    <xf numFmtId="184" fontId="0" fillId="5" borderId="19" xfId="0" applyNumberFormat="1" applyFill="1" applyBorder="1" applyProtection="1"/>
    <xf numFmtId="1" fontId="0" fillId="5" borderId="19" xfId="0" applyNumberFormat="1" applyFill="1" applyBorder="1" applyProtection="1"/>
    <xf numFmtId="172" fontId="0" fillId="5" borderId="30" xfId="0" applyNumberFormat="1" applyFill="1" applyBorder="1" applyProtection="1"/>
    <xf numFmtId="215" fontId="0" fillId="0" borderId="3" xfId="0" applyNumberFormat="1" applyFill="1" applyBorder="1" applyAlignment="1" applyProtection="1">
      <alignment horizontal="left"/>
      <protection locked="0"/>
    </xf>
    <xf numFmtId="0" fontId="0" fillId="0" borderId="34" xfId="0" applyBorder="1" applyProtection="1"/>
    <xf numFmtId="0" fontId="0" fillId="0" borderId="35" xfId="0" applyBorder="1" applyProtection="1"/>
    <xf numFmtId="0" fontId="6" fillId="0" borderId="34" xfId="0" applyFont="1" applyBorder="1" applyProtection="1"/>
    <xf numFmtId="0" fontId="5" fillId="0" borderId="36" xfId="0" applyFont="1" applyBorder="1" applyProtection="1"/>
    <xf numFmtId="232" fontId="0" fillId="0" borderId="30" xfId="1" applyNumberFormat="1" applyFont="1" applyFill="1" applyBorder="1" applyProtection="1"/>
    <xf numFmtId="223" fontId="0" fillId="0" borderId="27" xfId="0" applyNumberFormat="1" applyFill="1" applyBorder="1" applyProtection="1"/>
    <xf numFmtId="0" fontId="0" fillId="0" borderId="26" xfId="0" applyNumberFormat="1" applyFill="1" applyBorder="1" applyProtection="1"/>
    <xf numFmtId="222" fontId="0" fillId="0" borderId="27" xfId="0" applyNumberFormat="1" applyFill="1" applyBorder="1" applyAlignment="1" applyProtection="1">
      <alignment horizontal="left"/>
    </xf>
    <xf numFmtId="234" fontId="0" fillId="0" borderId="2" xfId="0" applyNumberFormat="1" applyFill="1" applyBorder="1" applyProtection="1"/>
    <xf numFmtId="234" fontId="0" fillId="0" borderId="26" xfId="0" applyNumberFormat="1" applyFill="1" applyBorder="1" applyProtection="1"/>
    <xf numFmtId="172" fontId="0" fillId="0" borderId="2" xfId="0" applyNumberFormat="1" applyFill="1" applyBorder="1" applyProtection="1"/>
    <xf numFmtId="172" fontId="0" fillId="3" borderId="2" xfId="1" applyNumberFormat="1" applyFont="1" applyFill="1" applyBorder="1"/>
    <xf numFmtId="172" fontId="1" fillId="3" borderId="2" xfId="1" applyNumberFormat="1" applyFill="1" applyBorder="1"/>
    <xf numFmtId="235" fontId="0" fillId="0" borderId="2" xfId="0" applyNumberFormat="1" applyFill="1" applyBorder="1" applyProtection="1"/>
    <xf numFmtId="0" fontId="5" fillId="0" borderId="8" xfId="0" applyFont="1" applyBorder="1" applyProtection="1"/>
    <xf numFmtId="235" fontId="0" fillId="4" borderId="2" xfId="0" applyNumberFormat="1" applyFill="1" applyBorder="1" applyProtection="1">
      <protection locked="0"/>
    </xf>
    <xf numFmtId="0" fontId="0" fillId="2" borderId="17" xfId="0" applyFill="1" applyBorder="1" applyProtection="1"/>
    <xf numFmtId="0" fontId="5" fillId="0" borderId="13" xfId="0" applyFont="1" applyFill="1" applyBorder="1" applyProtection="1"/>
    <xf numFmtId="0" fontId="11" fillId="0" borderId="37" xfId="0" applyFont="1" applyFill="1" applyBorder="1" applyProtection="1"/>
    <xf numFmtId="0" fontId="0" fillId="0" borderId="38" xfId="0" applyFill="1" applyBorder="1" applyProtection="1"/>
    <xf numFmtId="0" fontId="0" fillId="0" borderId="39" xfId="0" applyFill="1" applyBorder="1" applyProtection="1"/>
    <xf numFmtId="232" fontId="11" fillId="0" borderId="40" xfId="0" applyNumberFormat="1" applyFont="1" applyFill="1" applyBorder="1" applyProtection="1"/>
    <xf numFmtId="0" fontId="5" fillId="0" borderId="41" xfId="0" applyFont="1" applyFill="1" applyBorder="1" applyProtection="1"/>
    <xf numFmtId="234" fontId="0" fillId="0" borderId="42" xfId="0" applyNumberFormat="1" applyFill="1" applyBorder="1" applyProtection="1"/>
    <xf numFmtId="223" fontId="0" fillId="0" borderId="43" xfId="0" applyNumberFormat="1" applyFill="1" applyBorder="1" applyProtection="1"/>
    <xf numFmtId="0" fontId="0" fillId="0" borderId="42" xfId="0" applyNumberFormat="1" applyFill="1" applyBorder="1" applyProtection="1"/>
    <xf numFmtId="222" fontId="0" fillId="0" borderId="43" xfId="0" applyNumberFormat="1" applyFill="1" applyBorder="1" applyAlignment="1" applyProtection="1">
      <alignment horizontal="left"/>
    </xf>
    <xf numFmtId="0" fontId="2" fillId="0" borderId="24" xfId="0" applyFont="1" applyFill="1" applyBorder="1" applyProtection="1"/>
    <xf numFmtId="235" fontId="0" fillId="0" borderId="26" xfId="0" applyNumberFormat="1" applyFill="1" applyBorder="1" applyProtection="1"/>
    <xf numFmtId="2" fontId="0" fillId="0" borderId="42" xfId="0" applyNumberFormat="1" applyFill="1" applyBorder="1" applyProtection="1"/>
    <xf numFmtId="0" fontId="2" fillId="0" borderId="44" xfId="0" applyFont="1" applyFill="1" applyBorder="1" applyProtection="1"/>
    <xf numFmtId="235" fontId="0" fillId="0" borderId="45" xfId="0" applyNumberFormat="1" applyFill="1" applyBorder="1" applyProtection="1"/>
    <xf numFmtId="223" fontId="0" fillId="0" borderId="46" xfId="0" applyNumberFormat="1" applyFill="1" applyBorder="1" applyProtection="1"/>
    <xf numFmtId="0" fontId="0" fillId="0" borderId="45" xfId="0" applyNumberFormat="1" applyFill="1" applyBorder="1" applyProtection="1"/>
    <xf numFmtId="0" fontId="0" fillId="0" borderId="46" xfId="0" applyFill="1" applyBorder="1" applyProtection="1"/>
    <xf numFmtId="234" fontId="0" fillId="0" borderId="45" xfId="0" applyNumberFormat="1" applyFill="1" applyBorder="1" applyProtection="1"/>
    <xf numFmtId="235" fontId="0" fillId="0" borderId="42" xfId="0" applyNumberFormat="1" applyFill="1" applyBorder="1" applyProtection="1"/>
    <xf numFmtId="235" fontId="2" fillId="0" borderId="14" xfId="0" applyNumberFormat="1" applyFont="1" applyFill="1" applyBorder="1" applyProtection="1"/>
    <xf numFmtId="223" fontId="2" fillId="0" borderId="15" xfId="0" applyNumberFormat="1" applyFont="1" applyFill="1" applyBorder="1" applyProtection="1"/>
    <xf numFmtId="0" fontId="2" fillId="0" borderId="14" xfId="0" applyNumberFormat="1" applyFont="1" applyFill="1" applyBorder="1" applyProtection="1"/>
    <xf numFmtId="0" fontId="2" fillId="0" borderId="15" xfId="0" applyFont="1" applyFill="1" applyBorder="1" applyProtection="1"/>
    <xf numFmtId="232" fontId="2" fillId="0" borderId="16" xfId="1" applyNumberFormat="1" applyFont="1" applyFill="1" applyBorder="1" applyProtection="1"/>
    <xf numFmtId="0" fontId="5" fillId="0" borderId="13" xfId="0" applyFont="1" applyBorder="1" applyProtection="1"/>
    <xf numFmtId="0" fontId="5" fillId="0" borderId="16" xfId="0" applyFont="1" applyBorder="1" applyAlignment="1" applyProtection="1">
      <alignment horizontal="center"/>
    </xf>
    <xf numFmtId="195" fontId="0" fillId="0" borderId="3" xfId="0" applyNumberFormat="1" applyFill="1" applyBorder="1" applyAlignment="1" applyProtection="1">
      <alignment horizontal="left"/>
    </xf>
    <xf numFmtId="201" fontId="0" fillId="0" borderId="3" xfId="0" applyNumberFormat="1" applyFill="1" applyBorder="1" applyAlignment="1" applyProtection="1">
      <alignment horizontal="left"/>
    </xf>
    <xf numFmtId="200" fontId="0" fillId="0" borderId="3" xfId="0" applyNumberFormat="1" applyFill="1" applyBorder="1" applyAlignment="1" applyProtection="1">
      <alignment horizontal="left"/>
    </xf>
    <xf numFmtId="215" fontId="0" fillId="0" borderId="3" xfId="0" applyNumberFormat="1" applyFill="1" applyBorder="1" applyAlignment="1" applyProtection="1">
      <alignment horizontal="center"/>
    </xf>
    <xf numFmtId="215" fontId="0" fillId="0" borderId="3" xfId="0" applyNumberFormat="1" applyFill="1" applyBorder="1" applyAlignment="1" applyProtection="1">
      <alignment horizontal="left"/>
    </xf>
    <xf numFmtId="0" fontId="5" fillId="0" borderId="3" xfId="0" applyFont="1" applyFill="1" applyBorder="1" applyProtection="1"/>
    <xf numFmtId="209" fontId="0" fillId="0" borderId="3" xfId="0" applyNumberFormat="1" applyFill="1" applyBorder="1" applyProtection="1"/>
    <xf numFmtId="0" fontId="0" fillId="0" borderId="24" xfId="0" applyFill="1" applyBorder="1" applyProtection="1"/>
    <xf numFmtId="209" fontId="0" fillId="0" borderId="27" xfId="0" applyNumberFormat="1" applyFill="1" applyBorder="1" applyProtection="1"/>
    <xf numFmtId="232" fontId="0" fillId="0" borderId="47" xfId="1" applyNumberFormat="1" applyFont="1" applyFill="1" applyBorder="1" applyProtection="1"/>
    <xf numFmtId="209" fontId="0" fillId="0" borderId="43" xfId="0" applyNumberFormat="1" applyFill="1" applyBorder="1" applyProtection="1"/>
    <xf numFmtId="232" fontId="5" fillId="0" borderId="35" xfId="1" applyNumberFormat="1" applyFont="1" applyFill="1" applyBorder="1" applyProtection="1"/>
    <xf numFmtId="232" fontId="0" fillId="0" borderId="48" xfId="1" applyNumberFormat="1" applyFont="1" applyFill="1" applyBorder="1" applyProtection="1"/>
    <xf numFmtId="232" fontId="0" fillId="0" borderId="35" xfId="1" applyNumberFormat="1" applyFont="1" applyFill="1" applyBorder="1" applyProtection="1"/>
    <xf numFmtId="0" fontId="0" fillId="0" borderId="46" xfId="0" applyNumberFormat="1" applyFill="1" applyBorder="1" applyProtection="1"/>
    <xf numFmtId="0" fontId="0" fillId="0" borderId="27" xfId="0" applyNumberFormat="1" applyFill="1" applyBorder="1" applyProtection="1"/>
    <xf numFmtId="0" fontId="0" fillId="0" borderId="17" xfId="0" applyBorder="1" applyProtection="1"/>
    <xf numFmtId="0" fontId="15" fillId="0" borderId="0" xfId="0" applyFont="1"/>
    <xf numFmtId="0" fontId="15" fillId="0" borderId="0" xfId="0" applyFont="1" applyAlignment="1">
      <alignment horizontal="left" indent="11"/>
    </xf>
    <xf numFmtId="0" fontId="17" fillId="0" borderId="0" xfId="0" applyFont="1"/>
    <xf numFmtId="0" fontId="17" fillId="0" borderId="0" xfId="0" applyFont="1" applyFill="1" applyProtection="1"/>
    <xf numFmtId="0" fontId="16" fillId="0" borderId="17" xfId="0" applyFont="1" applyBorder="1"/>
    <xf numFmtId="0" fontId="18" fillId="6" borderId="11" xfId="0" applyFont="1" applyFill="1" applyBorder="1"/>
    <xf numFmtId="0" fontId="19" fillId="6" borderId="7" xfId="0" applyFont="1" applyFill="1" applyBorder="1"/>
    <xf numFmtId="0" fontId="19" fillId="6" borderId="12" xfId="0" applyFont="1" applyFill="1" applyBorder="1"/>
    <xf numFmtId="0" fontId="18" fillId="6" borderId="49" xfId="0" applyFont="1" applyFill="1" applyBorder="1"/>
    <xf numFmtId="0" fontId="19" fillId="6" borderId="50" xfId="0" applyFont="1" applyFill="1" applyBorder="1"/>
    <xf numFmtId="0" fontId="19" fillId="6" borderId="51" xfId="0" applyFont="1" applyFill="1" applyBorder="1"/>
    <xf numFmtId="0" fontId="5" fillId="3" borderId="29" xfId="0" applyFont="1" applyFill="1" applyBorder="1" applyProtection="1"/>
    <xf numFmtId="0" fontId="0" fillId="3" borderId="19" xfId="0" applyFill="1" applyBorder="1" applyProtection="1"/>
    <xf numFmtId="172" fontId="5" fillId="3" borderId="30" xfId="0" applyNumberFormat="1" applyFont="1" applyFill="1" applyBorder="1" applyProtection="1"/>
    <xf numFmtId="0" fontId="0" fillId="3" borderId="19" xfId="0" applyFill="1" applyBorder="1" applyProtection="1">
      <protection locked="0"/>
    </xf>
    <xf numFmtId="172" fontId="0" fillId="0" borderId="5" xfId="0" applyNumberFormat="1" applyFill="1" applyBorder="1"/>
    <xf numFmtId="14" fontId="0" fillId="0" borderId="0" xfId="0" applyNumberFormat="1"/>
    <xf numFmtId="0" fontId="0" fillId="3" borderId="0" xfId="0" applyFill="1" applyBorder="1" applyAlignment="1">
      <alignment vertical="top" wrapText="1"/>
    </xf>
    <xf numFmtId="0" fontId="0" fillId="0" borderId="0" xfId="0" applyBorder="1" applyAlignment="1">
      <alignment wrapText="1"/>
    </xf>
    <xf numFmtId="0" fontId="0" fillId="0" borderId="20" xfId="0" applyBorder="1" applyAlignment="1">
      <alignment wrapText="1"/>
    </xf>
    <xf numFmtId="0" fontId="0" fillId="0" borderId="0" xfId="0" applyAlignment="1">
      <alignment vertical="top" wrapText="1"/>
    </xf>
    <xf numFmtId="0" fontId="7" fillId="3" borderId="0" xfId="2" applyFill="1" applyBorder="1" applyAlignment="1" applyProtection="1">
      <alignment vertical="top" wrapText="1"/>
    </xf>
    <xf numFmtId="0" fontId="6" fillId="4" borderId="2" xfId="0" applyFont="1" applyFill="1" applyBorder="1" applyAlignment="1" applyProtection="1">
      <protection locked="0"/>
    </xf>
    <xf numFmtId="0" fontId="0" fillId="4" borderId="19" xfId="0" applyFill="1" applyBorder="1" applyAlignment="1" applyProtection="1">
      <protection locked="0"/>
    </xf>
    <xf numFmtId="0" fontId="0" fillId="0" borderId="19" xfId="0" applyBorder="1" applyAlignment="1" applyProtection="1">
      <protection locked="0"/>
    </xf>
    <xf numFmtId="0" fontId="0" fillId="0" borderId="3" xfId="0" applyBorder="1" applyAlignment="1" applyProtection="1">
      <protection locked="0"/>
    </xf>
    <xf numFmtId="0" fontId="0" fillId="4" borderId="3" xfId="0" applyFill="1" applyBorder="1" applyAlignment="1" applyProtection="1">
      <protection locked="0"/>
    </xf>
    <xf numFmtId="0" fontId="5" fillId="0" borderId="14" xfId="0" applyFont="1" applyFill="1" applyBorder="1" applyAlignment="1" applyProtection="1">
      <alignment vertical="top" wrapText="1"/>
    </xf>
    <xf numFmtId="0" fontId="0" fillId="0" borderId="51" xfId="0" applyBorder="1" applyAlignment="1" applyProtection="1">
      <alignment vertical="top" wrapText="1"/>
    </xf>
    <xf numFmtId="0" fontId="0" fillId="0" borderId="50" xfId="0" applyBorder="1" applyAlignment="1" applyProtection="1">
      <alignment vertical="top" wrapText="1"/>
    </xf>
    <xf numFmtId="0" fontId="0" fillId="5" borderId="0" xfId="0" applyFill="1" applyAlignment="1">
      <alignment wrapText="1"/>
    </xf>
  </cellXfs>
  <cellStyles count="4">
    <cellStyle name="Comma" xfId="1" builtinId="3"/>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Drop" dropLines="12" dropStyle="combo" dx="26" fmlaLink="$D$4" fmlaRange="factors!$D$4:$E$11" noThreeD="1" sel="1" val="0"/>
</file>

<file path=xl/ctrlProps/ctrlProp10.xml><?xml version="1.0" encoding="utf-8"?>
<formControlPr xmlns="http://schemas.microsoft.com/office/spreadsheetml/2009/9/main" objectType="Drop" dropStyle="combo" dx="26" fmlaLink="$D$15" fmlaRange="Units!$B$34:$C$36" noThreeD="1" sel="3" val="0"/>
</file>

<file path=xl/ctrlProps/ctrlProp11.xml><?xml version="1.0" encoding="utf-8"?>
<formControlPr xmlns="http://schemas.microsoft.com/office/spreadsheetml/2009/9/main" objectType="Drop" dropStyle="combo" dx="26" fmlaLink="$D$16" fmlaRange="Units!$B$34:$C$36" noThreeD="1" sel="3" val="0"/>
</file>

<file path=xl/ctrlProps/ctrlProp12.xml><?xml version="1.0" encoding="utf-8"?>
<formControlPr xmlns="http://schemas.microsoft.com/office/spreadsheetml/2009/9/main" objectType="Drop" dropStyle="combo" dx="26" fmlaLink="$D$17" fmlaRange="Units!$B$19:$C$23" noThreeD="1" sel="1" val="0"/>
</file>

<file path=xl/ctrlProps/ctrlProp13.xml><?xml version="1.0" encoding="utf-8"?>
<formControlPr xmlns="http://schemas.microsoft.com/office/spreadsheetml/2009/9/main" objectType="Drop" dropStyle="combo" dx="26" fmlaLink="$D$18" fmlaRange="Units!$B$19:$C$23" noThreeD="1" sel="1" val="0"/>
</file>

<file path=xl/ctrlProps/ctrlProp14.xml><?xml version="1.0" encoding="utf-8"?>
<formControlPr xmlns="http://schemas.microsoft.com/office/spreadsheetml/2009/9/main" objectType="Drop" dropStyle="combo" dx="26" fmlaLink="$D$19" fmlaRange="Units!$B$19:$C$23" noThreeD="1" sel="1" val="0"/>
</file>

<file path=xl/ctrlProps/ctrlProp15.xml><?xml version="1.0" encoding="utf-8"?>
<formControlPr xmlns="http://schemas.microsoft.com/office/spreadsheetml/2009/9/main" objectType="Drop" dropStyle="combo" dx="26" fmlaLink="$D$30" fmlaRange="Units!$B$26:$C$30" noThreeD="1" sel="3" val="0"/>
</file>

<file path=xl/ctrlProps/ctrlProp16.xml><?xml version="1.0" encoding="utf-8"?>
<formControlPr xmlns="http://schemas.microsoft.com/office/spreadsheetml/2009/9/main" objectType="Drop" dropStyle="combo" dx="26" fmlaLink="$D$31" fmlaRange="Units!$B$26:$C$30" noThreeD="1" sel="3" val="0"/>
</file>

<file path=xl/ctrlProps/ctrlProp17.xml><?xml version="1.0" encoding="utf-8"?>
<formControlPr xmlns="http://schemas.microsoft.com/office/spreadsheetml/2009/9/main" objectType="Drop" dropStyle="combo" dx="26" fmlaLink="$D$23" fmlaRange="Units!$B$26:$C$30" noThreeD="1" sel="3" val="0"/>
</file>

<file path=xl/ctrlProps/ctrlProp18.xml><?xml version="1.0" encoding="utf-8"?>
<formControlPr xmlns="http://schemas.microsoft.com/office/spreadsheetml/2009/9/main" objectType="Drop" dropStyle="combo" dx="26" fmlaLink="$D$24" fmlaRange="Units!$B$26:$C$30" noThreeD="1" sel="3" val="0"/>
</file>

<file path=xl/ctrlProps/ctrlProp19.xml><?xml version="1.0" encoding="utf-8"?>
<formControlPr xmlns="http://schemas.microsoft.com/office/spreadsheetml/2009/9/main" objectType="Drop" dropStyle="combo" dx="26" fmlaLink="$D$25" fmlaRange="Units!$B$26:$C$30" noThreeD="1" sel="3" val="0"/>
</file>

<file path=xl/ctrlProps/ctrlProp2.xml><?xml version="1.0" encoding="utf-8"?>
<formControlPr xmlns="http://schemas.microsoft.com/office/spreadsheetml/2009/9/main" objectType="Drop" dropStyle="combo" dx="26" fmlaLink="$D$8" fmlaRange="Units!$B$3:$C$8" noThreeD="1" sel="3" val="0"/>
</file>

<file path=xl/ctrlProps/ctrlProp20.xml><?xml version="1.0" encoding="utf-8"?>
<formControlPr xmlns="http://schemas.microsoft.com/office/spreadsheetml/2009/9/main" objectType="Drop" dropStyle="combo" dx="26" fmlaLink="$D$26" fmlaRange="Units!$B$26:$C$30" noThreeD="1" sel="3" val="0"/>
</file>

<file path=xl/ctrlProps/ctrlProp21.xml><?xml version="1.0" encoding="utf-8"?>
<formControlPr xmlns="http://schemas.microsoft.com/office/spreadsheetml/2009/9/main" objectType="Drop" dropStyle="combo" dx="26" fmlaLink="$D$27" fmlaRange="Units!$B$26:$C$30" noThreeD="1" sel="3" val="0"/>
</file>

<file path=xl/ctrlProps/ctrlProp22.xml><?xml version="1.0" encoding="utf-8"?>
<formControlPr xmlns="http://schemas.microsoft.com/office/spreadsheetml/2009/9/main" objectType="Drop" dropStyle="combo" dx="26" fmlaLink="$D$28" fmlaRange="Units!$B$26:$C$30" noThreeD="1" sel="3" val="0"/>
</file>

<file path=xl/ctrlProps/ctrlProp23.xml><?xml version="1.0" encoding="utf-8"?>
<formControlPr xmlns="http://schemas.microsoft.com/office/spreadsheetml/2009/9/main" objectType="Drop" dropLines="12" dropStyle="combo" dx="26" fmlaLink="$D$4" fmlaRange="factors!$D$4:$E$11" noThreeD="1" sel="3" val="0"/>
</file>

<file path=xl/ctrlProps/ctrlProp24.xml><?xml version="1.0" encoding="utf-8"?>
<formControlPr xmlns="http://schemas.microsoft.com/office/spreadsheetml/2009/9/main" objectType="Drop" dropStyle="combo" dx="26" fmlaLink="$D$8" fmlaRange="Units!$B$3:$C$8" noThreeD="1" sel="3" val="0"/>
</file>

<file path=xl/ctrlProps/ctrlProp25.xml><?xml version="1.0" encoding="utf-8"?>
<formControlPr xmlns="http://schemas.microsoft.com/office/spreadsheetml/2009/9/main" objectType="Drop" dropStyle="combo" dx="26" fmlaLink="$D$12" fmlaRange="Units!$B$19:$C$23" noThreeD="1" sel="1" val="0"/>
</file>

<file path=xl/ctrlProps/ctrlProp26.xml><?xml version="1.0" encoding="utf-8"?>
<formControlPr xmlns="http://schemas.microsoft.com/office/spreadsheetml/2009/9/main" objectType="Drop" dropStyle="combo" dx="26" fmlaLink="$D$13" fmlaRange="Units!$B$19:$C$23" noThreeD="1" sel="1" val="0"/>
</file>

<file path=xl/ctrlProps/ctrlProp27.xml><?xml version="1.0" encoding="utf-8"?>
<formControlPr xmlns="http://schemas.microsoft.com/office/spreadsheetml/2009/9/main" objectType="Drop" dropStyle="combo" dx="26" fmlaLink="$D$22" fmlaRange="Units!$B$26:$C$30" noThreeD="1" sel="3" val="0"/>
</file>

<file path=xl/ctrlProps/ctrlProp28.xml><?xml version="1.0" encoding="utf-8"?>
<formControlPr xmlns="http://schemas.microsoft.com/office/spreadsheetml/2009/9/main" objectType="Drop" dropStyle="combo" dx="26" fmlaLink="$D$9" fmlaRange="Units!$B$40:$C$46" noThreeD="1" sel="3" val="0"/>
</file>

<file path=xl/ctrlProps/ctrlProp29.xml><?xml version="1.0" encoding="utf-8"?>
<formControlPr xmlns="http://schemas.microsoft.com/office/spreadsheetml/2009/9/main" objectType="Drop" dropStyle="combo" dx="26" fmlaLink="$D$21" fmlaRange="Units!$B$26:$C$30" noThreeD="1" sel="3" val="0"/>
</file>

<file path=xl/ctrlProps/ctrlProp3.xml><?xml version="1.0" encoding="utf-8"?>
<formControlPr xmlns="http://schemas.microsoft.com/office/spreadsheetml/2009/9/main" objectType="Drop" dropStyle="combo" dx="26" fmlaLink="$D$12" fmlaRange="Units!$B$19:$C$23" noThreeD="1" sel="1" val="0"/>
</file>

<file path=xl/ctrlProps/ctrlProp30.xml><?xml version="1.0" encoding="utf-8"?>
<formControlPr xmlns="http://schemas.microsoft.com/office/spreadsheetml/2009/9/main" objectType="Drop" dropStyle="combo" dx="26" fmlaLink="$D$10" fmlaRange="Units!$B$26:$C$30" noThreeD="1" sel="3" val="0"/>
</file>

<file path=xl/ctrlProps/ctrlProp31.xml><?xml version="1.0" encoding="utf-8"?>
<formControlPr xmlns="http://schemas.microsoft.com/office/spreadsheetml/2009/9/main" objectType="Drop" dropStyle="combo" dx="26" fmlaLink="$D$14" fmlaRange="Units!$B$19:$C$23" noThreeD="1" sel="1" val="0"/>
</file>

<file path=xl/ctrlProps/ctrlProp32.xml><?xml version="1.0" encoding="utf-8"?>
<formControlPr xmlns="http://schemas.microsoft.com/office/spreadsheetml/2009/9/main" objectType="Drop" dropStyle="combo" dx="26" fmlaLink="$D$15" fmlaRange="Units!$B$34:$C$36" noThreeD="1" sel="3" val="0"/>
</file>

<file path=xl/ctrlProps/ctrlProp33.xml><?xml version="1.0" encoding="utf-8"?>
<formControlPr xmlns="http://schemas.microsoft.com/office/spreadsheetml/2009/9/main" objectType="Drop" dropStyle="combo" dx="26" fmlaLink="$D$16" fmlaRange="Units!$B$34:$C$36" noThreeD="1" sel="3" val="0"/>
</file>

<file path=xl/ctrlProps/ctrlProp34.xml><?xml version="1.0" encoding="utf-8"?>
<formControlPr xmlns="http://schemas.microsoft.com/office/spreadsheetml/2009/9/main" objectType="Drop" dropStyle="combo" dx="26" fmlaLink="$D$17" fmlaRange="Units!$B$19:$C$23" noThreeD="1" sel="1" val="0"/>
</file>

<file path=xl/ctrlProps/ctrlProp35.xml><?xml version="1.0" encoding="utf-8"?>
<formControlPr xmlns="http://schemas.microsoft.com/office/spreadsheetml/2009/9/main" objectType="Drop" dropStyle="combo" dx="26" fmlaLink="$D$18" fmlaRange="Units!$B$19:$C$23" noThreeD="1" sel="1" val="0"/>
</file>

<file path=xl/ctrlProps/ctrlProp36.xml><?xml version="1.0" encoding="utf-8"?>
<formControlPr xmlns="http://schemas.microsoft.com/office/spreadsheetml/2009/9/main" objectType="Drop" dropStyle="combo" dx="26" fmlaLink="$D$19" fmlaRange="Units!$B$19:$C$23" noThreeD="1" sel="1" val="0"/>
</file>

<file path=xl/ctrlProps/ctrlProp37.xml><?xml version="1.0" encoding="utf-8"?>
<formControlPr xmlns="http://schemas.microsoft.com/office/spreadsheetml/2009/9/main" objectType="Drop" dropStyle="combo" dx="26" fmlaLink="$D$30" fmlaRange="Units!$B$26:$C$30" noThreeD="1" sel="3" val="0"/>
</file>

<file path=xl/ctrlProps/ctrlProp38.xml><?xml version="1.0" encoding="utf-8"?>
<formControlPr xmlns="http://schemas.microsoft.com/office/spreadsheetml/2009/9/main" objectType="Drop" dropStyle="combo" dx="26" fmlaLink="$D$31" fmlaRange="Units!$B$26:$C$30" noThreeD="1" sel="3" val="0"/>
</file>

<file path=xl/ctrlProps/ctrlProp39.xml><?xml version="1.0" encoding="utf-8"?>
<formControlPr xmlns="http://schemas.microsoft.com/office/spreadsheetml/2009/9/main" objectType="Drop" dropStyle="combo" dx="26" fmlaLink="$D$23" fmlaRange="Units!$B$26:$C$30" noThreeD="1" sel="3" val="0"/>
</file>

<file path=xl/ctrlProps/ctrlProp4.xml><?xml version="1.0" encoding="utf-8"?>
<formControlPr xmlns="http://schemas.microsoft.com/office/spreadsheetml/2009/9/main" objectType="Drop" dropStyle="combo" dx="26" fmlaLink="$D$13" fmlaRange="Units!$B$19:$C$23" noThreeD="1" sel="1" val="0"/>
</file>

<file path=xl/ctrlProps/ctrlProp40.xml><?xml version="1.0" encoding="utf-8"?>
<formControlPr xmlns="http://schemas.microsoft.com/office/spreadsheetml/2009/9/main" objectType="Drop" dropStyle="combo" dx="26" fmlaLink="$D$24" fmlaRange="Units!$B$26:$C$30" noThreeD="1" sel="3" val="0"/>
</file>

<file path=xl/ctrlProps/ctrlProp41.xml><?xml version="1.0" encoding="utf-8"?>
<formControlPr xmlns="http://schemas.microsoft.com/office/spreadsheetml/2009/9/main" objectType="Drop" dropStyle="combo" dx="26" fmlaLink="$D$25" fmlaRange="Units!$B$26:$C$30" noThreeD="1" sel="3" val="0"/>
</file>

<file path=xl/ctrlProps/ctrlProp42.xml><?xml version="1.0" encoding="utf-8"?>
<formControlPr xmlns="http://schemas.microsoft.com/office/spreadsheetml/2009/9/main" objectType="Drop" dropStyle="combo" dx="26" fmlaLink="$D$26" fmlaRange="Units!$B$26:$C$30" noThreeD="1" sel="3" val="0"/>
</file>

<file path=xl/ctrlProps/ctrlProp43.xml><?xml version="1.0" encoding="utf-8"?>
<formControlPr xmlns="http://schemas.microsoft.com/office/spreadsheetml/2009/9/main" objectType="Drop" dropStyle="combo" dx="26" fmlaLink="$D$27" fmlaRange="Units!$B$26:$C$30" noThreeD="1" sel="3" val="0"/>
</file>

<file path=xl/ctrlProps/ctrlProp44.xml><?xml version="1.0" encoding="utf-8"?>
<formControlPr xmlns="http://schemas.microsoft.com/office/spreadsheetml/2009/9/main" objectType="Drop" dropStyle="combo" dx="26" fmlaLink="$D$28" fmlaRange="Units!$B$26:$C$30" noThreeD="1" sel="3" val="0"/>
</file>

<file path=xl/ctrlProps/ctrlProp45.xml><?xml version="1.0" encoding="utf-8"?>
<formControlPr xmlns="http://schemas.microsoft.com/office/spreadsheetml/2009/9/main" objectType="Drop" dropLines="12" dropStyle="combo" dx="26" fmlaLink="$D$4" fmlaRange="factors!$D$4:$E$11" noThreeD="1" sel="2" val="0"/>
</file>

<file path=xl/ctrlProps/ctrlProp46.xml><?xml version="1.0" encoding="utf-8"?>
<formControlPr xmlns="http://schemas.microsoft.com/office/spreadsheetml/2009/9/main" objectType="Drop" dropStyle="combo" dx="26" fmlaLink="$D$8" fmlaRange="Units!$B$3:$C$8" noThreeD="1" sel="3" val="0"/>
</file>

<file path=xl/ctrlProps/ctrlProp47.xml><?xml version="1.0" encoding="utf-8"?>
<formControlPr xmlns="http://schemas.microsoft.com/office/spreadsheetml/2009/9/main" objectType="Drop" dropStyle="combo" dx="26" fmlaLink="$D$12" fmlaRange="Units!$B$19:$C$23" noThreeD="1" sel="1" val="0"/>
</file>

<file path=xl/ctrlProps/ctrlProp48.xml><?xml version="1.0" encoding="utf-8"?>
<formControlPr xmlns="http://schemas.microsoft.com/office/spreadsheetml/2009/9/main" objectType="Drop" dropStyle="combo" dx="26" fmlaLink="$D$13" fmlaRange="Units!$B$19:$C$23" noThreeD="1" sel="1" val="0"/>
</file>

<file path=xl/ctrlProps/ctrlProp49.xml><?xml version="1.0" encoding="utf-8"?>
<formControlPr xmlns="http://schemas.microsoft.com/office/spreadsheetml/2009/9/main" objectType="Drop" dropStyle="combo" dx="26" fmlaLink="$D$22" fmlaRange="Units!$B$26:$C$30" noThreeD="1" sel="3" val="0"/>
</file>

<file path=xl/ctrlProps/ctrlProp5.xml><?xml version="1.0" encoding="utf-8"?>
<formControlPr xmlns="http://schemas.microsoft.com/office/spreadsheetml/2009/9/main" objectType="Drop" dropStyle="combo" dx="26" fmlaLink="$D$22" fmlaRange="Units!$B$26:$C$30" noThreeD="1" sel="3" val="0"/>
</file>

<file path=xl/ctrlProps/ctrlProp50.xml><?xml version="1.0" encoding="utf-8"?>
<formControlPr xmlns="http://schemas.microsoft.com/office/spreadsheetml/2009/9/main" objectType="Drop" dropStyle="combo" dx="26" fmlaLink="$D$9" fmlaRange="Units!$B$40:$C$46" noThreeD="1" sel="3" val="0"/>
</file>

<file path=xl/ctrlProps/ctrlProp51.xml><?xml version="1.0" encoding="utf-8"?>
<formControlPr xmlns="http://schemas.microsoft.com/office/spreadsheetml/2009/9/main" objectType="Drop" dropStyle="combo" dx="26" fmlaLink="$D$21" fmlaRange="Units!$B$26:$C$30" noThreeD="1" sel="3" val="0"/>
</file>

<file path=xl/ctrlProps/ctrlProp52.xml><?xml version="1.0" encoding="utf-8"?>
<formControlPr xmlns="http://schemas.microsoft.com/office/spreadsheetml/2009/9/main" objectType="Drop" dropStyle="combo" dx="26" fmlaLink="$D$10" fmlaRange="Units!$B$26:$C$30" noThreeD="1" sel="3" val="0"/>
</file>

<file path=xl/ctrlProps/ctrlProp53.xml><?xml version="1.0" encoding="utf-8"?>
<formControlPr xmlns="http://schemas.microsoft.com/office/spreadsheetml/2009/9/main" objectType="Drop" dropStyle="combo" dx="26" fmlaLink="$D$14" fmlaRange="Units!$B$19:$C$23" noThreeD="1" sel="1" val="0"/>
</file>

<file path=xl/ctrlProps/ctrlProp54.xml><?xml version="1.0" encoding="utf-8"?>
<formControlPr xmlns="http://schemas.microsoft.com/office/spreadsheetml/2009/9/main" objectType="Drop" dropStyle="combo" dx="26" fmlaLink="$D$15" fmlaRange="Units!$B$34:$C$36" noThreeD="1" sel="3" val="0"/>
</file>

<file path=xl/ctrlProps/ctrlProp55.xml><?xml version="1.0" encoding="utf-8"?>
<formControlPr xmlns="http://schemas.microsoft.com/office/spreadsheetml/2009/9/main" objectType="Drop" dropStyle="combo" dx="26" fmlaLink="$D$16" fmlaRange="Units!$B$34:$C$36" noThreeD="1" sel="3" val="0"/>
</file>

<file path=xl/ctrlProps/ctrlProp56.xml><?xml version="1.0" encoding="utf-8"?>
<formControlPr xmlns="http://schemas.microsoft.com/office/spreadsheetml/2009/9/main" objectType="Drop" dropStyle="combo" dx="26" fmlaLink="$D$17" fmlaRange="Units!$B$19:$C$23" noThreeD="1" sel="1" val="0"/>
</file>

<file path=xl/ctrlProps/ctrlProp57.xml><?xml version="1.0" encoding="utf-8"?>
<formControlPr xmlns="http://schemas.microsoft.com/office/spreadsheetml/2009/9/main" objectType="Drop" dropStyle="combo" dx="26" fmlaLink="$D$18" fmlaRange="Units!$B$19:$C$23" noThreeD="1" sel="1" val="0"/>
</file>

<file path=xl/ctrlProps/ctrlProp58.xml><?xml version="1.0" encoding="utf-8"?>
<formControlPr xmlns="http://schemas.microsoft.com/office/spreadsheetml/2009/9/main" objectType="Drop" dropStyle="combo" dx="26" fmlaLink="$D$19" fmlaRange="Units!$B$19:$C$23" noThreeD="1" sel="1" val="0"/>
</file>

<file path=xl/ctrlProps/ctrlProp59.xml><?xml version="1.0" encoding="utf-8"?>
<formControlPr xmlns="http://schemas.microsoft.com/office/spreadsheetml/2009/9/main" objectType="Drop" dropStyle="combo" dx="26" fmlaLink="$D$30" fmlaRange="Units!$B$26:$C$30" noThreeD="1" sel="3" val="0"/>
</file>

<file path=xl/ctrlProps/ctrlProp6.xml><?xml version="1.0" encoding="utf-8"?>
<formControlPr xmlns="http://schemas.microsoft.com/office/spreadsheetml/2009/9/main" objectType="Drop" dropStyle="combo" dx="26" fmlaLink="$D$9" fmlaRange="Units!$B$40:$C$46" noThreeD="1" sel="3" val="0"/>
</file>

<file path=xl/ctrlProps/ctrlProp60.xml><?xml version="1.0" encoding="utf-8"?>
<formControlPr xmlns="http://schemas.microsoft.com/office/spreadsheetml/2009/9/main" objectType="Drop" dropStyle="combo" dx="26" fmlaLink="$D$31" fmlaRange="Units!$B$26:$C$30" noThreeD="1" sel="3" val="0"/>
</file>

<file path=xl/ctrlProps/ctrlProp61.xml><?xml version="1.0" encoding="utf-8"?>
<formControlPr xmlns="http://schemas.microsoft.com/office/spreadsheetml/2009/9/main" objectType="Drop" dropStyle="combo" dx="26" fmlaLink="$D$23" fmlaRange="Units!$B$26:$C$30" noThreeD="1" sel="3" val="0"/>
</file>

<file path=xl/ctrlProps/ctrlProp62.xml><?xml version="1.0" encoding="utf-8"?>
<formControlPr xmlns="http://schemas.microsoft.com/office/spreadsheetml/2009/9/main" objectType="Drop" dropStyle="combo" dx="26" fmlaLink="$D$24" fmlaRange="Units!$B$26:$C$30" noThreeD="1" sel="3" val="0"/>
</file>

<file path=xl/ctrlProps/ctrlProp63.xml><?xml version="1.0" encoding="utf-8"?>
<formControlPr xmlns="http://schemas.microsoft.com/office/spreadsheetml/2009/9/main" objectType="Drop" dropStyle="combo" dx="26" fmlaLink="$D$25" fmlaRange="Units!$B$26:$C$30" noThreeD="1" sel="3" val="0"/>
</file>

<file path=xl/ctrlProps/ctrlProp64.xml><?xml version="1.0" encoding="utf-8"?>
<formControlPr xmlns="http://schemas.microsoft.com/office/spreadsheetml/2009/9/main" objectType="Drop" dropStyle="combo" dx="26" fmlaLink="$D$26" fmlaRange="Units!$B$26:$C$30" noThreeD="1" sel="3" val="0"/>
</file>

<file path=xl/ctrlProps/ctrlProp65.xml><?xml version="1.0" encoding="utf-8"?>
<formControlPr xmlns="http://schemas.microsoft.com/office/spreadsheetml/2009/9/main" objectType="Drop" dropStyle="combo" dx="26" fmlaLink="$D$27" fmlaRange="Units!$B$26:$C$30" noThreeD="1" sel="3" val="0"/>
</file>

<file path=xl/ctrlProps/ctrlProp66.xml><?xml version="1.0" encoding="utf-8"?>
<formControlPr xmlns="http://schemas.microsoft.com/office/spreadsheetml/2009/9/main" objectType="Drop" dropStyle="combo" dx="26" fmlaLink="$D$28" fmlaRange="Units!$B$26:$C$30" noThreeD="1" sel="3" val="0"/>
</file>

<file path=xl/ctrlProps/ctrlProp67.xml><?xml version="1.0" encoding="utf-8"?>
<formControlPr xmlns="http://schemas.microsoft.com/office/spreadsheetml/2009/9/main" objectType="Drop" dropLines="12" dropStyle="combo" dx="26" fmlaLink="$D$4" fmlaRange="factors!$D$4:$E$11" noThreeD="1" sel="8" val="0"/>
</file>

<file path=xl/ctrlProps/ctrlProp68.xml><?xml version="1.0" encoding="utf-8"?>
<formControlPr xmlns="http://schemas.microsoft.com/office/spreadsheetml/2009/9/main" objectType="Drop" dropStyle="combo" dx="26" fmlaLink="$D$8" fmlaRange="Units!$B$3:$C$8" noThreeD="1" sel="3" val="0"/>
</file>

<file path=xl/ctrlProps/ctrlProp69.xml><?xml version="1.0" encoding="utf-8"?>
<formControlPr xmlns="http://schemas.microsoft.com/office/spreadsheetml/2009/9/main" objectType="Drop" dropStyle="combo" dx="26" fmlaLink="$D$12" fmlaRange="Units!$B$19:$C$23" noThreeD="1" sel="1" val="0"/>
</file>

<file path=xl/ctrlProps/ctrlProp7.xml><?xml version="1.0" encoding="utf-8"?>
<formControlPr xmlns="http://schemas.microsoft.com/office/spreadsheetml/2009/9/main" objectType="Drop" dropStyle="combo" dx="26" fmlaLink="$D$21" fmlaRange="Units!$B$26:$C$30" noThreeD="1" sel="3" val="0"/>
</file>

<file path=xl/ctrlProps/ctrlProp70.xml><?xml version="1.0" encoding="utf-8"?>
<formControlPr xmlns="http://schemas.microsoft.com/office/spreadsheetml/2009/9/main" objectType="Drop" dropStyle="combo" dx="26" fmlaLink="$D$13" fmlaRange="Units!$B$19:$C$23" noThreeD="1" sel="1" val="0"/>
</file>

<file path=xl/ctrlProps/ctrlProp71.xml><?xml version="1.0" encoding="utf-8"?>
<formControlPr xmlns="http://schemas.microsoft.com/office/spreadsheetml/2009/9/main" objectType="Drop" dropStyle="combo" dx="26" fmlaLink="$D$22" fmlaRange="Units!$B$26:$C$30" noThreeD="1" sel="3" val="0"/>
</file>

<file path=xl/ctrlProps/ctrlProp72.xml><?xml version="1.0" encoding="utf-8"?>
<formControlPr xmlns="http://schemas.microsoft.com/office/spreadsheetml/2009/9/main" objectType="Drop" dropStyle="combo" dx="26" fmlaLink="$D$9" fmlaRange="Units!$B$40:$C$46" noThreeD="1" sel="3" val="0"/>
</file>

<file path=xl/ctrlProps/ctrlProp73.xml><?xml version="1.0" encoding="utf-8"?>
<formControlPr xmlns="http://schemas.microsoft.com/office/spreadsheetml/2009/9/main" objectType="Drop" dropStyle="combo" dx="26" fmlaLink="$D$21" fmlaRange="Units!$B$26:$C$30" noThreeD="1" sel="3" val="0"/>
</file>

<file path=xl/ctrlProps/ctrlProp74.xml><?xml version="1.0" encoding="utf-8"?>
<formControlPr xmlns="http://schemas.microsoft.com/office/spreadsheetml/2009/9/main" objectType="Drop" dropStyle="combo" dx="26" fmlaLink="$D$10" fmlaRange="Units!$B$26:$C$30" noThreeD="1" sel="3" val="0"/>
</file>

<file path=xl/ctrlProps/ctrlProp75.xml><?xml version="1.0" encoding="utf-8"?>
<formControlPr xmlns="http://schemas.microsoft.com/office/spreadsheetml/2009/9/main" objectType="Drop" dropStyle="combo" dx="26" fmlaLink="$D$14" fmlaRange="Units!$B$19:$C$23" noThreeD="1" sel="1" val="0"/>
</file>

<file path=xl/ctrlProps/ctrlProp76.xml><?xml version="1.0" encoding="utf-8"?>
<formControlPr xmlns="http://schemas.microsoft.com/office/spreadsheetml/2009/9/main" objectType="Drop" dropStyle="combo" dx="26" fmlaLink="$D$15" fmlaRange="Units!$B$34:$C$36" noThreeD="1" sel="3" val="0"/>
</file>

<file path=xl/ctrlProps/ctrlProp77.xml><?xml version="1.0" encoding="utf-8"?>
<formControlPr xmlns="http://schemas.microsoft.com/office/spreadsheetml/2009/9/main" objectType="Drop" dropStyle="combo" dx="26" fmlaLink="$D$16" fmlaRange="Units!$B$34:$C$36" noThreeD="1" sel="3" val="0"/>
</file>

<file path=xl/ctrlProps/ctrlProp78.xml><?xml version="1.0" encoding="utf-8"?>
<formControlPr xmlns="http://schemas.microsoft.com/office/spreadsheetml/2009/9/main" objectType="Drop" dropStyle="combo" dx="26" fmlaLink="$D$17" fmlaRange="Units!$B$19:$C$23" noThreeD="1" sel="1" val="0"/>
</file>

<file path=xl/ctrlProps/ctrlProp79.xml><?xml version="1.0" encoding="utf-8"?>
<formControlPr xmlns="http://schemas.microsoft.com/office/spreadsheetml/2009/9/main" objectType="Drop" dropStyle="combo" dx="26" fmlaLink="$D$18" fmlaRange="Units!$B$19:$C$23" noThreeD="1" sel="1" val="0"/>
</file>

<file path=xl/ctrlProps/ctrlProp8.xml><?xml version="1.0" encoding="utf-8"?>
<formControlPr xmlns="http://schemas.microsoft.com/office/spreadsheetml/2009/9/main" objectType="Drop" dropStyle="combo" dx="26" fmlaLink="$D$10" fmlaRange="Units!$B$26:$C$30" noThreeD="1" sel="3" val="0"/>
</file>

<file path=xl/ctrlProps/ctrlProp80.xml><?xml version="1.0" encoding="utf-8"?>
<formControlPr xmlns="http://schemas.microsoft.com/office/spreadsheetml/2009/9/main" objectType="Drop" dropStyle="combo" dx="26" fmlaLink="$D$19" fmlaRange="Units!$B$19:$C$23" noThreeD="1" sel="1" val="0"/>
</file>

<file path=xl/ctrlProps/ctrlProp81.xml><?xml version="1.0" encoding="utf-8"?>
<formControlPr xmlns="http://schemas.microsoft.com/office/spreadsheetml/2009/9/main" objectType="Drop" dropStyle="combo" dx="26" fmlaLink="$D$30" fmlaRange="Units!$B$26:$C$30" noThreeD="1" sel="3" val="0"/>
</file>

<file path=xl/ctrlProps/ctrlProp82.xml><?xml version="1.0" encoding="utf-8"?>
<formControlPr xmlns="http://schemas.microsoft.com/office/spreadsheetml/2009/9/main" objectType="Drop" dropStyle="combo" dx="26" fmlaLink="$D$31" fmlaRange="Units!$B$26:$C$30" noThreeD="1" sel="3" val="0"/>
</file>

<file path=xl/ctrlProps/ctrlProp83.xml><?xml version="1.0" encoding="utf-8"?>
<formControlPr xmlns="http://schemas.microsoft.com/office/spreadsheetml/2009/9/main" objectType="Drop" dropStyle="combo" dx="26" fmlaLink="$D$23" fmlaRange="Units!$B$26:$C$30" noThreeD="1" sel="3" val="0"/>
</file>

<file path=xl/ctrlProps/ctrlProp84.xml><?xml version="1.0" encoding="utf-8"?>
<formControlPr xmlns="http://schemas.microsoft.com/office/spreadsheetml/2009/9/main" objectType="Drop" dropStyle="combo" dx="26" fmlaLink="$D$24" fmlaRange="Units!$B$26:$C$30" noThreeD="1" sel="3" val="0"/>
</file>

<file path=xl/ctrlProps/ctrlProp85.xml><?xml version="1.0" encoding="utf-8"?>
<formControlPr xmlns="http://schemas.microsoft.com/office/spreadsheetml/2009/9/main" objectType="Drop" dropStyle="combo" dx="26" fmlaLink="$D$25" fmlaRange="Units!$B$26:$C$30" noThreeD="1" sel="3" val="0"/>
</file>

<file path=xl/ctrlProps/ctrlProp86.xml><?xml version="1.0" encoding="utf-8"?>
<formControlPr xmlns="http://schemas.microsoft.com/office/spreadsheetml/2009/9/main" objectType="Drop" dropStyle="combo" dx="26" fmlaLink="$D$26" fmlaRange="Units!$B$26:$C$30" noThreeD="1" sel="3" val="0"/>
</file>

<file path=xl/ctrlProps/ctrlProp87.xml><?xml version="1.0" encoding="utf-8"?>
<formControlPr xmlns="http://schemas.microsoft.com/office/spreadsheetml/2009/9/main" objectType="Drop" dropStyle="combo" dx="26" fmlaLink="$D$27" fmlaRange="Units!$B$26:$C$30" noThreeD="1" sel="3" val="0"/>
</file>

<file path=xl/ctrlProps/ctrlProp88.xml><?xml version="1.0" encoding="utf-8"?>
<formControlPr xmlns="http://schemas.microsoft.com/office/spreadsheetml/2009/9/main" objectType="Drop" dropStyle="combo" dx="26" fmlaLink="$D$28" fmlaRange="Units!$B$26:$C$30" noThreeD="1" sel="3" val="0"/>
</file>

<file path=xl/ctrlProps/ctrlProp89.xml><?xml version="1.0" encoding="utf-8"?>
<formControlPr xmlns="http://schemas.microsoft.com/office/spreadsheetml/2009/9/main" objectType="Drop" dropLines="12" dropStyle="combo" dx="26" fmlaLink="$C$11" fmlaRange="Units!$G$3:$G$32" noThreeD="1" sel="15" val="6"/>
</file>

<file path=xl/ctrlProps/ctrlProp9.xml><?xml version="1.0" encoding="utf-8"?>
<formControlPr xmlns="http://schemas.microsoft.com/office/spreadsheetml/2009/9/main" objectType="Drop" dropStyle="combo" dx="26" fmlaLink="$D$14" fmlaRange="Units!$B$19:$C$23" noThreeD="1" sel="1" val="0"/>
</file>

<file path=xl/ctrlProps/ctrlProp90.xml><?xml version="1.0" encoding="utf-8"?>
<formControlPr xmlns="http://schemas.microsoft.com/office/spreadsheetml/2009/9/main" objectType="Drop" dropLines="12" dropStyle="combo" dx="26" fmlaLink="$B$5" fmlaRange="Wrkb!$B$3:$B$7" noThreeD="1" sel="2" val="0"/>
</file>

<file path=xl/ctrlProps/ctrlProp91.xml><?xml version="1.0" encoding="utf-8"?>
<formControlPr xmlns="http://schemas.microsoft.com/office/spreadsheetml/2009/9/main" objectType="Drop" dropLines="12" dropStyle="combo" dx="26" fmlaLink="$B$7" fmlaRange="Wrkb!$B$3:$B$12" noThreeD="1" sel="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3</xdr:row>
          <xdr:rowOff>0</xdr:rowOff>
        </xdr:from>
        <xdr:to>
          <xdr:col>4</xdr:col>
          <xdr:colOff>0</xdr:colOff>
          <xdr:row>4</xdr:row>
          <xdr:rowOff>0</xdr:rowOff>
        </xdr:to>
        <xdr:sp macro="" textlink="">
          <xdr:nvSpPr>
            <xdr:cNvPr id="1025" name="Drop Down 1" hidden="1">
              <a:extLst>
                <a:ext uri="{63B3BB69-23CF-44E3-9099-C40C66FF867C}">
                  <a14:compatExt spid="_x0000_s1025"/>
                </a:ext>
                <a:ext uri="{FF2B5EF4-FFF2-40B4-BE49-F238E27FC236}">
                  <a16:creationId xmlns:a16="http://schemas.microsoft.com/office/drawing/2014/main" id="{FE605965-E7A3-FD9D-4143-260943557EEA}"/>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7</xdr:row>
          <xdr:rowOff>0</xdr:rowOff>
        </xdr:from>
        <xdr:to>
          <xdr:col>4</xdr:col>
          <xdr:colOff>0</xdr:colOff>
          <xdr:row>8</xdr:row>
          <xdr:rowOff>0</xdr:rowOff>
        </xdr:to>
        <xdr:sp macro="" textlink="">
          <xdr:nvSpPr>
            <xdr:cNvPr id="1026" name="Drop Down 2" hidden="1">
              <a:extLst>
                <a:ext uri="{63B3BB69-23CF-44E3-9099-C40C66FF867C}">
                  <a14:compatExt spid="_x0000_s1026"/>
                </a:ext>
                <a:ext uri="{FF2B5EF4-FFF2-40B4-BE49-F238E27FC236}">
                  <a16:creationId xmlns:a16="http://schemas.microsoft.com/office/drawing/2014/main" id="{7A02818E-F0F9-5487-F315-BABE24FA03FD}"/>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11</xdr:row>
          <xdr:rowOff>0</xdr:rowOff>
        </xdr:from>
        <xdr:to>
          <xdr:col>4</xdr:col>
          <xdr:colOff>0</xdr:colOff>
          <xdr:row>12</xdr:row>
          <xdr:rowOff>0</xdr:rowOff>
        </xdr:to>
        <xdr:sp macro="" textlink="">
          <xdr:nvSpPr>
            <xdr:cNvPr id="1028" name="Drop Down 4" hidden="1">
              <a:extLst>
                <a:ext uri="{63B3BB69-23CF-44E3-9099-C40C66FF867C}">
                  <a14:compatExt spid="_x0000_s1028"/>
                </a:ext>
                <a:ext uri="{FF2B5EF4-FFF2-40B4-BE49-F238E27FC236}">
                  <a16:creationId xmlns:a16="http://schemas.microsoft.com/office/drawing/2014/main" id="{A4F30816-2FFB-5B28-178B-7EA99FCB59D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12</xdr:row>
          <xdr:rowOff>0</xdr:rowOff>
        </xdr:from>
        <xdr:to>
          <xdr:col>4</xdr:col>
          <xdr:colOff>0</xdr:colOff>
          <xdr:row>13</xdr:row>
          <xdr:rowOff>0</xdr:rowOff>
        </xdr:to>
        <xdr:sp macro="" textlink="">
          <xdr:nvSpPr>
            <xdr:cNvPr id="1029" name="Drop Down 5" hidden="1">
              <a:extLst>
                <a:ext uri="{63B3BB69-23CF-44E3-9099-C40C66FF867C}">
                  <a14:compatExt spid="_x0000_s1029"/>
                </a:ext>
                <a:ext uri="{FF2B5EF4-FFF2-40B4-BE49-F238E27FC236}">
                  <a16:creationId xmlns:a16="http://schemas.microsoft.com/office/drawing/2014/main" id="{1935098A-31D4-1BD3-7287-67A9842E5E9D}"/>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21</xdr:row>
          <xdr:rowOff>0</xdr:rowOff>
        </xdr:from>
        <xdr:to>
          <xdr:col>4</xdr:col>
          <xdr:colOff>0</xdr:colOff>
          <xdr:row>22</xdr:row>
          <xdr:rowOff>0</xdr:rowOff>
        </xdr:to>
        <xdr:sp macro="" textlink="">
          <xdr:nvSpPr>
            <xdr:cNvPr id="1030" name="Drop Down 6" hidden="1">
              <a:extLst>
                <a:ext uri="{63B3BB69-23CF-44E3-9099-C40C66FF867C}">
                  <a14:compatExt spid="_x0000_s1030"/>
                </a:ext>
                <a:ext uri="{FF2B5EF4-FFF2-40B4-BE49-F238E27FC236}">
                  <a16:creationId xmlns:a16="http://schemas.microsoft.com/office/drawing/2014/main" id="{D7BB21C4-C495-F329-515C-17903F23862A}"/>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8</xdr:row>
          <xdr:rowOff>0</xdr:rowOff>
        </xdr:from>
        <xdr:to>
          <xdr:col>4</xdr:col>
          <xdr:colOff>0</xdr:colOff>
          <xdr:row>9</xdr:row>
          <xdr:rowOff>0</xdr:rowOff>
        </xdr:to>
        <xdr:sp macro="" textlink="">
          <xdr:nvSpPr>
            <xdr:cNvPr id="1031" name="Drop Down 7" hidden="1">
              <a:extLst>
                <a:ext uri="{63B3BB69-23CF-44E3-9099-C40C66FF867C}">
                  <a14:compatExt spid="_x0000_s1031"/>
                </a:ext>
                <a:ext uri="{FF2B5EF4-FFF2-40B4-BE49-F238E27FC236}">
                  <a16:creationId xmlns:a16="http://schemas.microsoft.com/office/drawing/2014/main" id="{6B3561B5-8589-1D26-CC91-27566FE8F57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20</xdr:row>
          <xdr:rowOff>0</xdr:rowOff>
        </xdr:from>
        <xdr:to>
          <xdr:col>4</xdr:col>
          <xdr:colOff>0</xdr:colOff>
          <xdr:row>21</xdr:row>
          <xdr:rowOff>0</xdr:rowOff>
        </xdr:to>
        <xdr:sp macro="" textlink="">
          <xdr:nvSpPr>
            <xdr:cNvPr id="1032" name="Drop Down 8" hidden="1">
              <a:extLst>
                <a:ext uri="{63B3BB69-23CF-44E3-9099-C40C66FF867C}">
                  <a14:compatExt spid="_x0000_s1032"/>
                </a:ext>
                <a:ext uri="{FF2B5EF4-FFF2-40B4-BE49-F238E27FC236}">
                  <a16:creationId xmlns:a16="http://schemas.microsoft.com/office/drawing/2014/main" id="{26939A79-CD10-DE4E-5E6B-EF1D0C8D242C}"/>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9</xdr:row>
          <xdr:rowOff>0</xdr:rowOff>
        </xdr:from>
        <xdr:to>
          <xdr:col>4</xdr:col>
          <xdr:colOff>0</xdr:colOff>
          <xdr:row>10</xdr:row>
          <xdr:rowOff>0</xdr:rowOff>
        </xdr:to>
        <xdr:sp macro="" textlink="">
          <xdr:nvSpPr>
            <xdr:cNvPr id="1035" name="Drop Down 11" hidden="1">
              <a:extLst>
                <a:ext uri="{63B3BB69-23CF-44E3-9099-C40C66FF867C}">
                  <a14:compatExt spid="_x0000_s1035"/>
                </a:ext>
                <a:ext uri="{FF2B5EF4-FFF2-40B4-BE49-F238E27FC236}">
                  <a16:creationId xmlns:a16="http://schemas.microsoft.com/office/drawing/2014/main" id="{FDBAD7B1-647B-E11A-8D7A-DD9777EEC66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13</xdr:row>
          <xdr:rowOff>0</xdr:rowOff>
        </xdr:from>
        <xdr:to>
          <xdr:col>4</xdr:col>
          <xdr:colOff>0</xdr:colOff>
          <xdr:row>14</xdr:row>
          <xdr:rowOff>0</xdr:rowOff>
        </xdr:to>
        <xdr:sp macro="" textlink="">
          <xdr:nvSpPr>
            <xdr:cNvPr id="1036" name="Drop Down 12" hidden="1">
              <a:extLst>
                <a:ext uri="{63B3BB69-23CF-44E3-9099-C40C66FF867C}">
                  <a14:compatExt spid="_x0000_s1036"/>
                </a:ext>
                <a:ext uri="{FF2B5EF4-FFF2-40B4-BE49-F238E27FC236}">
                  <a16:creationId xmlns:a16="http://schemas.microsoft.com/office/drawing/2014/main" id="{D67DCCD7-7B79-79AA-98EE-1B8307C6A18F}"/>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14</xdr:row>
          <xdr:rowOff>0</xdr:rowOff>
        </xdr:from>
        <xdr:to>
          <xdr:col>4</xdr:col>
          <xdr:colOff>0</xdr:colOff>
          <xdr:row>15</xdr:row>
          <xdr:rowOff>0</xdr:rowOff>
        </xdr:to>
        <xdr:sp macro="" textlink="">
          <xdr:nvSpPr>
            <xdr:cNvPr id="1037" name="Drop Down 13" hidden="1">
              <a:extLst>
                <a:ext uri="{63B3BB69-23CF-44E3-9099-C40C66FF867C}">
                  <a14:compatExt spid="_x0000_s1037"/>
                </a:ext>
                <a:ext uri="{FF2B5EF4-FFF2-40B4-BE49-F238E27FC236}">
                  <a16:creationId xmlns:a16="http://schemas.microsoft.com/office/drawing/2014/main" id="{CE7560B7-CBF4-85DE-5845-A98BA19D28D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15</xdr:row>
          <xdr:rowOff>0</xdr:rowOff>
        </xdr:from>
        <xdr:to>
          <xdr:col>4</xdr:col>
          <xdr:colOff>0</xdr:colOff>
          <xdr:row>16</xdr:row>
          <xdr:rowOff>0</xdr:rowOff>
        </xdr:to>
        <xdr:sp macro="" textlink="">
          <xdr:nvSpPr>
            <xdr:cNvPr id="1038" name="Drop Down 14" hidden="1">
              <a:extLst>
                <a:ext uri="{63B3BB69-23CF-44E3-9099-C40C66FF867C}">
                  <a14:compatExt spid="_x0000_s1038"/>
                </a:ext>
                <a:ext uri="{FF2B5EF4-FFF2-40B4-BE49-F238E27FC236}">
                  <a16:creationId xmlns:a16="http://schemas.microsoft.com/office/drawing/2014/main" id="{95C8A261-A463-8DAC-F57C-3E477853674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16</xdr:row>
          <xdr:rowOff>0</xdr:rowOff>
        </xdr:from>
        <xdr:to>
          <xdr:col>4</xdr:col>
          <xdr:colOff>0</xdr:colOff>
          <xdr:row>17</xdr:row>
          <xdr:rowOff>0</xdr:rowOff>
        </xdr:to>
        <xdr:sp macro="" textlink="">
          <xdr:nvSpPr>
            <xdr:cNvPr id="1042" name="Drop Down 18" hidden="1">
              <a:extLst>
                <a:ext uri="{63B3BB69-23CF-44E3-9099-C40C66FF867C}">
                  <a14:compatExt spid="_x0000_s1042"/>
                </a:ext>
                <a:ext uri="{FF2B5EF4-FFF2-40B4-BE49-F238E27FC236}">
                  <a16:creationId xmlns:a16="http://schemas.microsoft.com/office/drawing/2014/main" id="{DCFDD359-A461-44C1-0863-34384BBF89F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17</xdr:row>
          <xdr:rowOff>0</xdr:rowOff>
        </xdr:from>
        <xdr:to>
          <xdr:col>4</xdr:col>
          <xdr:colOff>0</xdr:colOff>
          <xdr:row>18</xdr:row>
          <xdr:rowOff>0</xdr:rowOff>
        </xdr:to>
        <xdr:sp macro="" textlink="">
          <xdr:nvSpPr>
            <xdr:cNvPr id="1043" name="Drop Down 19" hidden="1">
              <a:extLst>
                <a:ext uri="{63B3BB69-23CF-44E3-9099-C40C66FF867C}">
                  <a14:compatExt spid="_x0000_s1043"/>
                </a:ext>
                <a:ext uri="{FF2B5EF4-FFF2-40B4-BE49-F238E27FC236}">
                  <a16:creationId xmlns:a16="http://schemas.microsoft.com/office/drawing/2014/main" id="{6126E4A4-0D8B-48E8-651A-B58DE584D7A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18</xdr:row>
          <xdr:rowOff>0</xdr:rowOff>
        </xdr:from>
        <xdr:to>
          <xdr:col>4</xdr:col>
          <xdr:colOff>0</xdr:colOff>
          <xdr:row>19</xdr:row>
          <xdr:rowOff>0</xdr:rowOff>
        </xdr:to>
        <xdr:sp macro="" textlink="">
          <xdr:nvSpPr>
            <xdr:cNvPr id="1044" name="Drop Down 20" hidden="1">
              <a:extLst>
                <a:ext uri="{63B3BB69-23CF-44E3-9099-C40C66FF867C}">
                  <a14:compatExt spid="_x0000_s1044"/>
                </a:ext>
                <a:ext uri="{FF2B5EF4-FFF2-40B4-BE49-F238E27FC236}">
                  <a16:creationId xmlns:a16="http://schemas.microsoft.com/office/drawing/2014/main" id="{82CA84CE-BE1A-3211-B1A3-92D67CB690F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29</xdr:row>
          <xdr:rowOff>0</xdr:rowOff>
        </xdr:from>
        <xdr:to>
          <xdr:col>4</xdr:col>
          <xdr:colOff>0</xdr:colOff>
          <xdr:row>30</xdr:row>
          <xdr:rowOff>0</xdr:rowOff>
        </xdr:to>
        <xdr:sp macro="" textlink="">
          <xdr:nvSpPr>
            <xdr:cNvPr id="1048" name="Drop Down 24" hidden="1">
              <a:extLst>
                <a:ext uri="{63B3BB69-23CF-44E3-9099-C40C66FF867C}">
                  <a14:compatExt spid="_x0000_s1048"/>
                </a:ext>
                <a:ext uri="{FF2B5EF4-FFF2-40B4-BE49-F238E27FC236}">
                  <a16:creationId xmlns:a16="http://schemas.microsoft.com/office/drawing/2014/main" id="{2DA5EBB4-27E8-14FF-0EFD-D4909F1B9FAB}"/>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30</xdr:row>
          <xdr:rowOff>0</xdr:rowOff>
        </xdr:from>
        <xdr:to>
          <xdr:col>4</xdr:col>
          <xdr:colOff>0</xdr:colOff>
          <xdr:row>31</xdr:row>
          <xdr:rowOff>0</xdr:rowOff>
        </xdr:to>
        <xdr:sp macro="" textlink="">
          <xdr:nvSpPr>
            <xdr:cNvPr id="1050" name="Drop Down 26" hidden="1">
              <a:extLst>
                <a:ext uri="{63B3BB69-23CF-44E3-9099-C40C66FF867C}">
                  <a14:compatExt spid="_x0000_s1050"/>
                </a:ext>
                <a:ext uri="{FF2B5EF4-FFF2-40B4-BE49-F238E27FC236}">
                  <a16:creationId xmlns:a16="http://schemas.microsoft.com/office/drawing/2014/main" id="{E8C6024B-F879-F01A-8E37-640DEBF9EE3A}"/>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22</xdr:row>
          <xdr:rowOff>0</xdr:rowOff>
        </xdr:from>
        <xdr:to>
          <xdr:col>4</xdr:col>
          <xdr:colOff>0</xdr:colOff>
          <xdr:row>23</xdr:row>
          <xdr:rowOff>0</xdr:rowOff>
        </xdr:to>
        <xdr:sp macro="" textlink="">
          <xdr:nvSpPr>
            <xdr:cNvPr id="1053" name="Drop Down 29" hidden="1">
              <a:extLst>
                <a:ext uri="{63B3BB69-23CF-44E3-9099-C40C66FF867C}">
                  <a14:compatExt spid="_x0000_s1053"/>
                </a:ext>
                <a:ext uri="{FF2B5EF4-FFF2-40B4-BE49-F238E27FC236}">
                  <a16:creationId xmlns:a16="http://schemas.microsoft.com/office/drawing/2014/main" id="{66AB5FD0-3E37-FCBB-2F3D-2E06BBBE64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23</xdr:row>
          <xdr:rowOff>0</xdr:rowOff>
        </xdr:from>
        <xdr:to>
          <xdr:col>4</xdr:col>
          <xdr:colOff>0</xdr:colOff>
          <xdr:row>24</xdr:row>
          <xdr:rowOff>0</xdr:rowOff>
        </xdr:to>
        <xdr:sp macro="" textlink="">
          <xdr:nvSpPr>
            <xdr:cNvPr id="1054" name="Drop Down 30" hidden="1">
              <a:extLst>
                <a:ext uri="{63B3BB69-23CF-44E3-9099-C40C66FF867C}">
                  <a14:compatExt spid="_x0000_s1054"/>
                </a:ext>
                <a:ext uri="{FF2B5EF4-FFF2-40B4-BE49-F238E27FC236}">
                  <a16:creationId xmlns:a16="http://schemas.microsoft.com/office/drawing/2014/main" id="{29BB8BCE-8067-476E-1649-B96B769F17B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24</xdr:row>
          <xdr:rowOff>0</xdr:rowOff>
        </xdr:from>
        <xdr:to>
          <xdr:col>4</xdr:col>
          <xdr:colOff>0</xdr:colOff>
          <xdr:row>25</xdr:row>
          <xdr:rowOff>0</xdr:rowOff>
        </xdr:to>
        <xdr:sp macro="" textlink="">
          <xdr:nvSpPr>
            <xdr:cNvPr id="1055" name="Drop Down 31" hidden="1">
              <a:extLst>
                <a:ext uri="{63B3BB69-23CF-44E3-9099-C40C66FF867C}">
                  <a14:compatExt spid="_x0000_s1055"/>
                </a:ext>
                <a:ext uri="{FF2B5EF4-FFF2-40B4-BE49-F238E27FC236}">
                  <a16:creationId xmlns:a16="http://schemas.microsoft.com/office/drawing/2014/main" id="{CCD493B6-7B83-F7F4-E640-7531EA81948D}"/>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25</xdr:row>
          <xdr:rowOff>0</xdr:rowOff>
        </xdr:from>
        <xdr:to>
          <xdr:col>4</xdr:col>
          <xdr:colOff>0</xdr:colOff>
          <xdr:row>26</xdr:row>
          <xdr:rowOff>0</xdr:rowOff>
        </xdr:to>
        <xdr:sp macro="" textlink="">
          <xdr:nvSpPr>
            <xdr:cNvPr id="1056" name="Drop Down 32" hidden="1">
              <a:extLst>
                <a:ext uri="{63B3BB69-23CF-44E3-9099-C40C66FF867C}">
                  <a14:compatExt spid="_x0000_s1056"/>
                </a:ext>
                <a:ext uri="{FF2B5EF4-FFF2-40B4-BE49-F238E27FC236}">
                  <a16:creationId xmlns:a16="http://schemas.microsoft.com/office/drawing/2014/main" id="{83C1719E-38B3-DB15-83B8-9DA75A8E3F4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26</xdr:row>
          <xdr:rowOff>0</xdr:rowOff>
        </xdr:from>
        <xdr:to>
          <xdr:col>4</xdr:col>
          <xdr:colOff>0</xdr:colOff>
          <xdr:row>27</xdr:row>
          <xdr:rowOff>0</xdr:rowOff>
        </xdr:to>
        <xdr:sp macro="" textlink="">
          <xdr:nvSpPr>
            <xdr:cNvPr id="1057" name="Drop Down 33" hidden="1">
              <a:extLst>
                <a:ext uri="{63B3BB69-23CF-44E3-9099-C40C66FF867C}">
                  <a14:compatExt spid="_x0000_s1057"/>
                </a:ext>
                <a:ext uri="{FF2B5EF4-FFF2-40B4-BE49-F238E27FC236}">
                  <a16:creationId xmlns:a16="http://schemas.microsoft.com/office/drawing/2014/main" id="{20D3D179-298C-BEC3-DB2A-3CD7D29CD6D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27</xdr:row>
          <xdr:rowOff>0</xdr:rowOff>
        </xdr:from>
        <xdr:to>
          <xdr:col>4</xdr:col>
          <xdr:colOff>0</xdr:colOff>
          <xdr:row>28</xdr:row>
          <xdr:rowOff>0</xdr:rowOff>
        </xdr:to>
        <xdr:sp macro="" textlink="">
          <xdr:nvSpPr>
            <xdr:cNvPr id="1058" name="Drop Down 34" hidden="1">
              <a:extLst>
                <a:ext uri="{63B3BB69-23CF-44E3-9099-C40C66FF867C}">
                  <a14:compatExt spid="_x0000_s1058"/>
                </a:ext>
                <a:ext uri="{FF2B5EF4-FFF2-40B4-BE49-F238E27FC236}">
                  <a16:creationId xmlns:a16="http://schemas.microsoft.com/office/drawing/2014/main" id="{4D7A1D40-3145-245C-BD5F-F11141297ABD}"/>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5</xdr:col>
      <xdr:colOff>320040</xdr:colOff>
      <xdr:row>17</xdr:row>
      <xdr:rowOff>0</xdr:rowOff>
    </xdr:from>
    <xdr:to>
      <xdr:col>7</xdr:col>
      <xdr:colOff>716280</xdr:colOff>
      <xdr:row>25</xdr:row>
      <xdr:rowOff>121920</xdr:rowOff>
    </xdr:to>
    <xdr:sp macro="" textlink="">
      <xdr:nvSpPr>
        <xdr:cNvPr id="7170" name="Text Box 2">
          <a:extLst>
            <a:ext uri="{FF2B5EF4-FFF2-40B4-BE49-F238E27FC236}">
              <a16:creationId xmlns:a16="http://schemas.microsoft.com/office/drawing/2014/main" id="{A4DC2563-FFD5-7441-4A76-86121D3030FC}"/>
            </a:ext>
          </a:extLst>
        </xdr:cNvPr>
        <xdr:cNvSpPr txBox="1">
          <a:spLocks noChangeArrowheads="1"/>
        </xdr:cNvSpPr>
      </xdr:nvSpPr>
      <xdr:spPr bwMode="auto">
        <a:xfrm>
          <a:off x="4389120" y="2872740"/>
          <a:ext cx="3931920" cy="149352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outerShdw>
        </a:effectLst>
      </xdr:spPr>
      <xdr:txBody>
        <a:bodyPr vertOverflow="clip" wrap="square" lIns="36576" tIns="27432" rIns="36576" bIns="27432" anchor="ctr" upright="1"/>
        <a:lstStyle/>
        <a:p>
          <a:pPr algn="ctr" rtl="0">
            <a:lnSpc>
              <a:spcPts val="1100"/>
            </a:lnSpc>
            <a:defRPr sz="1000"/>
          </a:pPr>
          <a:r>
            <a:rPr lang="en-US" sz="1100" b="1" i="0" u="none" strike="noStrike" baseline="0">
              <a:solidFill>
                <a:srgbClr val="000000"/>
              </a:solidFill>
              <a:latin typeface="Arial"/>
              <a:cs typeface="Arial"/>
            </a:rPr>
            <a:t>This sheet contains data for the automatic KPI calculation. Please do not modify this sheet.</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3</xdr:row>
          <xdr:rowOff>0</xdr:rowOff>
        </xdr:from>
        <xdr:to>
          <xdr:col>4</xdr:col>
          <xdr:colOff>0</xdr:colOff>
          <xdr:row>4</xdr:row>
          <xdr:rowOff>0</xdr:rowOff>
        </xdr:to>
        <xdr:sp macro="" textlink="">
          <xdr:nvSpPr>
            <xdr:cNvPr id="4097" name="Drop Down 1" hidden="1">
              <a:extLst>
                <a:ext uri="{63B3BB69-23CF-44E3-9099-C40C66FF867C}">
                  <a14:compatExt spid="_x0000_s4097"/>
                </a:ext>
                <a:ext uri="{FF2B5EF4-FFF2-40B4-BE49-F238E27FC236}">
                  <a16:creationId xmlns:a16="http://schemas.microsoft.com/office/drawing/2014/main" id="{557E721B-9422-7AAA-77C8-9AD342DEECDE}"/>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7</xdr:row>
          <xdr:rowOff>0</xdr:rowOff>
        </xdr:from>
        <xdr:to>
          <xdr:col>4</xdr:col>
          <xdr:colOff>0</xdr:colOff>
          <xdr:row>8</xdr:row>
          <xdr:rowOff>0</xdr:rowOff>
        </xdr:to>
        <xdr:sp macro="" textlink="">
          <xdr:nvSpPr>
            <xdr:cNvPr id="4098" name="Drop Down 2" hidden="1">
              <a:extLst>
                <a:ext uri="{63B3BB69-23CF-44E3-9099-C40C66FF867C}">
                  <a14:compatExt spid="_x0000_s4098"/>
                </a:ext>
                <a:ext uri="{FF2B5EF4-FFF2-40B4-BE49-F238E27FC236}">
                  <a16:creationId xmlns:a16="http://schemas.microsoft.com/office/drawing/2014/main" id="{B0BC94BC-C642-9A8B-D6DF-22E0A54C6A0C}"/>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11</xdr:row>
          <xdr:rowOff>0</xdr:rowOff>
        </xdr:from>
        <xdr:to>
          <xdr:col>4</xdr:col>
          <xdr:colOff>0</xdr:colOff>
          <xdr:row>12</xdr:row>
          <xdr:rowOff>0</xdr:rowOff>
        </xdr:to>
        <xdr:sp macro="" textlink="">
          <xdr:nvSpPr>
            <xdr:cNvPr id="4100" name="Drop Down 4" hidden="1">
              <a:extLst>
                <a:ext uri="{63B3BB69-23CF-44E3-9099-C40C66FF867C}">
                  <a14:compatExt spid="_x0000_s4100"/>
                </a:ext>
                <a:ext uri="{FF2B5EF4-FFF2-40B4-BE49-F238E27FC236}">
                  <a16:creationId xmlns:a16="http://schemas.microsoft.com/office/drawing/2014/main" id="{34EB79C8-34F5-443C-792E-469BD83725B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12</xdr:row>
          <xdr:rowOff>0</xdr:rowOff>
        </xdr:from>
        <xdr:to>
          <xdr:col>4</xdr:col>
          <xdr:colOff>0</xdr:colOff>
          <xdr:row>13</xdr:row>
          <xdr:rowOff>0</xdr:rowOff>
        </xdr:to>
        <xdr:sp macro="" textlink="">
          <xdr:nvSpPr>
            <xdr:cNvPr id="4101" name="Drop Down 5" hidden="1">
              <a:extLst>
                <a:ext uri="{63B3BB69-23CF-44E3-9099-C40C66FF867C}">
                  <a14:compatExt spid="_x0000_s4101"/>
                </a:ext>
                <a:ext uri="{FF2B5EF4-FFF2-40B4-BE49-F238E27FC236}">
                  <a16:creationId xmlns:a16="http://schemas.microsoft.com/office/drawing/2014/main" id="{227ED100-69BA-1DBB-8A85-DC98F81B33EC}"/>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21</xdr:row>
          <xdr:rowOff>0</xdr:rowOff>
        </xdr:from>
        <xdr:to>
          <xdr:col>4</xdr:col>
          <xdr:colOff>0</xdr:colOff>
          <xdr:row>22</xdr:row>
          <xdr:rowOff>0</xdr:rowOff>
        </xdr:to>
        <xdr:sp macro="" textlink="">
          <xdr:nvSpPr>
            <xdr:cNvPr id="4102" name="Drop Down 6" hidden="1">
              <a:extLst>
                <a:ext uri="{63B3BB69-23CF-44E3-9099-C40C66FF867C}">
                  <a14:compatExt spid="_x0000_s4102"/>
                </a:ext>
                <a:ext uri="{FF2B5EF4-FFF2-40B4-BE49-F238E27FC236}">
                  <a16:creationId xmlns:a16="http://schemas.microsoft.com/office/drawing/2014/main" id="{5E0F0326-761B-C6E6-083B-2528E2BBB4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8</xdr:row>
          <xdr:rowOff>0</xdr:rowOff>
        </xdr:from>
        <xdr:to>
          <xdr:col>4</xdr:col>
          <xdr:colOff>0</xdr:colOff>
          <xdr:row>9</xdr:row>
          <xdr:rowOff>0</xdr:rowOff>
        </xdr:to>
        <xdr:sp macro="" textlink="">
          <xdr:nvSpPr>
            <xdr:cNvPr id="4103" name="Drop Down 7" hidden="1">
              <a:extLst>
                <a:ext uri="{63B3BB69-23CF-44E3-9099-C40C66FF867C}">
                  <a14:compatExt spid="_x0000_s4103"/>
                </a:ext>
                <a:ext uri="{FF2B5EF4-FFF2-40B4-BE49-F238E27FC236}">
                  <a16:creationId xmlns:a16="http://schemas.microsoft.com/office/drawing/2014/main" id="{C2A1BAA7-FBF3-AACE-A805-327A0CBD3E8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20</xdr:row>
          <xdr:rowOff>0</xdr:rowOff>
        </xdr:from>
        <xdr:to>
          <xdr:col>4</xdr:col>
          <xdr:colOff>0</xdr:colOff>
          <xdr:row>21</xdr:row>
          <xdr:rowOff>0</xdr:rowOff>
        </xdr:to>
        <xdr:sp macro="" textlink="">
          <xdr:nvSpPr>
            <xdr:cNvPr id="4104" name="Drop Down 8" hidden="1">
              <a:extLst>
                <a:ext uri="{63B3BB69-23CF-44E3-9099-C40C66FF867C}">
                  <a14:compatExt spid="_x0000_s4104"/>
                </a:ext>
                <a:ext uri="{FF2B5EF4-FFF2-40B4-BE49-F238E27FC236}">
                  <a16:creationId xmlns:a16="http://schemas.microsoft.com/office/drawing/2014/main" id="{52839F5F-A127-2406-EF25-FA25A11E019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9</xdr:row>
          <xdr:rowOff>0</xdr:rowOff>
        </xdr:from>
        <xdr:to>
          <xdr:col>4</xdr:col>
          <xdr:colOff>0</xdr:colOff>
          <xdr:row>10</xdr:row>
          <xdr:rowOff>0</xdr:rowOff>
        </xdr:to>
        <xdr:sp macro="" textlink="">
          <xdr:nvSpPr>
            <xdr:cNvPr id="4106" name="Drop Down 10" hidden="1">
              <a:extLst>
                <a:ext uri="{63B3BB69-23CF-44E3-9099-C40C66FF867C}">
                  <a14:compatExt spid="_x0000_s4106"/>
                </a:ext>
                <a:ext uri="{FF2B5EF4-FFF2-40B4-BE49-F238E27FC236}">
                  <a16:creationId xmlns:a16="http://schemas.microsoft.com/office/drawing/2014/main" id="{72FCA468-EFD6-8A1B-52D6-3F37939ED4CB}"/>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13</xdr:row>
          <xdr:rowOff>0</xdr:rowOff>
        </xdr:from>
        <xdr:to>
          <xdr:col>4</xdr:col>
          <xdr:colOff>0</xdr:colOff>
          <xdr:row>14</xdr:row>
          <xdr:rowOff>0</xdr:rowOff>
        </xdr:to>
        <xdr:sp macro="" textlink="">
          <xdr:nvSpPr>
            <xdr:cNvPr id="4107" name="Drop Down 11" hidden="1">
              <a:extLst>
                <a:ext uri="{63B3BB69-23CF-44E3-9099-C40C66FF867C}">
                  <a14:compatExt spid="_x0000_s4107"/>
                </a:ext>
                <a:ext uri="{FF2B5EF4-FFF2-40B4-BE49-F238E27FC236}">
                  <a16:creationId xmlns:a16="http://schemas.microsoft.com/office/drawing/2014/main" id="{7CFBC97A-6464-6904-08E0-CB01AA27E0BC}"/>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14</xdr:row>
          <xdr:rowOff>0</xdr:rowOff>
        </xdr:from>
        <xdr:to>
          <xdr:col>4</xdr:col>
          <xdr:colOff>0</xdr:colOff>
          <xdr:row>15</xdr:row>
          <xdr:rowOff>0</xdr:rowOff>
        </xdr:to>
        <xdr:sp macro="" textlink="">
          <xdr:nvSpPr>
            <xdr:cNvPr id="4108" name="Drop Down 12" hidden="1">
              <a:extLst>
                <a:ext uri="{63B3BB69-23CF-44E3-9099-C40C66FF867C}">
                  <a14:compatExt spid="_x0000_s4108"/>
                </a:ext>
                <a:ext uri="{FF2B5EF4-FFF2-40B4-BE49-F238E27FC236}">
                  <a16:creationId xmlns:a16="http://schemas.microsoft.com/office/drawing/2014/main" id="{CA164A87-B656-3439-D8F8-6986ED0BD38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15</xdr:row>
          <xdr:rowOff>0</xdr:rowOff>
        </xdr:from>
        <xdr:to>
          <xdr:col>4</xdr:col>
          <xdr:colOff>0</xdr:colOff>
          <xdr:row>16</xdr:row>
          <xdr:rowOff>0</xdr:rowOff>
        </xdr:to>
        <xdr:sp macro="" textlink="">
          <xdr:nvSpPr>
            <xdr:cNvPr id="4109" name="Drop Down 13" hidden="1">
              <a:extLst>
                <a:ext uri="{63B3BB69-23CF-44E3-9099-C40C66FF867C}">
                  <a14:compatExt spid="_x0000_s4109"/>
                </a:ext>
                <a:ext uri="{FF2B5EF4-FFF2-40B4-BE49-F238E27FC236}">
                  <a16:creationId xmlns:a16="http://schemas.microsoft.com/office/drawing/2014/main" id="{33872352-660B-DDB8-EC74-FB8C106594BE}"/>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16</xdr:row>
          <xdr:rowOff>0</xdr:rowOff>
        </xdr:from>
        <xdr:to>
          <xdr:col>4</xdr:col>
          <xdr:colOff>0</xdr:colOff>
          <xdr:row>17</xdr:row>
          <xdr:rowOff>0</xdr:rowOff>
        </xdr:to>
        <xdr:sp macro="" textlink="">
          <xdr:nvSpPr>
            <xdr:cNvPr id="4113" name="Drop Down 17" hidden="1">
              <a:extLst>
                <a:ext uri="{63B3BB69-23CF-44E3-9099-C40C66FF867C}">
                  <a14:compatExt spid="_x0000_s4113"/>
                </a:ext>
                <a:ext uri="{FF2B5EF4-FFF2-40B4-BE49-F238E27FC236}">
                  <a16:creationId xmlns:a16="http://schemas.microsoft.com/office/drawing/2014/main" id="{254BFD08-2A65-9825-7C17-96BB0B9F530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17</xdr:row>
          <xdr:rowOff>0</xdr:rowOff>
        </xdr:from>
        <xdr:to>
          <xdr:col>4</xdr:col>
          <xdr:colOff>0</xdr:colOff>
          <xdr:row>18</xdr:row>
          <xdr:rowOff>0</xdr:rowOff>
        </xdr:to>
        <xdr:sp macro="" textlink="">
          <xdr:nvSpPr>
            <xdr:cNvPr id="4114" name="Drop Down 18" hidden="1">
              <a:extLst>
                <a:ext uri="{63B3BB69-23CF-44E3-9099-C40C66FF867C}">
                  <a14:compatExt spid="_x0000_s4114"/>
                </a:ext>
                <a:ext uri="{FF2B5EF4-FFF2-40B4-BE49-F238E27FC236}">
                  <a16:creationId xmlns:a16="http://schemas.microsoft.com/office/drawing/2014/main" id="{363FB209-3B3A-EA75-97BB-F1A040A82E6E}"/>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18</xdr:row>
          <xdr:rowOff>0</xdr:rowOff>
        </xdr:from>
        <xdr:to>
          <xdr:col>4</xdr:col>
          <xdr:colOff>0</xdr:colOff>
          <xdr:row>19</xdr:row>
          <xdr:rowOff>0</xdr:rowOff>
        </xdr:to>
        <xdr:sp macro="" textlink="">
          <xdr:nvSpPr>
            <xdr:cNvPr id="4115" name="Drop Down 19" hidden="1">
              <a:extLst>
                <a:ext uri="{63B3BB69-23CF-44E3-9099-C40C66FF867C}">
                  <a14:compatExt spid="_x0000_s4115"/>
                </a:ext>
                <a:ext uri="{FF2B5EF4-FFF2-40B4-BE49-F238E27FC236}">
                  <a16:creationId xmlns:a16="http://schemas.microsoft.com/office/drawing/2014/main" id="{4BDA3E44-8056-F469-E3BB-3C04FC03DB9A}"/>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29</xdr:row>
          <xdr:rowOff>0</xdr:rowOff>
        </xdr:from>
        <xdr:to>
          <xdr:col>4</xdr:col>
          <xdr:colOff>0</xdr:colOff>
          <xdr:row>30</xdr:row>
          <xdr:rowOff>0</xdr:rowOff>
        </xdr:to>
        <xdr:sp macro="" textlink="">
          <xdr:nvSpPr>
            <xdr:cNvPr id="4119" name="Drop Down 23" hidden="1">
              <a:extLst>
                <a:ext uri="{63B3BB69-23CF-44E3-9099-C40C66FF867C}">
                  <a14:compatExt spid="_x0000_s4119"/>
                </a:ext>
                <a:ext uri="{FF2B5EF4-FFF2-40B4-BE49-F238E27FC236}">
                  <a16:creationId xmlns:a16="http://schemas.microsoft.com/office/drawing/2014/main" id="{169300FC-8650-B31F-CEFC-BCE4AA2F165B}"/>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30</xdr:row>
          <xdr:rowOff>0</xdr:rowOff>
        </xdr:from>
        <xdr:to>
          <xdr:col>4</xdr:col>
          <xdr:colOff>0</xdr:colOff>
          <xdr:row>31</xdr:row>
          <xdr:rowOff>0</xdr:rowOff>
        </xdr:to>
        <xdr:sp macro="" textlink="">
          <xdr:nvSpPr>
            <xdr:cNvPr id="4121" name="Drop Down 25" hidden="1">
              <a:extLst>
                <a:ext uri="{63B3BB69-23CF-44E3-9099-C40C66FF867C}">
                  <a14:compatExt spid="_x0000_s4121"/>
                </a:ext>
                <a:ext uri="{FF2B5EF4-FFF2-40B4-BE49-F238E27FC236}">
                  <a16:creationId xmlns:a16="http://schemas.microsoft.com/office/drawing/2014/main" id="{A8254EC5-BC26-5B9C-644D-F9A5CE21C6A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22</xdr:row>
          <xdr:rowOff>0</xdr:rowOff>
        </xdr:from>
        <xdr:to>
          <xdr:col>4</xdr:col>
          <xdr:colOff>0</xdr:colOff>
          <xdr:row>23</xdr:row>
          <xdr:rowOff>0</xdr:rowOff>
        </xdr:to>
        <xdr:sp macro="" textlink="">
          <xdr:nvSpPr>
            <xdr:cNvPr id="4124" name="Drop Down 28" hidden="1">
              <a:extLst>
                <a:ext uri="{63B3BB69-23CF-44E3-9099-C40C66FF867C}">
                  <a14:compatExt spid="_x0000_s4124"/>
                </a:ext>
                <a:ext uri="{FF2B5EF4-FFF2-40B4-BE49-F238E27FC236}">
                  <a16:creationId xmlns:a16="http://schemas.microsoft.com/office/drawing/2014/main" id="{F2ECAE4E-B24A-BA21-048A-F8FE1C4CD06A}"/>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23</xdr:row>
          <xdr:rowOff>0</xdr:rowOff>
        </xdr:from>
        <xdr:to>
          <xdr:col>4</xdr:col>
          <xdr:colOff>0</xdr:colOff>
          <xdr:row>24</xdr:row>
          <xdr:rowOff>0</xdr:rowOff>
        </xdr:to>
        <xdr:sp macro="" textlink="">
          <xdr:nvSpPr>
            <xdr:cNvPr id="4125" name="Drop Down 29" hidden="1">
              <a:extLst>
                <a:ext uri="{63B3BB69-23CF-44E3-9099-C40C66FF867C}">
                  <a14:compatExt spid="_x0000_s4125"/>
                </a:ext>
                <a:ext uri="{FF2B5EF4-FFF2-40B4-BE49-F238E27FC236}">
                  <a16:creationId xmlns:a16="http://schemas.microsoft.com/office/drawing/2014/main" id="{D36DF856-B417-9BFD-A728-4395A403946D}"/>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24</xdr:row>
          <xdr:rowOff>0</xdr:rowOff>
        </xdr:from>
        <xdr:to>
          <xdr:col>4</xdr:col>
          <xdr:colOff>0</xdr:colOff>
          <xdr:row>25</xdr:row>
          <xdr:rowOff>0</xdr:rowOff>
        </xdr:to>
        <xdr:sp macro="" textlink="">
          <xdr:nvSpPr>
            <xdr:cNvPr id="4126" name="Drop Down 30" hidden="1">
              <a:extLst>
                <a:ext uri="{63B3BB69-23CF-44E3-9099-C40C66FF867C}">
                  <a14:compatExt spid="_x0000_s4126"/>
                </a:ext>
                <a:ext uri="{FF2B5EF4-FFF2-40B4-BE49-F238E27FC236}">
                  <a16:creationId xmlns:a16="http://schemas.microsoft.com/office/drawing/2014/main" id="{FBBA1373-3F08-2D6B-259D-C88D05B5ED3D}"/>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25</xdr:row>
          <xdr:rowOff>0</xdr:rowOff>
        </xdr:from>
        <xdr:to>
          <xdr:col>4</xdr:col>
          <xdr:colOff>0</xdr:colOff>
          <xdr:row>26</xdr:row>
          <xdr:rowOff>0</xdr:rowOff>
        </xdr:to>
        <xdr:sp macro="" textlink="">
          <xdr:nvSpPr>
            <xdr:cNvPr id="4127" name="Drop Down 31" hidden="1">
              <a:extLst>
                <a:ext uri="{63B3BB69-23CF-44E3-9099-C40C66FF867C}">
                  <a14:compatExt spid="_x0000_s4127"/>
                </a:ext>
                <a:ext uri="{FF2B5EF4-FFF2-40B4-BE49-F238E27FC236}">
                  <a16:creationId xmlns:a16="http://schemas.microsoft.com/office/drawing/2014/main" id="{1623D716-B3B7-4EFA-E04A-203E8853801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26</xdr:row>
          <xdr:rowOff>0</xdr:rowOff>
        </xdr:from>
        <xdr:to>
          <xdr:col>4</xdr:col>
          <xdr:colOff>0</xdr:colOff>
          <xdr:row>27</xdr:row>
          <xdr:rowOff>0</xdr:rowOff>
        </xdr:to>
        <xdr:sp macro="" textlink="">
          <xdr:nvSpPr>
            <xdr:cNvPr id="4128" name="Drop Down 32" hidden="1">
              <a:extLst>
                <a:ext uri="{63B3BB69-23CF-44E3-9099-C40C66FF867C}">
                  <a14:compatExt spid="_x0000_s4128"/>
                </a:ext>
                <a:ext uri="{FF2B5EF4-FFF2-40B4-BE49-F238E27FC236}">
                  <a16:creationId xmlns:a16="http://schemas.microsoft.com/office/drawing/2014/main" id="{C5FF8A69-53EC-04FF-47C3-A732B700D6C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27</xdr:row>
          <xdr:rowOff>0</xdr:rowOff>
        </xdr:from>
        <xdr:to>
          <xdr:col>4</xdr:col>
          <xdr:colOff>0</xdr:colOff>
          <xdr:row>28</xdr:row>
          <xdr:rowOff>0</xdr:rowOff>
        </xdr:to>
        <xdr:sp macro="" textlink="">
          <xdr:nvSpPr>
            <xdr:cNvPr id="4129" name="Drop Down 33" hidden="1">
              <a:extLst>
                <a:ext uri="{63B3BB69-23CF-44E3-9099-C40C66FF867C}">
                  <a14:compatExt spid="_x0000_s4129"/>
                </a:ext>
                <a:ext uri="{FF2B5EF4-FFF2-40B4-BE49-F238E27FC236}">
                  <a16:creationId xmlns:a16="http://schemas.microsoft.com/office/drawing/2014/main" id="{4C36709B-BA4E-924F-538E-DBD342A7D62F}"/>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3</xdr:row>
          <xdr:rowOff>0</xdr:rowOff>
        </xdr:from>
        <xdr:to>
          <xdr:col>4</xdr:col>
          <xdr:colOff>0</xdr:colOff>
          <xdr:row>4</xdr:row>
          <xdr:rowOff>0</xdr:rowOff>
        </xdr:to>
        <xdr:sp macro="" textlink="">
          <xdr:nvSpPr>
            <xdr:cNvPr id="11265" name="Drop Down 1" hidden="1">
              <a:extLst>
                <a:ext uri="{63B3BB69-23CF-44E3-9099-C40C66FF867C}">
                  <a14:compatExt spid="_x0000_s11265"/>
                </a:ext>
                <a:ext uri="{FF2B5EF4-FFF2-40B4-BE49-F238E27FC236}">
                  <a16:creationId xmlns:a16="http://schemas.microsoft.com/office/drawing/2014/main" id="{97658AE5-2C0D-2423-216B-203C4B6CC3DC}"/>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7</xdr:row>
          <xdr:rowOff>0</xdr:rowOff>
        </xdr:from>
        <xdr:to>
          <xdr:col>4</xdr:col>
          <xdr:colOff>0</xdr:colOff>
          <xdr:row>8</xdr:row>
          <xdr:rowOff>0</xdr:rowOff>
        </xdr:to>
        <xdr:sp macro="" textlink="">
          <xdr:nvSpPr>
            <xdr:cNvPr id="11266" name="Drop Down 2" hidden="1">
              <a:extLst>
                <a:ext uri="{63B3BB69-23CF-44E3-9099-C40C66FF867C}">
                  <a14:compatExt spid="_x0000_s11266"/>
                </a:ext>
                <a:ext uri="{FF2B5EF4-FFF2-40B4-BE49-F238E27FC236}">
                  <a16:creationId xmlns:a16="http://schemas.microsoft.com/office/drawing/2014/main" id="{F1877016-BBDB-6A49-C736-3EA41F25000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11</xdr:row>
          <xdr:rowOff>0</xdr:rowOff>
        </xdr:from>
        <xdr:to>
          <xdr:col>4</xdr:col>
          <xdr:colOff>0</xdr:colOff>
          <xdr:row>12</xdr:row>
          <xdr:rowOff>0</xdr:rowOff>
        </xdr:to>
        <xdr:sp macro="" textlink="">
          <xdr:nvSpPr>
            <xdr:cNvPr id="11268" name="Drop Down 4" hidden="1">
              <a:extLst>
                <a:ext uri="{63B3BB69-23CF-44E3-9099-C40C66FF867C}">
                  <a14:compatExt spid="_x0000_s11268"/>
                </a:ext>
                <a:ext uri="{FF2B5EF4-FFF2-40B4-BE49-F238E27FC236}">
                  <a16:creationId xmlns:a16="http://schemas.microsoft.com/office/drawing/2014/main" id="{0E0ABCE1-EEE6-749F-6842-9A1FE036CF5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12</xdr:row>
          <xdr:rowOff>0</xdr:rowOff>
        </xdr:from>
        <xdr:to>
          <xdr:col>4</xdr:col>
          <xdr:colOff>0</xdr:colOff>
          <xdr:row>13</xdr:row>
          <xdr:rowOff>0</xdr:rowOff>
        </xdr:to>
        <xdr:sp macro="" textlink="">
          <xdr:nvSpPr>
            <xdr:cNvPr id="11269" name="Drop Down 5" hidden="1">
              <a:extLst>
                <a:ext uri="{63B3BB69-23CF-44E3-9099-C40C66FF867C}">
                  <a14:compatExt spid="_x0000_s11269"/>
                </a:ext>
                <a:ext uri="{FF2B5EF4-FFF2-40B4-BE49-F238E27FC236}">
                  <a16:creationId xmlns:a16="http://schemas.microsoft.com/office/drawing/2014/main" id="{36FBCE69-5D3E-3968-54E0-5AA94220C6DC}"/>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21</xdr:row>
          <xdr:rowOff>0</xdr:rowOff>
        </xdr:from>
        <xdr:to>
          <xdr:col>4</xdr:col>
          <xdr:colOff>0</xdr:colOff>
          <xdr:row>22</xdr:row>
          <xdr:rowOff>0</xdr:rowOff>
        </xdr:to>
        <xdr:sp macro="" textlink="">
          <xdr:nvSpPr>
            <xdr:cNvPr id="11270" name="Drop Down 6" hidden="1">
              <a:extLst>
                <a:ext uri="{63B3BB69-23CF-44E3-9099-C40C66FF867C}">
                  <a14:compatExt spid="_x0000_s11270"/>
                </a:ext>
                <a:ext uri="{FF2B5EF4-FFF2-40B4-BE49-F238E27FC236}">
                  <a16:creationId xmlns:a16="http://schemas.microsoft.com/office/drawing/2014/main" id="{48BB18E4-E8F6-D27E-A82A-2DCD410F515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8</xdr:row>
          <xdr:rowOff>0</xdr:rowOff>
        </xdr:from>
        <xdr:to>
          <xdr:col>4</xdr:col>
          <xdr:colOff>0</xdr:colOff>
          <xdr:row>9</xdr:row>
          <xdr:rowOff>0</xdr:rowOff>
        </xdr:to>
        <xdr:sp macro="" textlink="">
          <xdr:nvSpPr>
            <xdr:cNvPr id="11271" name="Drop Down 7" hidden="1">
              <a:extLst>
                <a:ext uri="{63B3BB69-23CF-44E3-9099-C40C66FF867C}">
                  <a14:compatExt spid="_x0000_s11271"/>
                </a:ext>
                <a:ext uri="{FF2B5EF4-FFF2-40B4-BE49-F238E27FC236}">
                  <a16:creationId xmlns:a16="http://schemas.microsoft.com/office/drawing/2014/main" id="{F5586520-7EE5-2840-0D0F-F23AF3235D5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20</xdr:row>
          <xdr:rowOff>0</xdr:rowOff>
        </xdr:from>
        <xdr:to>
          <xdr:col>4</xdr:col>
          <xdr:colOff>0</xdr:colOff>
          <xdr:row>21</xdr:row>
          <xdr:rowOff>0</xdr:rowOff>
        </xdr:to>
        <xdr:sp macro="" textlink="">
          <xdr:nvSpPr>
            <xdr:cNvPr id="11272" name="Drop Down 8" hidden="1">
              <a:extLst>
                <a:ext uri="{63B3BB69-23CF-44E3-9099-C40C66FF867C}">
                  <a14:compatExt spid="_x0000_s11272"/>
                </a:ext>
                <a:ext uri="{FF2B5EF4-FFF2-40B4-BE49-F238E27FC236}">
                  <a16:creationId xmlns:a16="http://schemas.microsoft.com/office/drawing/2014/main" id="{F653669C-B1BC-27D4-3F52-16A11985F96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9</xdr:row>
          <xdr:rowOff>0</xdr:rowOff>
        </xdr:from>
        <xdr:to>
          <xdr:col>4</xdr:col>
          <xdr:colOff>0</xdr:colOff>
          <xdr:row>10</xdr:row>
          <xdr:rowOff>0</xdr:rowOff>
        </xdr:to>
        <xdr:sp macro="" textlink="">
          <xdr:nvSpPr>
            <xdr:cNvPr id="11274" name="Drop Down 10" hidden="1">
              <a:extLst>
                <a:ext uri="{63B3BB69-23CF-44E3-9099-C40C66FF867C}">
                  <a14:compatExt spid="_x0000_s11274"/>
                </a:ext>
                <a:ext uri="{FF2B5EF4-FFF2-40B4-BE49-F238E27FC236}">
                  <a16:creationId xmlns:a16="http://schemas.microsoft.com/office/drawing/2014/main" id="{61F5E9AD-9593-2B24-5504-10A8543FB3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13</xdr:row>
          <xdr:rowOff>0</xdr:rowOff>
        </xdr:from>
        <xdr:to>
          <xdr:col>4</xdr:col>
          <xdr:colOff>0</xdr:colOff>
          <xdr:row>14</xdr:row>
          <xdr:rowOff>0</xdr:rowOff>
        </xdr:to>
        <xdr:sp macro="" textlink="">
          <xdr:nvSpPr>
            <xdr:cNvPr id="11275" name="Drop Down 11" hidden="1">
              <a:extLst>
                <a:ext uri="{63B3BB69-23CF-44E3-9099-C40C66FF867C}">
                  <a14:compatExt spid="_x0000_s11275"/>
                </a:ext>
                <a:ext uri="{FF2B5EF4-FFF2-40B4-BE49-F238E27FC236}">
                  <a16:creationId xmlns:a16="http://schemas.microsoft.com/office/drawing/2014/main" id="{D8300C11-0ACB-FA66-50ED-A9419E6F074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14</xdr:row>
          <xdr:rowOff>0</xdr:rowOff>
        </xdr:from>
        <xdr:to>
          <xdr:col>4</xdr:col>
          <xdr:colOff>0</xdr:colOff>
          <xdr:row>15</xdr:row>
          <xdr:rowOff>0</xdr:rowOff>
        </xdr:to>
        <xdr:sp macro="" textlink="">
          <xdr:nvSpPr>
            <xdr:cNvPr id="11276" name="Drop Down 12" hidden="1">
              <a:extLst>
                <a:ext uri="{63B3BB69-23CF-44E3-9099-C40C66FF867C}">
                  <a14:compatExt spid="_x0000_s11276"/>
                </a:ext>
                <a:ext uri="{FF2B5EF4-FFF2-40B4-BE49-F238E27FC236}">
                  <a16:creationId xmlns:a16="http://schemas.microsoft.com/office/drawing/2014/main" id="{9CFBFD2E-1137-83F6-372A-112A6986141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15</xdr:row>
          <xdr:rowOff>0</xdr:rowOff>
        </xdr:from>
        <xdr:to>
          <xdr:col>4</xdr:col>
          <xdr:colOff>0</xdr:colOff>
          <xdr:row>16</xdr:row>
          <xdr:rowOff>0</xdr:rowOff>
        </xdr:to>
        <xdr:sp macro="" textlink="">
          <xdr:nvSpPr>
            <xdr:cNvPr id="11277" name="Drop Down 13" hidden="1">
              <a:extLst>
                <a:ext uri="{63B3BB69-23CF-44E3-9099-C40C66FF867C}">
                  <a14:compatExt spid="_x0000_s11277"/>
                </a:ext>
                <a:ext uri="{FF2B5EF4-FFF2-40B4-BE49-F238E27FC236}">
                  <a16:creationId xmlns:a16="http://schemas.microsoft.com/office/drawing/2014/main" id="{A1DAB087-F770-EA7B-AFC1-4AAF2A56E36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16</xdr:row>
          <xdr:rowOff>0</xdr:rowOff>
        </xdr:from>
        <xdr:to>
          <xdr:col>4</xdr:col>
          <xdr:colOff>0</xdr:colOff>
          <xdr:row>17</xdr:row>
          <xdr:rowOff>0</xdr:rowOff>
        </xdr:to>
        <xdr:sp macro="" textlink="">
          <xdr:nvSpPr>
            <xdr:cNvPr id="11281" name="Drop Down 17" hidden="1">
              <a:extLst>
                <a:ext uri="{63B3BB69-23CF-44E3-9099-C40C66FF867C}">
                  <a14:compatExt spid="_x0000_s11281"/>
                </a:ext>
                <a:ext uri="{FF2B5EF4-FFF2-40B4-BE49-F238E27FC236}">
                  <a16:creationId xmlns:a16="http://schemas.microsoft.com/office/drawing/2014/main" id="{E0704A86-E17F-50CC-3D9C-5674CAD12BCC}"/>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17</xdr:row>
          <xdr:rowOff>0</xdr:rowOff>
        </xdr:from>
        <xdr:to>
          <xdr:col>4</xdr:col>
          <xdr:colOff>0</xdr:colOff>
          <xdr:row>18</xdr:row>
          <xdr:rowOff>0</xdr:rowOff>
        </xdr:to>
        <xdr:sp macro="" textlink="">
          <xdr:nvSpPr>
            <xdr:cNvPr id="11282" name="Drop Down 18" hidden="1">
              <a:extLst>
                <a:ext uri="{63B3BB69-23CF-44E3-9099-C40C66FF867C}">
                  <a14:compatExt spid="_x0000_s11282"/>
                </a:ext>
                <a:ext uri="{FF2B5EF4-FFF2-40B4-BE49-F238E27FC236}">
                  <a16:creationId xmlns:a16="http://schemas.microsoft.com/office/drawing/2014/main" id="{F2644DCE-4B32-2892-C701-49D3410F910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18</xdr:row>
          <xdr:rowOff>0</xdr:rowOff>
        </xdr:from>
        <xdr:to>
          <xdr:col>4</xdr:col>
          <xdr:colOff>0</xdr:colOff>
          <xdr:row>19</xdr:row>
          <xdr:rowOff>0</xdr:rowOff>
        </xdr:to>
        <xdr:sp macro="" textlink="">
          <xdr:nvSpPr>
            <xdr:cNvPr id="11283" name="Drop Down 19" hidden="1">
              <a:extLst>
                <a:ext uri="{63B3BB69-23CF-44E3-9099-C40C66FF867C}">
                  <a14:compatExt spid="_x0000_s11283"/>
                </a:ext>
                <a:ext uri="{FF2B5EF4-FFF2-40B4-BE49-F238E27FC236}">
                  <a16:creationId xmlns:a16="http://schemas.microsoft.com/office/drawing/2014/main" id="{2BBE5F94-B963-08B5-250B-BD94765C6DD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29</xdr:row>
          <xdr:rowOff>0</xdr:rowOff>
        </xdr:from>
        <xdr:to>
          <xdr:col>4</xdr:col>
          <xdr:colOff>0</xdr:colOff>
          <xdr:row>30</xdr:row>
          <xdr:rowOff>0</xdr:rowOff>
        </xdr:to>
        <xdr:sp macro="" textlink="">
          <xdr:nvSpPr>
            <xdr:cNvPr id="11287" name="Drop Down 23" hidden="1">
              <a:extLst>
                <a:ext uri="{63B3BB69-23CF-44E3-9099-C40C66FF867C}">
                  <a14:compatExt spid="_x0000_s11287"/>
                </a:ext>
                <a:ext uri="{FF2B5EF4-FFF2-40B4-BE49-F238E27FC236}">
                  <a16:creationId xmlns:a16="http://schemas.microsoft.com/office/drawing/2014/main" id="{AFA2983F-E823-ECFD-7E53-FCEF14B2785A}"/>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30</xdr:row>
          <xdr:rowOff>0</xdr:rowOff>
        </xdr:from>
        <xdr:to>
          <xdr:col>4</xdr:col>
          <xdr:colOff>0</xdr:colOff>
          <xdr:row>31</xdr:row>
          <xdr:rowOff>0</xdr:rowOff>
        </xdr:to>
        <xdr:sp macro="" textlink="">
          <xdr:nvSpPr>
            <xdr:cNvPr id="11288" name="Drop Down 24" hidden="1">
              <a:extLst>
                <a:ext uri="{63B3BB69-23CF-44E3-9099-C40C66FF867C}">
                  <a14:compatExt spid="_x0000_s11288"/>
                </a:ext>
                <a:ext uri="{FF2B5EF4-FFF2-40B4-BE49-F238E27FC236}">
                  <a16:creationId xmlns:a16="http://schemas.microsoft.com/office/drawing/2014/main" id="{133855DA-35FE-4D53-E650-383B5D69EF7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22</xdr:row>
          <xdr:rowOff>0</xdr:rowOff>
        </xdr:from>
        <xdr:to>
          <xdr:col>4</xdr:col>
          <xdr:colOff>0</xdr:colOff>
          <xdr:row>23</xdr:row>
          <xdr:rowOff>0</xdr:rowOff>
        </xdr:to>
        <xdr:sp macro="" textlink="">
          <xdr:nvSpPr>
            <xdr:cNvPr id="11290" name="Drop Down 26" hidden="1">
              <a:extLst>
                <a:ext uri="{63B3BB69-23CF-44E3-9099-C40C66FF867C}">
                  <a14:compatExt spid="_x0000_s11290"/>
                </a:ext>
                <a:ext uri="{FF2B5EF4-FFF2-40B4-BE49-F238E27FC236}">
                  <a16:creationId xmlns:a16="http://schemas.microsoft.com/office/drawing/2014/main" id="{2D4F458F-1264-094A-4851-AEDCF9BA6D8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23</xdr:row>
          <xdr:rowOff>0</xdr:rowOff>
        </xdr:from>
        <xdr:to>
          <xdr:col>4</xdr:col>
          <xdr:colOff>0</xdr:colOff>
          <xdr:row>24</xdr:row>
          <xdr:rowOff>0</xdr:rowOff>
        </xdr:to>
        <xdr:sp macro="" textlink="">
          <xdr:nvSpPr>
            <xdr:cNvPr id="11291" name="Drop Down 27" hidden="1">
              <a:extLst>
                <a:ext uri="{63B3BB69-23CF-44E3-9099-C40C66FF867C}">
                  <a14:compatExt spid="_x0000_s11291"/>
                </a:ext>
                <a:ext uri="{FF2B5EF4-FFF2-40B4-BE49-F238E27FC236}">
                  <a16:creationId xmlns:a16="http://schemas.microsoft.com/office/drawing/2014/main" id="{388E59DA-0630-A626-6D9E-F5C941D934E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24</xdr:row>
          <xdr:rowOff>0</xdr:rowOff>
        </xdr:from>
        <xdr:to>
          <xdr:col>4</xdr:col>
          <xdr:colOff>0</xdr:colOff>
          <xdr:row>25</xdr:row>
          <xdr:rowOff>0</xdr:rowOff>
        </xdr:to>
        <xdr:sp macro="" textlink="">
          <xdr:nvSpPr>
            <xdr:cNvPr id="11292" name="Drop Down 28" hidden="1">
              <a:extLst>
                <a:ext uri="{63B3BB69-23CF-44E3-9099-C40C66FF867C}">
                  <a14:compatExt spid="_x0000_s11292"/>
                </a:ext>
                <a:ext uri="{FF2B5EF4-FFF2-40B4-BE49-F238E27FC236}">
                  <a16:creationId xmlns:a16="http://schemas.microsoft.com/office/drawing/2014/main" id="{05C74065-7861-5CF8-6BE1-31B971D2F6F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25</xdr:row>
          <xdr:rowOff>0</xdr:rowOff>
        </xdr:from>
        <xdr:to>
          <xdr:col>4</xdr:col>
          <xdr:colOff>0</xdr:colOff>
          <xdr:row>26</xdr:row>
          <xdr:rowOff>0</xdr:rowOff>
        </xdr:to>
        <xdr:sp macro="" textlink="">
          <xdr:nvSpPr>
            <xdr:cNvPr id="11293" name="Drop Down 29" hidden="1">
              <a:extLst>
                <a:ext uri="{63B3BB69-23CF-44E3-9099-C40C66FF867C}">
                  <a14:compatExt spid="_x0000_s11293"/>
                </a:ext>
                <a:ext uri="{FF2B5EF4-FFF2-40B4-BE49-F238E27FC236}">
                  <a16:creationId xmlns:a16="http://schemas.microsoft.com/office/drawing/2014/main" id="{43430005-7A25-78E4-AA55-E7C5DC07207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26</xdr:row>
          <xdr:rowOff>0</xdr:rowOff>
        </xdr:from>
        <xdr:to>
          <xdr:col>4</xdr:col>
          <xdr:colOff>0</xdr:colOff>
          <xdr:row>27</xdr:row>
          <xdr:rowOff>0</xdr:rowOff>
        </xdr:to>
        <xdr:sp macro="" textlink="">
          <xdr:nvSpPr>
            <xdr:cNvPr id="11294" name="Drop Down 30" hidden="1">
              <a:extLst>
                <a:ext uri="{63B3BB69-23CF-44E3-9099-C40C66FF867C}">
                  <a14:compatExt spid="_x0000_s11294"/>
                </a:ext>
                <a:ext uri="{FF2B5EF4-FFF2-40B4-BE49-F238E27FC236}">
                  <a16:creationId xmlns:a16="http://schemas.microsoft.com/office/drawing/2014/main" id="{11B24CD1-44C5-4589-8BDA-EB18CC6CB97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27</xdr:row>
          <xdr:rowOff>0</xdr:rowOff>
        </xdr:from>
        <xdr:to>
          <xdr:col>4</xdr:col>
          <xdr:colOff>0</xdr:colOff>
          <xdr:row>28</xdr:row>
          <xdr:rowOff>0</xdr:rowOff>
        </xdr:to>
        <xdr:sp macro="" textlink="">
          <xdr:nvSpPr>
            <xdr:cNvPr id="11295" name="Drop Down 31" hidden="1">
              <a:extLst>
                <a:ext uri="{63B3BB69-23CF-44E3-9099-C40C66FF867C}">
                  <a14:compatExt spid="_x0000_s11295"/>
                </a:ext>
                <a:ext uri="{FF2B5EF4-FFF2-40B4-BE49-F238E27FC236}">
                  <a16:creationId xmlns:a16="http://schemas.microsoft.com/office/drawing/2014/main" id="{699BED2E-B402-BFA6-891B-7F19C32BC4F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3</xdr:row>
          <xdr:rowOff>0</xdr:rowOff>
        </xdr:from>
        <xdr:to>
          <xdr:col>4</xdr:col>
          <xdr:colOff>0</xdr:colOff>
          <xdr:row>4</xdr:row>
          <xdr:rowOff>0</xdr:rowOff>
        </xdr:to>
        <xdr:sp macro="" textlink="">
          <xdr:nvSpPr>
            <xdr:cNvPr id="12289" name="Drop Down 1" hidden="1">
              <a:extLst>
                <a:ext uri="{63B3BB69-23CF-44E3-9099-C40C66FF867C}">
                  <a14:compatExt spid="_x0000_s12289"/>
                </a:ext>
                <a:ext uri="{FF2B5EF4-FFF2-40B4-BE49-F238E27FC236}">
                  <a16:creationId xmlns:a16="http://schemas.microsoft.com/office/drawing/2014/main" id="{DBB42004-B2DB-D035-A427-6644B40F2A4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7</xdr:row>
          <xdr:rowOff>0</xdr:rowOff>
        </xdr:from>
        <xdr:to>
          <xdr:col>4</xdr:col>
          <xdr:colOff>0</xdr:colOff>
          <xdr:row>8</xdr:row>
          <xdr:rowOff>0</xdr:rowOff>
        </xdr:to>
        <xdr:sp macro="" textlink="">
          <xdr:nvSpPr>
            <xdr:cNvPr id="12290" name="Drop Down 2" hidden="1">
              <a:extLst>
                <a:ext uri="{63B3BB69-23CF-44E3-9099-C40C66FF867C}">
                  <a14:compatExt spid="_x0000_s12290"/>
                </a:ext>
                <a:ext uri="{FF2B5EF4-FFF2-40B4-BE49-F238E27FC236}">
                  <a16:creationId xmlns:a16="http://schemas.microsoft.com/office/drawing/2014/main" id="{B5CA4D57-337A-06C8-494E-A8C5524BEE8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11</xdr:row>
          <xdr:rowOff>0</xdr:rowOff>
        </xdr:from>
        <xdr:to>
          <xdr:col>4</xdr:col>
          <xdr:colOff>0</xdr:colOff>
          <xdr:row>12</xdr:row>
          <xdr:rowOff>0</xdr:rowOff>
        </xdr:to>
        <xdr:sp macro="" textlink="">
          <xdr:nvSpPr>
            <xdr:cNvPr id="12292" name="Drop Down 4" hidden="1">
              <a:extLst>
                <a:ext uri="{63B3BB69-23CF-44E3-9099-C40C66FF867C}">
                  <a14:compatExt spid="_x0000_s12292"/>
                </a:ext>
                <a:ext uri="{FF2B5EF4-FFF2-40B4-BE49-F238E27FC236}">
                  <a16:creationId xmlns:a16="http://schemas.microsoft.com/office/drawing/2014/main" id="{F923FBEF-EDA8-095B-AAA5-9F0155519C0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12</xdr:row>
          <xdr:rowOff>0</xdr:rowOff>
        </xdr:from>
        <xdr:to>
          <xdr:col>4</xdr:col>
          <xdr:colOff>0</xdr:colOff>
          <xdr:row>13</xdr:row>
          <xdr:rowOff>0</xdr:rowOff>
        </xdr:to>
        <xdr:sp macro="" textlink="">
          <xdr:nvSpPr>
            <xdr:cNvPr id="12293" name="Drop Down 5" hidden="1">
              <a:extLst>
                <a:ext uri="{63B3BB69-23CF-44E3-9099-C40C66FF867C}">
                  <a14:compatExt spid="_x0000_s12293"/>
                </a:ext>
                <a:ext uri="{FF2B5EF4-FFF2-40B4-BE49-F238E27FC236}">
                  <a16:creationId xmlns:a16="http://schemas.microsoft.com/office/drawing/2014/main" id="{F401D2E1-F460-1DD5-6671-2E89579A789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21</xdr:row>
          <xdr:rowOff>0</xdr:rowOff>
        </xdr:from>
        <xdr:to>
          <xdr:col>4</xdr:col>
          <xdr:colOff>0</xdr:colOff>
          <xdr:row>22</xdr:row>
          <xdr:rowOff>0</xdr:rowOff>
        </xdr:to>
        <xdr:sp macro="" textlink="">
          <xdr:nvSpPr>
            <xdr:cNvPr id="12294" name="Drop Down 6" hidden="1">
              <a:extLst>
                <a:ext uri="{63B3BB69-23CF-44E3-9099-C40C66FF867C}">
                  <a14:compatExt spid="_x0000_s12294"/>
                </a:ext>
                <a:ext uri="{FF2B5EF4-FFF2-40B4-BE49-F238E27FC236}">
                  <a16:creationId xmlns:a16="http://schemas.microsoft.com/office/drawing/2014/main" id="{5D631FC8-C4F1-FCDD-ACC8-A8D487D2DE4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8</xdr:row>
          <xdr:rowOff>0</xdr:rowOff>
        </xdr:from>
        <xdr:to>
          <xdr:col>4</xdr:col>
          <xdr:colOff>0</xdr:colOff>
          <xdr:row>9</xdr:row>
          <xdr:rowOff>0</xdr:rowOff>
        </xdr:to>
        <xdr:sp macro="" textlink="">
          <xdr:nvSpPr>
            <xdr:cNvPr id="12295" name="Drop Down 7" hidden="1">
              <a:extLst>
                <a:ext uri="{63B3BB69-23CF-44E3-9099-C40C66FF867C}">
                  <a14:compatExt spid="_x0000_s12295"/>
                </a:ext>
                <a:ext uri="{FF2B5EF4-FFF2-40B4-BE49-F238E27FC236}">
                  <a16:creationId xmlns:a16="http://schemas.microsoft.com/office/drawing/2014/main" id="{F5A5327D-1A93-50AF-FBFD-5FABDD0D6ABE}"/>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20</xdr:row>
          <xdr:rowOff>0</xdr:rowOff>
        </xdr:from>
        <xdr:to>
          <xdr:col>4</xdr:col>
          <xdr:colOff>0</xdr:colOff>
          <xdr:row>21</xdr:row>
          <xdr:rowOff>0</xdr:rowOff>
        </xdr:to>
        <xdr:sp macro="" textlink="">
          <xdr:nvSpPr>
            <xdr:cNvPr id="12296" name="Drop Down 8" hidden="1">
              <a:extLst>
                <a:ext uri="{63B3BB69-23CF-44E3-9099-C40C66FF867C}">
                  <a14:compatExt spid="_x0000_s12296"/>
                </a:ext>
                <a:ext uri="{FF2B5EF4-FFF2-40B4-BE49-F238E27FC236}">
                  <a16:creationId xmlns:a16="http://schemas.microsoft.com/office/drawing/2014/main" id="{2A6FEBD2-A331-EDEC-5F4E-93033317466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9</xdr:row>
          <xdr:rowOff>0</xdr:rowOff>
        </xdr:from>
        <xdr:to>
          <xdr:col>4</xdr:col>
          <xdr:colOff>0</xdr:colOff>
          <xdr:row>10</xdr:row>
          <xdr:rowOff>0</xdr:rowOff>
        </xdr:to>
        <xdr:sp macro="" textlink="">
          <xdr:nvSpPr>
            <xdr:cNvPr id="12298" name="Drop Down 10" hidden="1">
              <a:extLst>
                <a:ext uri="{63B3BB69-23CF-44E3-9099-C40C66FF867C}">
                  <a14:compatExt spid="_x0000_s12298"/>
                </a:ext>
                <a:ext uri="{FF2B5EF4-FFF2-40B4-BE49-F238E27FC236}">
                  <a16:creationId xmlns:a16="http://schemas.microsoft.com/office/drawing/2014/main" id="{3ECE4BC5-458F-8053-8B42-DD08871C6F5C}"/>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13</xdr:row>
          <xdr:rowOff>0</xdr:rowOff>
        </xdr:from>
        <xdr:to>
          <xdr:col>4</xdr:col>
          <xdr:colOff>0</xdr:colOff>
          <xdr:row>14</xdr:row>
          <xdr:rowOff>0</xdr:rowOff>
        </xdr:to>
        <xdr:sp macro="" textlink="">
          <xdr:nvSpPr>
            <xdr:cNvPr id="12299" name="Drop Down 11" hidden="1">
              <a:extLst>
                <a:ext uri="{63B3BB69-23CF-44E3-9099-C40C66FF867C}">
                  <a14:compatExt spid="_x0000_s12299"/>
                </a:ext>
                <a:ext uri="{FF2B5EF4-FFF2-40B4-BE49-F238E27FC236}">
                  <a16:creationId xmlns:a16="http://schemas.microsoft.com/office/drawing/2014/main" id="{2FA677DA-93E4-F379-FEC2-775D27BB9CBD}"/>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14</xdr:row>
          <xdr:rowOff>0</xdr:rowOff>
        </xdr:from>
        <xdr:to>
          <xdr:col>4</xdr:col>
          <xdr:colOff>0</xdr:colOff>
          <xdr:row>15</xdr:row>
          <xdr:rowOff>0</xdr:rowOff>
        </xdr:to>
        <xdr:sp macro="" textlink="">
          <xdr:nvSpPr>
            <xdr:cNvPr id="12300" name="Drop Down 12" hidden="1">
              <a:extLst>
                <a:ext uri="{63B3BB69-23CF-44E3-9099-C40C66FF867C}">
                  <a14:compatExt spid="_x0000_s12300"/>
                </a:ext>
                <a:ext uri="{FF2B5EF4-FFF2-40B4-BE49-F238E27FC236}">
                  <a16:creationId xmlns:a16="http://schemas.microsoft.com/office/drawing/2014/main" id="{D88A5213-8975-6B05-F017-1FD354518ED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15</xdr:row>
          <xdr:rowOff>0</xdr:rowOff>
        </xdr:from>
        <xdr:to>
          <xdr:col>4</xdr:col>
          <xdr:colOff>0</xdr:colOff>
          <xdr:row>16</xdr:row>
          <xdr:rowOff>0</xdr:rowOff>
        </xdr:to>
        <xdr:sp macro="" textlink="">
          <xdr:nvSpPr>
            <xdr:cNvPr id="12301" name="Drop Down 13" hidden="1">
              <a:extLst>
                <a:ext uri="{63B3BB69-23CF-44E3-9099-C40C66FF867C}">
                  <a14:compatExt spid="_x0000_s12301"/>
                </a:ext>
                <a:ext uri="{FF2B5EF4-FFF2-40B4-BE49-F238E27FC236}">
                  <a16:creationId xmlns:a16="http://schemas.microsoft.com/office/drawing/2014/main" id="{638E5A73-1C5E-41B0-3F66-B5FBC1D8977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16</xdr:row>
          <xdr:rowOff>0</xdr:rowOff>
        </xdr:from>
        <xdr:to>
          <xdr:col>4</xdr:col>
          <xdr:colOff>0</xdr:colOff>
          <xdr:row>17</xdr:row>
          <xdr:rowOff>0</xdr:rowOff>
        </xdr:to>
        <xdr:sp macro="" textlink="">
          <xdr:nvSpPr>
            <xdr:cNvPr id="12305" name="Drop Down 17" hidden="1">
              <a:extLst>
                <a:ext uri="{63B3BB69-23CF-44E3-9099-C40C66FF867C}">
                  <a14:compatExt spid="_x0000_s12305"/>
                </a:ext>
                <a:ext uri="{FF2B5EF4-FFF2-40B4-BE49-F238E27FC236}">
                  <a16:creationId xmlns:a16="http://schemas.microsoft.com/office/drawing/2014/main" id="{8EE376F6-65BA-8280-9627-C11CD147FF4A}"/>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17</xdr:row>
          <xdr:rowOff>0</xdr:rowOff>
        </xdr:from>
        <xdr:to>
          <xdr:col>4</xdr:col>
          <xdr:colOff>0</xdr:colOff>
          <xdr:row>18</xdr:row>
          <xdr:rowOff>0</xdr:rowOff>
        </xdr:to>
        <xdr:sp macro="" textlink="">
          <xdr:nvSpPr>
            <xdr:cNvPr id="12306" name="Drop Down 18" hidden="1">
              <a:extLst>
                <a:ext uri="{63B3BB69-23CF-44E3-9099-C40C66FF867C}">
                  <a14:compatExt spid="_x0000_s12306"/>
                </a:ext>
                <a:ext uri="{FF2B5EF4-FFF2-40B4-BE49-F238E27FC236}">
                  <a16:creationId xmlns:a16="http://schemas.microsoft.com/office/drawing/2014/main" id="{4A12B603-B097-7814-DDD8-BB48F86987B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18</xdr:row>
          <xdr:rowOff>0</xdr:rowOff>
        </xdr:from>
        <xdr:to>
          <xdr:col>4</xdr:col>
          <xdr:colOff>0</xdr:colOff>
          <xdr:row>19</xdr:row>
          <xdr:rowOff>0</xdr:rowOff>
        </xdr:to>
        <xdr:sp macro="" textlink="">
          <xdr:nvSpPr>
            <xdr:cNvPr id="12307" name="Drop Down 19" hidden="1">
              <a:extLst>
                <a:ext uri="{63B3BB69-23CF-44E3-9099-C40C66FF867C}">
                  <a14:compatExt spid="_x0000_s12307"/>
                </a:ext>
                <a:ext uri="{FF2B5EF4-FFF2-40B4-BE49-F238E27FC236}">
                  <a16:creationId xmlns:a16="http://schemas.microsoft.com/office/drawing/2014/main" id="{C6F570BC-3D53-552B-8824-DB60275A110F}"/>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29</xdr:row>
          <xdr:rowOff>0</xdr:rowOff>
        </xdr:from>
        <xdr:to>
          <xdr:col>4</xdr:col>
          <xdr:colOff>0</xdr:colOff>
          <xdr:row>30</xdr:row>
          <xdr:rowOff>0</xdr:rowOff>
        </xdr:to>
        <xdr:sp macro="" textlink="">
          <xdr:nvSpPr>
            <xdr:cNvPr id="12311" name="Drop Down 23" hidden="1">
              <a:extLst>
                <a:ext uri="{63B3BB69-23CF-44E3-9099-C40C66FF867C}">
                  <a14:compatExt spid="_x0000_s12311"/>
                </a:ext>
                <a:ext uri="{FF2B5EF4-FFF2-40B4-BE49-F238E27FC236}">
                  <a16:creationId xmlns:a16="http://schemas.microsoft.com/office/drawing/2014/main" id="{4889E6D5-3A9F-B3A6-931C-7A396293A8E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30</xdr:row>
          <xdr:rowOff>0</xdr:rowOff>
        </xdr:from>
        <xdr:to>
          <xdr:col>4</xdr:col>
          <xdr:colOff>0</xdr:colOff>
          <xdr:row>31</xdr:row>
          <xdr:rowOff>0</xdr:rowOff>
        </xdr:to>
        <xdr:sp macro="" textlink="">
          <xdr:nvSpPr>
            <xdr:cNvPr id="12312" name="Drop Down 24" hidden="1">
              <a:extLst>
                <a:ext uri="{63B3BB69-23CF-44E3-9099-C40C66FF867C}">
                  <a14:compatExt spid="_x0000_s12312"/>
                </a:ext>
                <a:ext uri="{FF2B5EF4-FFF2-40B4-BE49-F238E27FC236}">
                  <a16:creationId xmlns:a16="http://schemas.microsoft.com/office/drawing/2014/main" id="{621A96F3-AB09-E606-8C15-29510DDDB72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22</xdr:row>
          <xdr:rowOff>0</xdr:rowOff>
        </xdr:from>
        <xdr:to>
          <xdr:col>4</xdr:col>
          <xdr:colOff>0</xdr:colOff>
          <xdr:row>23</xdr:row>
          <xdr:rowOff>0</xdr:rowOff>
        </xdr:to>
        <xdr:sp macro="" textlink="">
          <xdr:nvSpPr>
            <xdr:cNvPr id="12314" name="Drop Down 26" hidden="1">
              <a:extLst>
                <a:ext uri="{63B3BB69-23CF-44E3-9099-C40C66FF867C}">
                  <a14:compatExt spid="_x0000_s12314"/>
                </a:ext>
                <a:ext uri="{FF2B5EF4-FFF2-40B4-BE49-F238E27FC236}">
                  <a16:creationId xmlns:a16="http://schemas.microsoft.com/office/drawing/2014/main" id="{80CFFE84-BFA6-8750-AC4F-E6BEDE7289C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23</xdr:row>
          <xdr:rowOff>0</xdr:rowOff>
        </xdr:from>
        <xdr:to>
          <xdr:col>4</xdr:col>
          <xdr:colOff>0</xdr:colOff>
          <xdr:row>24</xdr:row>
          <xdr:rowOff>0</xdr:rowOff>
        </xdr:to>
        <xdr:sp macro="" textlink="">
          <xdr:nvSpPr>
            <xdr:cNvPr id="12315" name="Drop Down 27" hidden="1">
              <a:extLst>
                <a:ext uri="{63B3BB69-23CF-44E3-9099-C40C66FF867C}">
                  <a14:compatExt spid="_x0000_s12315"/>
                </a:ext>
                <a:ext uri="{FF2B5EF4-FFF2-40B4-BE49-F238E27FC236}">
                  <a16:creationId xmlns:a16="http://schemas.microsoft.com/office/drawing/2014/main" id="{CC4BF0D8-FAF5-5AF6-7C91-1BF2C93DE36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24</xdr:row>
          <xdr:rowOff>0</xdr:rowOff>
        </xdr:from>
        <xdr:to>
          <xdr:col>4</xdr:col>
          <xdr:colOff>0</xdr:colOff>
          <xdr:row>25</xdr:row>
          <xdr:rowOff>0</xdr:rowOff>
        </xdr:to>
        <xdr:sp macro="" textlink="">
          <xdr:nvSpPr>
            <xdr:cNvPr id="12316" name="Drop Down 28" hidden="1">
              <a:extLst>
                <a:ext uri="{63B3BB69-23CF-44E3-9099-C40C66FF867C}">
                  <a14:compatExt spid="_x0000_s12316"/>
                </a:ext>
                <a:ext uri="{FF2B5EF4-FFF2-40B4-BE49-F238E27FC236}">
                  <a16:creationId xmlns:a16="http://schemas.microsoft.com/office/drawing/2014/main" id="{4017CA59-BD66-7C99-9845-238B3BB0A35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25</xdr:row>
          <xdr:rowOff>0</xdr:rowOff>
        </xdr:from>
        <xdr:to>
          <xdr:col>4</xdr:col>
          <xdr:colOff>0</xdr:colOff>
          <xdr:row>26</xdr:row>
          <xdr:rowOff>0</xdr:rowOff>
        </xdr:to>
        <xdr:sp macro="" textlink="">
          <xdr:nvSpPr>
            <xdr:cNvPr id="12317" name="Drop Down 29" hidden="1">
              <a:extLst>
                <a:ext uri="{63B3BB69-23CF-44E3-9099-C40C66FF867C}">
                  <a14:compatExt spid="_x0000_s12317"/>
                </a:ext>
                <a:ext uri="{FF2B5EF4-FFF2-40B4-BE49-F238E27FC236}">
                  <a16:creationId xmlns:a16="http://schemas.microsoft.com/office/drawing/2014/main" id="{FC18F298-4375-D5A1-4F84-11C523E6E27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26</xdr:row>
          <xdr:rowOff>0</xdr:rowOff>
        </xdr:from>
        <xdr:to>
          <xdr:col>4</xdr:col>
          <xdr:colOff>0</xdr:colOff>
          <xdr:row>27</xdr:row>
          <xdr:rowOff>0</xdr:rowOff>
        </xdr:to>
        <xdr:sp macro="" textlink="">
          <xdr:nvSpPr>
            <xdr:cNvPr id="12318" name="Drop Down 30" hidden="1">
              <a:extLst>
                <a:ext uri="{63B3BB69-23CF-44E3-9099-C40C66FF867C}">
                  <a14:compatExt spid="_x0000_s12318"/>
                </a:ext>
                <a:ext uri="{FF2B5EF4-FFF2-40B4-BE49-F238E27FC236}">
                  <a16:creationId xmlns:a16="http://schemas.microsoft.com/office/drawing/2014/main" id="{F3893587-3407-7E92-BA65-71F8A4D7100A}"/>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27</xdr:row>
          <xdr:rowOff>0</xdr:rowOff>
        </xdr:from>
        <xdr:to>
          <xdr:col>4</xdr:col>
          <xdr:colOff>0</xdr:colOff>
          <xdr:row>28</xdr:row>
          <xdr:rowOff>0</xdr:rowOff>
        </xdr:to>
        <xdr:sp macro="" textlink="">
          <xdr:nvSpPr>
            <xdr:cNvPr id="12319" name="Drop Down 31" hidden="1">
              <a:extLst>
                <a:ext uri="{63B3BB69-23CF-44E3-9099-C40C66FF867C}">
                  <a14:compatExt spid="_x0000_s12319"/>
                </a:ext>
                <a:ext uri="{FF2B5EF4-FFF2-40B4-BE49-F238E27FC236}">
                  <a16:creationId xmlns:a16="http://schemas.microsoft.com/office/drawing/2014/main" id="{3D497EC8-5DD0-8F4C-C7CA-D3EB035D390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10</xdr:row>
          <xdr:rowOff>0</xdr:rowOff>
        </xdr:from>
        <xdr:to>
          <xdr:col>3</xdr:col>
          <xdr:colOff>0</xdr:colOff>
          <xdr:row>11</xdr:row>
          <xdr:rowOff>0</xdr:rowOff>
        </xdr:to>
        <xdr:sp macro="" textlink="">
          <xdr:nvSpPr>
            <xdr:cNvPr id="6146" name="Drop Down 2" hidden="1">
              <a:extLst>
                <a:ext uri="{63B3BB69-23CF-44E3-9099-C40C66FF867C}">
                  <a14:compatExt spid="_x0000_s6146"/>
                </a:ext>
                <a:ext uri="{FF2B5EF4-FFF2-40B4-BE49-F238E27FC236}">
                  <a16:creationId xmlns:a16="http://schemas.microsoft.com/office/drawing/2014/main" id="{66E92901-2847-C0A4-170B-89DA8C71D7F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xdr:col>
      <xdr:colOff>533400</xdr:colOff>
      <xdr:row>2</xdr:row>
      <xdr:rowOff>30480</xdr:rowOff>
    </xdr:from>
    <xdr:to>
      <xdr:col>5</xdr:col>
      <xdr:colOff>449580</xdr:colOff>
      <xdr:row>6</xdr:row>
      <xdr:rowOff>68580</xdr:rowOff>
    </xdr:to>
    <xdr:sp macro="" textlink="">
      <xdr:nvSpPr>
        <xdr:cNvPr id="6147" name="Text Box 3">
          <a:extLst>
            <a:ext uri="{FF2B5EF4-FFF2-40B4-BE49-F238E27FC236}">
              <a16:creationId xmlns:a16="http://schemas.microsoft.com/office/drawing/2014/main" id="{C8DDC38A-0365-0EE9-6FA6-85740D6D03FE}"/>
            </a:ext>
          </a:extLst>
        </xdr:cNvPr>
        <xdr:cNvSpPr txBox="1">
          <a:spLocks noChangeArrowheads="1"/>
        </xdr:cNvSpPr>
      </xdr:nvSpPr>
      <xdr:spPr bwMode="auto">
        <a:xfrm>
          <a:off x="662940" y="396240"/>
          <a:ext cx="6797040" cy="70866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outerShdw>
        </a:effec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Select appropriate business sector, and enter the relevant normalisation values for each Activity/Site.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60960</xdr:colOff>
      <xdr:row>1</xdr:row>
      <xdr:rowOff>30480</xdr:rowOff>
    </xdr:from>
    <xdr:to>
      <xdr:col>6</xdr:col>
      <xdr:colOff>419100</xdr:colOff>
      <xdr:row>3</xdr:row>
      <xdr:rowOff>38100</xdr:rowOff>
    </xdr:to>
    <xdr:sp macro="" textlink="">
      <xdr:nvSpPr>
        <xdr:cNvPr id="3074" name="Text Box 2">
          <a:extLst>
            <a:ext uri="{FF2B5EF4-FFF2-40B4-BE49-F238E27FC236}">
              <a16:creationId xmlns:a16="http://schemas.microsoft.com/office/drawing/2014/main" id="{21B98F54-52D0-5256-D752-75AA0FE2636F}"/>
            </a:ext>
          </a:extLst>
        </xdr:cNvPr>
        <xdr:cNvSpPr txBox="1">
          <a:spLocks noChangeArrowheads="1"/>
        </xdr:cNvSpPr>
      </xdr:nvSpPr>
      <xdr:spPr bwMode="auto">
        <a:xfrm>
          <a:off x="129540" y="198120"/>
          <a:ext cx="5402580" cy="34290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outerShdw>
        </a:effectLst>
      </xdr:spPr>
      <xdr:txBody>
        <a:bodyPr vertOverflow="clip" wrap="square" lIns="36576" tIns="27432" rIns="36576" bIns="0" anchor="t" upright="1"/>
        <a:lstStyle/>
        <a:p>
          <a:pPr algn="ctr" rtl="0">
            <a:defRPr sz="1000"/>
          </a:pPr>
          <a:r>
            <a:rPr lang="en-US" sz="1000" b="1" i="0" u="none" strike="noStrike" baseline="0">
              <a:solidFill>
                <a:srgbClr val="000000"/>
              </a:solidFill>
              <a:latin typeface="Arial"/>
              <a:cs typeface="Arial"/>
            </a:rPr>
            <a:t>DO NOT CHANGE THE FIGURES IN THESE TABLES!</a:t>
          </a:r>
        </a:p>
        <a:p>
          <a:pPr algn="ctr" rtl="0">
            <a:defRPr sz="1000"/>
          </a:pPr>
          <a:r>
            <a:rPr lang="en-US" sz="1000" b="1" i="0" u="none" strike="noStrike" baseline="0">
              <a:solidFill>
                <a:srgbClr val="000000"/>
              </a:solidFill>
              <a:latin typeface="Arial"/>
              <a:cs typeface="Arial"/>
            </a:rPr>
            <a:t>USE OTHER WORKSHEETS</a:t>
          </a:r>
        </a:p>
      </xdr:txBody>
    </xdr:sp>
    <xdr:clientData fPrintsWithSheet="0"/>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4</xdr:row>
          <xdr:rowOff>0</xdr:rowOff>
        </xdr:from>
        <xdr:to>
          <xdr:col>2</xdr:col>
          <xdr:colOff>0</xdr:colOff>
          <xdr:row>5</xdr:row>
          <xdr:rowOff>0</xdr:rowOff>
        </xdr:to>
        <xdr:sp macro="" textlink="">
          <xdr:nvSpPr>
            <xdr:cNvPr id="5123" name="Drop Down 3" hidden="1">
              <a:extLst>
                <a:ext uri="{63B3BB69-23CF-44E3-9099-C40C66FF867C}">
                  <a14:compatExt spid="_x0000_s5123"/>
                </a:ext>
                <a:ext uri="{FF2B5EF4-FFF2-40B4-BE49-F238E27FC236}">
                  <a16:creationId xmlns:a16="http://schemas.microsoft.com/office/drawing/2014/main" id="{1EB64D8E-D967-7CE5-4FED-F435B8AEBA5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2</xdr:col>
          <xdr:colOff>0</xdr:colOff>
          <xdr:row>7</xdr:row>
          <xdr:rowOff>0</xdr:rowOff>
        </xdr:to>
        <xdr:sp macro="" textlink="">
          <xdr:nvSpPr>
            <xdr:cNvPr id="5124" name="Drop Down 4" hidden="1">
              <a:extLst>
                <a:ext uri="{63B3BB69-23CF-44E3-9099-C40C66FF867C}">
                  <a14:compatExt spid="_x0000_s5124"/>
                </a:ext>
                <a:ext uri="{FF2B5EF4-FFF2-40B4-BE49-F238E27FC236}">
                  <a16:creationId xmlns:a16="http://schemas.microsoft.com/office/drawing/2014/main" id="{614942D9-5969-7D5E-D244-68ABFF5D347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0</xdr:col>
      <xdr:colOff>1653540</xdr:colOff>
      <xdr:row>8</xdr:row>
      <xdr:rowOff>160020</xdr:rowOff>
    </xdr:from>
    <xdr:to>
      <xdr:col>1</xdr:col>
      <xdr:colOff>2743200</xdr:colOff>
      <xdr:row>15</xdr:row>
      <xdr:rowOff>30480</xdr:rowOff>
    </xdr:to>
    <xdr:sp macro="" textlink="">
      <xdr:nvSpPr>
        <xdr:cNvPr id="5125" name="Text Box 5">
          <a:extLst>
            <a:ext uri="{FF2B5EF4-FFF2-40B4-BE49-F238E27FC236}">
              <a16:creationId xmlns:a16="http://schemas.microsoft.com/office/drawing/2014/main" id="{7904D8E6-1D30-26BF-0E00-8AE3B9DF94FF}"/>
            </a:ext>
          </a:extLst>
        </xdr:cNvPr>
        <xdr:cNvSpPr txBox="1">
          <a:spLocks noChangeArrowheads="1"/>
        </xdr:cNvSpPr>
      </xdr:nvSpPr>
      <xdr:spPr bwMode="auto">
        <a:xfrm>
          <a:off x="1653540" y="1676400"/>
          <a:ext cx="4152900" cy="104394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808080"/>
          </a:outerShdw>
        </a:effectLst>
      </xdr:spPr>
      <xdr:txBody>
        <a:bodyPr vertOverflow="clip" wrap="square" lIns="36576" tIns="27432" rIns="36576" bIns="27432" anchor="ctr" upright="1"/>
        <a:lstStyle/>
        <a:p>
          <a:pPr algn="ctr" rtl="0">
            <a:lnSpc>
              <a:spcPts val="1100"/>
            </a:lnSpc>
            <a:defRPr sz="1000"/>
          </a:pPr>
          <a:r>
            <a:rPr lang="en-US" sz="1000" b="1" i="0" u="none" strike="noStrike" baseline="0">
              <a:solidFill>
                <a:srgbClr val="000000"/>
              </a:solidFill>
              <a:latin typeface="Arial"/>
              <a:cs typeface="Arial"/>
            </a:rPr>
            <a:t>Currently the factors for previous workbooks/progress reports should not be used as they have not yet been verified!</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243840</xdr:colOff>
      <xdr:row>1</xdr:row>
      <xdr:rowOff>106680</xdr:rowOff>
    </xdr:from>
    <xdr:to>
      <xdr:col>10</xdr:col>
      <xdr:colOff>167640</xdr:colOff>
      <xdr:row>16</xdr:row>
      <xdr:rowOff>60960</xdr:rowOff>
    </xdr:to>
    <xdr:sp macro="" textlink="">
      <xdr:nvSpPr>
        <xdr:cNvPr id="10241" name="Text Box 1">
          <a:extLst>
            <a:ext uri="{FF2B5EF4-FFF2-40B4-BE49-F238E27FC236}">
              <a16:creationId xmlns:a16="http://schemas.microsoft.com/office/drawing/2014/main" id="{39CDF0B2-8635-C456-F4CE-3258A839318B}"/>
            </a:ext>
          </a:extLst>
        </xdr:cNvPr>
        <xdr:cNvSpPr txBox="1">
          <a:spLocks noChangeArrowheads="1"/>
        </xdr:cNvSpPr>
      </xdr:nvSpPr>
      <xdr:spPr bwMode="auto">
        <a:xfrm>
          <a:off x="243840" y="274320"/>
          <a:ext cx="5410200" cy="247650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outerShdw>
        </a:effectLst>
      </xdr:spPr>
      <xdr:txBody>
        <a:bodyPr vertOverflow="clip" wrap="square" lIns="36576" tIns="27432" rIns="36576" bIns="27432" anchor="ctr" upright="1"/>
        <a:lstStyle/>
        <a:p>
          <a:pPr algn="ctr" rtl="0">
            <a:lnSpc>
              <a:spcPts val="1100"/>
            </a:lnSpc>
            <a:defRPr sz="1000"/>
          </a:pPr>
          <a:r>
            <a:rPr lang="en-US" sz="1100" b="1" i="0" u="none" strike="noStrike" baseline="0">
              <a:solidFill>
                <a:srgbClr val="000000"/>
              </a:solidFill>
              <a:latin typeface="Arial"/>
              <a:cs typeface="Arial"/>
            </a:rPr>
            <a:t>This sheet contains data for the automatic selection of factors. Please do not modify this sheet.</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144780</xdr:colOff>
      <xdr:row>7</xdr:row>
      <xdr:rowOff>76200</xdr:rowOff>
    </xdr:from>
    <xdr:to>
      <xdr:col>7</xdr:col>
      <xdr:colOff>114300</xdr:colOff>
      <xdr:row>16</xdr:row>
      <xdr:rowOff>45720</xdr:rowOff>
    </xdr:to>
    <xdr:sp macro="" textlink="">
      <xdr:nvSpPr>
        <xdr:cNvPr id="9217" name="Text Box 1">
          <a:extLst>
            <a:ext uri="{FF2B5EF4-FFF2-40B4-BE49-F238E27FC236}">
              <a16:creationId xmlns:a16="http://schemas.microsoft.com/office/drawing/2014/main" id="{07E87816-68BF-466D-EB16-DA7351B3F378}"/>
            </a:ext>
          </a:extLst>
        </xdr:cNvPr>
        <xdr:cNvSpPr txBox="1">
          <a:spLocks noChangeArrowheads="1"/>
        </xdr:cNvSpPr>
      </xdr:nvSpPr>
      <xdr:spPr bwMode="auto">
        <a:xfrm>
          <a:off x="754380" y="1249680"/>
          <a:ext cx="3954780" cy="147828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outerShdw>
        </a:effectLst>
      </xdr:spPr>
      <xdr:txBody>
        <a:bodyPr vertOverflow="clip" wrap="square" lIns="36576" tIns="27432" rIns="36576" bIns="27432" anchor="ctr" upright="1"/>
        <a:lstStyle/>
        <a:p>
          <a:pPr algn="ctr" rtl="0">
            <a:lnSpc>
              <a:spcPts val="1100"/>
            </a:lnSpc>
            <a:defRPr sz="1000"/>
          </a:pPr>
          <a:r>
            <a:rPr lang="en-US" sz="1100" b="1" i="0" u="none" strike="noStrike" baseline="0">
              <a:solidFill>
                <a:srgbClr val="000000"/>
              </a:solidFill>
              <a:latin typeface="Arial"/>
              <a:cs typeface="Arial"/>
            </a:rPr>
            <a:t>This sheet contains data for the automatic selection of factors. Please do not modify this sheet.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greenhouse.gov.au/challenge/tools/spreadsheet/index.html" TargetMode="External"/><Relationship Id="rId1" Type="http://schemas.openxmlformats.org/officeDocument/2006/relationships/hyperlink" Target="http://www.greenhouse.gov.au/challenge"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0.xml"/><Relationship Id="rId1" Type="http://schemas.openxmlformats.org/officeDocument/2006/relationships/printerSettings" Target="../printerSettings/printerSettings11.bin"/><Relationship Id="rId4" Type="http://schemas.openxmlformats.org/officeDocument/2006/relationships/comments" Target="../comments7.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omments" Target="../comments1.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27.xml"/><Relationship Id="rId13" Type="http://schemas.openxmlformats.org/officeDocument/2006/relationships/ctrlProp" Target="../ctrlProps/ctrlProp32.xml"/><Relationship Id="rId18" Type="http://schemas.openxmlformats.org/officeDocument/2006/relationships/ctrlProp" Target="../ctrlProps/ctrlProp37.xml"/><Relationship Id="rId26" Type="http://schemas.openxmlformats.org/officeDocument/2006/relationships/comments" Target="../comments2.xml"/><Relationship Id="rId3" Type="http://schemas.openxmlformats.org/officeDocument/2006/relationships/vmlDrawing" Target="../drawings/vmlDrawing2.vml"/><Relationship Id="rId21" Type="http://schemas.openxmlformats.org/officeDocument/2006/relationships/ctrlProp" Target="../ctrlProps/ctrlProp40.xml"/><Relationship Id="rId7" Type="http://schemas.openxmlformats.org/officeDocument/2006/relationships/ctrlProp" Target="../ctrlProps/ctrlProp26.xml"/><Relationship Id="rId12" Type="http://schemas.openxmlformats.org/officeDocument/2006/relationships/ctrlProp" Target="../ctrlProps/ctrlProp31.xml"/><Relationship Id="rId17" Type="http://schemas.openxmlformats.org/officeDocument/2006/relationships/ctrlProp" Target="../ctrlProps/ctrlProp36.xml"/><Relationship Id="rId25" Type="http://schemas.openxmlformats.org/officeDocument/2006/relationships/ctrlProp" Target="../ctrlProps/ctrlProp44.xml"/><Relationship Id="rId2" Type="http://schemas.openxmlformats.org/officeDocument/2006/relationships/drawing" Target="../drawings/drawing2.xml"/><Relationship Id="rId16" Type="http://schemas.openxmlformats.org/officeDocument/2006/relationships/ctrlProp" Target="../ctrlProps/ctrlProp35.xml"/><Relationship Id="rId20" Type="http://schemas.openxmlformats.org/officeDocument/2006/relationships/ctrlProp" Target="../ctrlProps/ctrlProp39.xml"/><Relationship Id="rId1" Type="http://schemas.openxmlformats.org/officeDocument/2006/relationships/printerSettings" Target="../printerSettings/printerSettings3.bin"/><Relationship Id="rId6" Type="http://schemas.openxmlformats.org/officeDocument/2006/relationships/ctrlProp" Target="../ctrlProps/ctrlProp25.xml"/><Relationship Id="rId11" Type="http://schemas.openxmlformats.org/officeDocument/2006/relationships/ctrlProp" Target="../ctrlProps/ctrlProp30.xml"/><Relationship Id="rId24" Type="http://schemas.openxmlformats.org/officeDocument/2006/relationships/ctrlProp" Target="../ctrlProps/ctrlProp43.xml"/><Relationship Id="rId5" Type="http://schemas.openxmlformats.org/officeDocument/2006/relationships/ctrlProp" Target="../ctrlProps/ctrlProp24.xml"/><Relationship Id="rId15" Type="http://schemas.openxmlformats.org/officeDocument/2006/relationships/ctrlProp" Target="../ctrlProps/ctrlProp34.xml"/><Relationship Id="rId23" Type="http://schemas.openxmlformats.org/officeDocument/2006/relationships/ctrlProp" Target="../ctrlProps/ctrlProp42.xml"/><Relationship Id="rId10" Type="http://schemas.openxmlformats.org/officeDocument/2006/relationships/ctrlProp" Target="../ctrlProps/ctrlProp29.xml"/><Relationship Id="rId19" Type="http://schemas.openxmlformats.org/officeDocument/2006/relationships/ctrlProp" Target="../ctrlProps/ctrlProp38.xml"/><Relationship Id="rId4" Type="http://schemas.openxmlformats.org/officeDocument/2006/relationships/ctrlProp" Target="../ctrlProps/ctrlProp23.xml"/><Relationship Id="rId9" Type="http://schemas.openxmlformats.org/officeDocument/2006/relationships/ctrlProp" Target="../ctrlProps/ctrlProp28.xml"/><Relationship Id="rId14" Type="http://schemas.openxmlformats.org/officeDocument/2006/relationships/ctrlProp" Target="../ctrlProps/ctrlProp33.xml"/><Relationship Id="rId22" Type="http://schemas.openxmlformats.org/officeDocument/2006/relationships/ctrlProp" Target="../ctrlProps/ctrlProp41.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49.xml"/><Relationship Id="rId13" Type="http://schemas.openxmlformats.org/officeDocument/2006/relationships/ctrlProp" Target="../ctrlProps/ctrlProp54.xml"/><Relationship Id="rId18" Type="http://schemas.openxmlformats.org/officeDocument/2006/relationships/ctrlProp" Target="../ctrlProps/ctrlProp59.xml"/><Relationship Id="rId26" Type="http://schemas.openxmlformats.org/officeDocument/2006/relationships/comments" Target="../comments3.xml"/><Relationship Id="rId3" Type="http://schemas.openxmlformats.org/officeDocument/2006/relationships/vmlDrawing" Target="../drawings/vmlDrawing3.vml"/><Relationship Id="rId21" Type="http://schemas.openxmlformats.org/officeDocument/2006/relationships/ctrlProp" Target="../ctrlProps/ctrlProp62.xml"/><Relationship Id="rId7" Type="http://schemas.openxmlformats.org/officeDocument/2006/relationships/ctrlProp" Target="../ctrlProps/ctrlProp48.xml"/><Relationship Id="rId12" Type="http://schemas.openxmlformats.org/officeDocument/2006/relationships/ctrlProp" Target="../ctrlProps/ctrlProp53.xml"/><Relationship Id="rId17" Type="http://schemas.openxmlformats.org/officeDocument/2006/relationships/ctrlProp" Target="../ctrlProps/ctrlProp58.xml"/><Relationship Id="rId25" Type="http://schemas.openxmlformats.org/officeDocument/2006/relationships/ctrlProp" Target="../ctrlProps/ctrlProp66.xml"/><Relationship Id="rId2" Type="http://schemas.openxmlformats.org/officeDocument/2006/relationships/drawing" Target="../drawings/drawing3.xml"/><Relationship Id="rId16" Type="http://schemas.openxmlformats.org/officeDocument/2006/relationships/ctrlProp" Target="../ctrlProps/ctrlProp57.xml"/><Relationship Id="rId20" Type="http://schemas.openxmlformats.org/officeDocument/2006/relationships/ctrlProp" Target="../ctrlProps/ctrlProp61.xml"/><Relationship Id="rId1" Type="http://schemas.openxmlformats.org/officeDocument/2006/relationships/printerSettings" Target="../printerSettings/printerSettings4.bin"/><Relationship Id="rId6" Type="http://schemas.openxmlformats.org/officeDocument/2006/relationships/ctrlProp" Target="../ctrlProps/ctrlProp47.xml"/><Relationship Id="rId11" Type="http://schemas.openxmlformats.org/officeDocument/2006/relationships/ctrlProp" Target="../ctrlProps/ctrlProp52.xml"/><Relationship Id="rId24" Type="http://schemas.openxmlformats.org/officeDocument/2006/relationships/ctrlProp" Target="../ctrlProps/ctrlProp65.xml"/><Relationship Id="rId5" Type="http://schemas.openxmlformats.org/officeDocument/2006/relationships/ctrlProp" Target="../ctrlProps/ctrlProp46.xml"/><Relationship Id="rId15" Type="http://schemas.openxmlformats.org/officeDocument/2006/relationships/ctrlProp" Target="../ctrlProps/ctrlProp56.xml"/><Relationship Id="rId23" Type="http://schemas.openxmlformats.org/officeDocument/2006/relationships/ctrlProp" Target="../ctrlProps/ctrlProp64.xml"/><Relationship Id="rId10" Type="http://schemas.openxmlformats.org/officeDocument/2006/relationships/ctrlProp" Target="../ctrlProps/ctrlProp51.xml"/><Relationship Id="rId19" Type="http://schemas.openxmlformats.org/officeDocument/2006/relationships/ctrlProp" Target="../ctrlProps/ctrlProp60.xml"/><Relationship Id="rId4" Type="http://schemas.openxmlformats.org/officeDocument/2006/relationships/ctrlProp" Target="../ctrlProps/ctrlProp45.xml"/><Relationship Id="rId9" Type="http://schemas.openxmlformats.org/officeDocument/2006/relationships/ctrlProp" Target="../ctrlProps/ctrlProp50.xml"/><Relationship Id="rId14" Type="http://schemas.openxmlformats.org/officeDocument/2006/relationships/ctrlProp" Target="../ctrlProps/ctrlProp55.xml"/><Relationship Id="rId22" Type="http://schemas.openxmlformats.org/officeDocument/2006/relationships/ctrlProp" Target="../ctrlProps/ctrlProp63.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71.xml"/><Relationship Id="rId13" Type="http://schemas.openxmlformats.org/officeDocument/2006/relationships/ctrlProp" Target="../ctrlProps/ctrlProp76.xml"/><Relationship Id="rId18" Type="http://schemas.openxmlformats.org/officeDocument/2006/relationships/ctrlProp" Target="../ctrlProps/ctrlProp81.xml"/><Relationship Id="rId26" Type="http://schemas.openxmlformats.org/officeDocument/2006/relationships/comments" Target="../comments4.xml"/><Relationship Id="rId3" Type="http://schemas.openxmlformats.org/officeDocument/2006/relationships/vmlDrawing" Target="../drawings/vmlDrawing4.vml"/><Relationship Id="rId21" Type="http://schemas.openxmlformats.org/officeDocument/2006/relationships/ctrlProp" Target="../ctrlProps/ctrlProp84.xml"/><Relationship Id="rId7" Type="http://schemas.openxmlformats.org/officeDocument/2006/relationships/ctrlProp" Target="../ctrlProps/ctrlProp70.xml"/><Relationship Id="rId12" Type="http://schemas.openxmlformats.org/officeDocument/2006/relationships/ctrlProp" Target="../ctrlProps/ctrlProp75.xml"/><Relationship Id="rId17" Type="http://schemas.openxmlformats.org/officeDocument/2006/relationships/ctrlProp" Target="../ctrlProps/ctrlProp80.xml"/><Relationship Id="rId25" Type="http://schemas.openxmlformats.org/officeDocument/2006/relationships/ctrlProp" Target="../ctrlProps/ctrlProp88.xml"/><Relationship Id="rId2" Type="http://schemas.openxmlformats.org/officeDocument/2006/relationships/drawing" Target="../drawings/drawing4.xml"/><Relationship Id="rId16" Type="http://schemas.openxmlformats.org/officeDocument/2006/relationships/ctrlProp" Target="../ctrlProps/ctrlProp79.xml"/><Relationship Id="rId20" Type="http://schemas.openxmlformats.org/officeDocument/2006/relationships/ctrlProp" Target="../ctrlProps/ctrlProp83.xml"/><Relationship Id="rId1" Type="http://schemas.openxmlformats.org/officeDocument/2006/relationships/printerSettings" Target="../printerSettings/printerSettings5.bin"/><Relationship Id="rId6" Type="http://schemas.openxmlformats.org/officeDocument/2006/relationships/ctrlProp" Target="../ctrlProps/ctrlProp69.xml"/><Relationship Id="rId11" Type="http://schemas.openxmlformats.org/officeDocument/2006/relationships/ctrlProp" Target="../ctrlProps/ctrlProp74.xml"/><Relationship Id="rId24" Type="http://schemas.openxmlformats.org/officeDocument/2006/relationships/ctrlProp" Target="../ctrlProps/ctrlProp87.xml"/><Relationship Id="rId5" Type="http://schemas.openxmlformats.org/officeDocument/2006/relationships/ctrlProp" Target="../ctrlProps/ctrlProp68.xml"/><Relationship Id="rId15" Type="http://schemas.openxmlformats.org/officeDocument/2006/relationships/ctrlProp" Target="../ctrlProps/ctrlProp78.xml"/><Relationship Id="rId23" Type="http://schemas.openxmlformats.org/officeDocument/2006/relationships/ctrlProp" Target="../ctrlProps/ctrlProp86.xml"/><Relationship Id="rId10" Type="http://schemas.openxmlformats.org/officeDocument/2006/relationships/ctrlProp" Target="../ctrlProps/ctrlProp73.xml"/><Relationship Id="rId19" Type="http://schemas.openxmlformats.org/officeDocument/2006/relationships/ctrlProp" Target="../ctrlProps/ctrlProp82.xml"/><Relationship Id="rId4" Type="http://schemas.openxmlformats.org/officeDocument/2006/relationships/ctrlProp" Target="../ctrlProps/ctrlProp67.xml"/><Relationship Id="rId9" Type="http://schemas.openxmlformats.org/officeDocument/2006/relationships/ctrlProp" Target="../ctrlProps/ctrlProp72.xml"/><Relationship Id="rId14" Type="http://schemas.openxmlformats.org/officeDocument/2006/relationships/ctrlProp" Target="../ctrlProps/ctrlProp77.xml"/><Relationship Id="rId22" Type="http://schemas.openxmlformats.org/officeDocument/2006/relationships/ctrlProp" Target="../ctrlProps/ctrlProp8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5" Type="http://schemas.openxmlformats.org/officeDocument/2006/relationships/comments" Target="../comments5.xml"/><Relationship Id="rId4" Type="http://schemas.openxmlformats.org/officeDocument/2006/relationships/ctrlProp" Target="../ctrlProps/ctrlProp8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8.bin"/><Relationship Id="rId5" Type="http://schemas.openxmlformats.org/officeDocument/2006/relationships/ctrlProp" Target="../ctrlProps/ctrlProp91.xml"/><Relationship Id="rId4" Type="http://schemas.openxmlformats.org/officeDocument/2006/relationships/ctrlProp" Target="../ctrlProps/ctrlProp90.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9.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B1:J36"/>
  <sheetViews>
    <sheetView tabSelected="1" workbookViewId="0"/>
  </sheetViews>
  <sheetFormatPr defaultRowHeight="13.2" x14ac:dyDescent="0.25"/>
  <cols>
    <col min="1" max="1" width="3.109375" customWidth="1"/>
    <col min="2" max="2" width="5.44140625" customWidth="1"/>
    <col min="3" max="3" width="10" customWidth="1"/>
    <col min="4" max="4" width="0.88671875" customWidth="1"/>
    <col min="5" max="5" width="2" customWidth="1"/>
    <col min="6" max="6" width="27.5546875" customWidth="1"/>
    <col min="7" max="7" width="4.33203125" customWidth="1"/>
    <col min="9" max="9" width="6.33203125" customWidth="1"/>
    <col min="10" max="10" width="6.88671875" customWidth="1"/>
  </cols>
  <sheetData>
    <row r="1" spans="2:10" ht="13.8" thickBot="1" x14ac:dyDescent="0.3"/>
    <row r="2" spans="2:10" x14ac:dyDescent="0.25">
      <c r="B2" s="66"/>
      <c r="C2" s="57"/>
      <c r="D2" s="57"/>
      <c r="E2" s="57"/>
      <c r="F2" s="57"/>
      <c r="G2" s="57"/>
      <c r="H2" s="57"/>
      <c r="I2" s="57"/>
      <c r="J2" s="67"/>
    </row>
    <row r="3" spans="2:10" x14ac:dyDescent="0.25">
      <c r="B3" s="43"/>
      <c r="C3" s="289" t="s">
        <v>477</v>
      </c>
      <c r="D3" s="289"/>
      <c r="E3" s="289"/>
      <c r="F3" s="289"/>
      <c r="G3" s="292"/>
      <c r="H3" s="292"/>
      <c r="I3" s="292"/>
      <c r="J3" s="161"/>
    </row>
    <row r="4" spans="2:10" x14ac:dyDescent="0.25">
      <c r="B4" s="43"/>
      <c r="C4" s="292"/>
      <c r="D4" s="292"/>
      <c r="E4" s="292"/>
      <c r="F4" s="292"/>
      <c r="G4" s="292"/>
      <c r="H4" s="292"/>
      <c r="I4" s="292"/>
      <c r="J4" s="161"/>
    </row>
    <row r="5" spans="2:10" x14ac:dyDescent="0.25">
      <c r="B5" s="43"/>
      <c r="C5" s="292"/>
      <c r="D5" s="292"/>
      <c r="E5" s="292"/>
      <c r="F5" s="292"/>
      <c r="G5" s="292"/>
      <c r="H5" s="292"/>
      <c r="I5" s="292"/>
      <c r="J5" s="161"/>
    </row>
    <row r="6" spans="2:10" x14ac:dyDescent="0.25">
      <c r="B6" s="43"/>
      <c r="C6" s="292"/>
      <c r="D6" s="292"/>
      <c r="E6" s="292"/>
      <c r="F6" s="292"/>
      <c r="G6" s="292"/>
      <c r="H6" s="292"/>
      <c r="I6" s="292"/>
      <c r="J6" s="161"/>
    </row>
    <row r="7" spans="2:10" x14ac:dyDescent="0.25">
      <c r="B7" s="43"/>
      <c r="C7" s="292"/>
      <c r="D7" s="292"/>
      <c r="E7" s="292"/>
      <c r="F7" s="292"/>
      <c r="G7" s="292"/>
      <c r="H7" s="292"/>
      <c r="I7" s="292"/>
      <c r="J7" s="161"/>
    </row>
    <row r="8" spans="2:10" x14ac:dyDescent="0.25">
      <c r="B8" s="43"/>
      <c r="C8" s="292"/>
      <c r="D8" s="292"/>
      <c r="E8" s="292"/>
      <c r="F8" s="292"/>
      <c r="G8" s="292"/>
      <c r="H8" s="292"/>
      <c r="I8" s="292"/>
      <c r="J8" s="161"/>
    </row>
    <row r="9" spans="2:10" ht="3.75" customHeight="1" x14ac:dyDescent="0.25">
      <c r="B9" s="43"/>
      <c r="C9" s="292"/>
      <c r="D9" s="292"/>
      <c r="E9" s="292"/>
      <c r="F9" s="292"/>
      <c r="G9" s="292"/>
      <c r="H9" s="292"/>
      <c r="I9" s="292"/>
      <c r="J9" s="161"/>
    </row>
    <row r="10" spans="2:10" x14ac:dyDescent="0.25">
      <c r="B10" s="43"/>
      <c r="C10" s="293" t="s">
        <v>474</v>
      </c>
      <c r="D10" s="293"/>
      <c r="E10" s="293"/>
      <c r="F10" s="293"/>
      <c r="G10" s="293"/>
      <c r="H10" s="293"/>
      <c r="I10" s="292"/>
      <c r="J10" s="161"/>
    </row>
    <row r="11" spans="2:10" x14ac:dyDescent="0.25">
      <c r="B11" s="43"/>
      <c r="C11" s="162"/>
      <c r="D11" s="162"/>
      <c r="E11" s="162"/>
      <c r="F11" s="162"/>
      <c r="G11" s="162"/>
      <c r="H11" s="162"/>
      <c r="I11" s="162"/>
      <c r="J11" s="161"/>
    </row>
    <row r="12" spans="2:10" ht="18.75" customHeight="1" x14ac:dyDescent="0.25">
      <c r="B12" s="43"/>
      <c r="C12" s="289" t="s">
        <v>475</v>
      </c>
      <c r="D12" s="289"/>
      <c r="E12" s="289"/>
      <c r="F12" s="289"/>
      <c r="G12" s="289"/>
      <c r="H12" s="289"/>
      <c r="I12" s="289"/>
      <c r="J12" s="161"/>
    </row>
    <row r="13" spans="2:10" ht="14.25" customHeight="1" x14ac:dyDescent="0.25">
      <c r="B13" s="43"/>
      <c r="C13" s="289" t="s">
        <v>476</v>
      </c>
      <c r="D13" s="289"/>
      <c r="E13" s="289"/>
      <c r="F13" s="289"/>
      <c r="G13" s="289"/>
      <c r="H13" s="289"/>
      <c r="I13" s="289"/>
      <c r="J13" s="161"/>
    </row>
    <row r="14" spans="2:10" x14ac:dyDescent="0.25">
      <c r="B14" s="43"/>
      <c r="C14" s="162" t="s">
        <v>365</v>
      </c>
      <c r="D14" s="162" t="s">
        <v>366</v>
      </c>
      <c r="E14" s="162"/>
      <c r="F14" s="162"/>
      <c r="G14" s="162"/>
      <c r="H14" s="162"/>
      <c r="I14" s="162"/>
      <c r="J14" s="161"/>
    </row>
    <row r="15" spans="2:10" x14ac:dyDescent="0.25">
      <c r="B15" s="43"/>
      <c r="C15" s="162" t="s">
        <v>367</v>
      </c>
      <c r="D15" s="162" t="s">
        <v>369</v>
      </c>
      <c r="E15" s="162"/>
      <c r="F15" s="162"/>
      <c r="G15" s="162"/>
      <c r="H15" s="162"/>
      <c r="I15" s="162"/>
      <c r="J15" s="161"/>
    </row>
    <row r="16" spans="2:10" x14ac:dyDescent="0.25">
      <c r="B16" s="43"/>
      <c r="C16" s="162" t="s">
        <v>367</v>
      </c>
      <c r="D16" s="162" t="s">
        <v>370</v>
      </c>
      <c r="E16" s="162"/>
      <c r="F16" s="162"/>
      <c r="G16" s="162"/>
      <c r="H16" s="162"/>
      <c r="I16" s="162"/>
      <c r="J16" s="161"/>
    </row>
    <row r="17" spans="2:10" x14ac:dyDescent="0.25">
      <c r="B17" s="43"/>
      <c r="C17" s="162" t="s">
        <v>368</v>
      </c>
      <c r="D17" s="162" t="s">
        <v>371</v>
      </c>
      <c r="E17" s="162"/>
      <c r="F17" s="162"/>
      <c r="G17" s="162"/>
      <c r="H17" s="162"/>
      <c r="I17" s="162"/>
      <c r="J17" s="161"/>
    </row>
    <row r="18" spans="2:10" x14ac:dyDescent="0.25">
      <c r="B18" s="43"/>
      <c r="C18" s="162" t="s">
        <v>328</v>
      </c>
      <c r="D18" s="162" t="s">
        <v>441</v>
      </c>
      <c r="E18" s="162"/>
      <c r="F18" s="162"/>
      <c r="G18" s="162"/>
      <c r="H18" s="162"/>
      <c r="I18" s="162"/>
      <c r="J18" s="161"/>
    </row>
    <row r="19" spans="2:10" x14ac:dyDescent="0.25">
      <c r="B19" s="43"/>
      <c r="C19" s="162" t="s">
        <v>372</v>
      </c>
      <c r="D19" s="289" t="s">
        <v>379</v>
      </c>
      <c r="E19" s="290"/>
      <c r="F19" s="290"/>
      <c r="G19" s="290"/>
      <c r="H19" s="290"/>
      <c r="I19" s="290"/>
      <c r="J19" s="291"/>
    </row>
    <row r="20" spans="2:10" x14ac:dyDescent="0.25">
      <c r="B20" s="43"/>
      <c r="C20" s="162"/>
      <c r="D20" s="289"/>
      <c r="E20" s="290"/>
      <c r="F20" s="290"/>
      <c r="G20" s="290"/>
      <c r="H20" s="290"/>
      <c r="I20" s="290"/>
      <c r="J20" s="291"/>
    </row>
    <row r="21" spans="2:10" x14ac:dyDescent="0.25">
      <c r="B21" s="43"/>
      <c r="C21" s="162" t="s">
        <v>373</v>
      </c>
      <c r="D21" s="163" t="s">
        <v>374</v>
      </c>
      <c r="E21" s="162"/>
      <c r="F21" s="162"/>
      <c r="G21" s="162"/>
      <c r="H21" s="162"/>
      <c r="I21" s="162"/>
      <c r="J21" s="161"/>
    </row>
    <row r="22" spans="2:10" x14ac:dyDescent="0.25">
      <c r="B22" s="43"/>
      <c r="C22" s="162" t="s">
        <v>9</v>
      </c>
      <c r="D22" s="163" t="s">
        <v>375</v>
      </c>
      <c r="E22" s="162"/>
      <c r="F22" s="162"/>
      <c r="G22" s="162"/>
      <c r="H22" s="162"/>
      <c r="I22" s="162"/>
      <c r="J22" s="161"/>
    </row>
    <row r="23" spans="2:10" x14ac:dyDescent="0.25">
      <c r="B23" s="43"/>
      <c r="C23" s="162" t="s">
        <v>376</v>
      </c>
      <c r="D23" s="163" t="s">
        <v>377</v>
      </c>
      <c r="E23" s="162"/>
      <c r="F23" s="162"/>
      <c r="G23" s="162"/>
      <c r="H23" s="162"/>
      <c r="I23" s="162"/>
      <c r="J23" s="161"/>
    </row>
    <row r="24" spans="2:10" x14ac:dyDescent="0.25">
      <c r="B24" s="43"/>
      <c r="C24" s="162" t="s">
        <v>9</v>
      </c>
      <c r="D24" s="163" t="s">
        <v>375</v>
      </c>
      <c r="E24" s="162"/>
      <c r="F24" s="162"/>
      <c r="G24" s="162"/>
      <c r="H24" s="162"/>
      <c r="I24" s="162"/>
      <c r="J24" s="161"/>
    </row>
    <row r="25" spans="2:10" x14ac:dyDescent="0.25">
      <c r="B25" s="43"/>
      <c r="C25" s="162" t="s">
        <v>378</v>
      </c>
      <c r="D25" s="163" t="s">
        <v>435</v>
      </c>
      <c r="E25" s="162"/>
      <c r="F25" s="162"/>
      <c r="G25" s="162"/>
      <c r="H25" s="162"/>
      <c r="I25" s="162"/>
      <c r="J25" s="161"/>
    </row>
    <row r="26" spans="2:10" x14ac:dyDescent="0.25">
      <c r="B26" s="43"/>
      <c r="C26" s="162"/>
      <c r="D26" s="163"/>
      <c r="E26" s="162"/>
      <c r="F26" s="162"/>
      <c r="G26" s="162"/>
      <c r="H26" s="162"/>
      <c r="I26" s="162"/>
      <c r="J26" s="161"/>
    </row>
    <row r="27" spans="2:10" x14ac:dyDescent="0.25">
      <c r="B27" s="43"/>
      <c r="C27" s="162"/>
      <c r="D27" s="162"/>
      <c r="E27" s="162"/>
      <c r="F27" s="169" t="s">
        <v>442</v>
      </c>
      <c r="G27" s="162"/>
      <c r="H27" s="162"/>
      <c r="I27" s="167" t="s">
        <v>364</v>
      </c>
      <c r="J27" s="168" t="s">
        <v>466</v>
      </c>
    </row>
    <row r="28" spans="2:10" ht="13.8" thickBot="1" x14ac:dyDescent="0.3">
      <c r="B28" s="164"/>
      <c r="C28" s="165"/>
      <c r="D28" s="165"/>
      <c r="E28" s="165"/>
      <c r="F28" s="170" t="s">
        <v>380</v>
      </c>
      <c r="G28" s="165"/>
      <c r="H28" s="165"/>
      <c r="I28" s="165"/>
      <c r="J28" s="166"/>
    </row>
    <row r="35" spans="2:3" x14ac:dyDescent="0.25">
      <c r="B35" s="45"/>
      <c r="C35" s="288"/>
    </row>
    <row r="36" spans="2:3" x14ac:dyDescent="0.25">
      <c r="B36" s="45"/>
    </row>
  </sheetData>
  <sheetProtection sheet="1" objects="1" scenarios="1"/>
  <mergeCells count="5">
    <mergeCell ref="D19:J20"/>
    <mergeCell ref="C3:I9"/>
    <mergeCell ref="C12:I12"/>
    <mergeCell ref="C13:I13"/>
    <mergeCell ref="C10:I10"/>
  </mergeCells>
  <phoneticPr fontId="0" type="noConversion"/>
  <hyperlinks>
    <hyperlink ref="F28" r:id="rId1"/>
    <hyperlink ref="C10:H10" r:id="rId2" display="http://www.greenhouse.gov.au/challenge/tools/spreadsheet/index.html"/>
  </hyperlinks>
  <pageMargins left="0.75" right="0.75" top="1" bottom="1" header="0.5" footer="0.5"/>
  <pageSetup paperSize="9" orientation="portrait" verticalDpi="0" r:id="rId3"/>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24"/>
  <sheetViews>
    <sheetView workbookViewId="0"/>
  </sheetViews>
  <sheetFormatPr defaultRowHeight="13.2" x14ac:dyDescent="0.25"/>
  <cols>
    <col min="4" max="4" width="13.6640625" customWidth="1"/>
  </cols>
  <sheetData>
    <row r="1" spans="1:2" x14ac:dyDescent="0.25">
      <c r="A1" s="1" t="s">
        <v>80</v>
      </c>
    </row>
    <row r="2" spans="1:2" x14ac:dyDescent="0.25">
      <c r="A2" t="s">
        <v>37</v>
      </c>
      <c r="B2" s="44" t="s">
        <v>140</v>
      </c>
    </row>
    <row r="3" spans="1:2" x14ac:dyDescent="0.25">
      <c r="A3">
        <v>1</v>
      </c>
      <c r="B3" t="s">
        <v>402</v>
      </c>
    </row>
    <row r="4" spans="1:2" x14ac:dyDescent="0.25">
      <c r="A4">
        <v>2</v>
      </c>
      <c r="B4" t="s">
        <v>401</v>
      </c>
    </row>
    <row r="5" spans="1:2" x14ac:dyDescent="0.25">
      <c r="A5">
        <v>3</v>
      </c>
      <c r="B5" s="45" t="s">
        <v>85</v>
      </c>
    </row>
    <row r="6" spans="1:2" x14ac:dyDescent="0.25">
      <c r="A6">
        <v>4</v>
      </c>
      <c r="B6" t="s">
        <v>403</v>
      </c>
    </row>
    <row r="7" spans="1:2" x14ac:dyDescent="0.25">
      <c r="A7">
        <v>5</v>
      </c>
      <c r="B7" t="s">
        <v>110</v>
      </c>
    </row>
    <row r="8" spans="1:2" x14ac:dyDescent="0.25">
      <c r="A8">
        <v>6</v>
      </c>
      <c r="B8" t="s">
        <v>141</v>
      </c>
    </row>
    <row r="9" spans="1:2" x14ac:dyDescent="0.25">
      <c r="A9">
        <v>7</v>
      </c>
      <c r="B9" t="s">
        <v>303</v>
      </c>
    </row>
    <row r="10" spans="1:2" x14ac:dyDescent="0.25">
      <c r="A10">
        <v>8</v>
      </c>
      <c r="B10" t="s">
        <v>304</v>
      </c>
    </row>
    <row r="11" spans="1:2" x14ac:dyDescent="0.25">
      <c r="A11">
        <v>9</v>
      </c>
      <c r="B11" t="s">
        <v>305</v>
      </c>
    </row>
    <row r="12" spans="1:2" x14ac:dyDescent="0.25">
      <c r="A12">
        <v>10</v>
      </c>
      <c r="B12" t="s">
        <v>306</v>
      </c>
    </row>
    <row r="20" spans="3:5" x14ac:dyDescent="0.25">
      <c r="C20" s="1" t="s">
        <v>468</v>
      </c>
    </row>
    <row r="21" spans="3:5" x14ac:dyDescent="0.25">
      <c r="C21" s="45">
        <v>1.03</v>
      </c>
      <c r="D21" s="288">
        <v>37797</v>
      </c>
      <c r="E21" t="s">
        <v>469</v>
      </c>
    </row>
    <row r="22" spans="3:5" x14ac:dyDescent="0.25">
      <c r="E22" t="s">
        <v>470</v>
      </c>
    </row>
    <row r="23" spans="3:5" x14ac:dyDescent="0.25">
      <c r="E23" t="s">
        <v>472</v>
      </c>
    </row>
    <row r="24" spans="3:5" x14ac:dyDescent="0.25">
      <c r="E24" t="s">
        <v>471</v>
      </c>
    </row>
  </sheetData>
  <sheetProtection sheet="1" objects="1" scenarios="1"/>
  <phoneticPr fontId="0" type="noConversion"/>
  <pageMargins left="0.75" right="0.75" top="1" bottom="1" header="0.5" footer="0.5"/>
  <pageSetup paperSize="9" orientation="portrait" verticalDpi="0" r:id="rId1"/>
  <headerFooter alignWithMargins="0"/>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M46"/>
  <sheetViews>
    <sheetView workbookViewId="0">
      <selection activeCell="B18" sqref="B18"/>
    </sheetView>
  </sheetViews>
  <sheetFormatPr defaultColWidth="9.109375" defaultRowHeight="13.2" x14ac:dyDescent="0.25"/>
  <cols>
    <col min="1" max="1" width="9.109375" style="70"/>
    <col min="2" max="2" width="20.88671875" style="70" bestFit="1" customWidth="1"/>
    <col min="3" max="3" width="11.109375" style="70" customWidth="1"/>
    <col min="4" max="6" width="9.109375" style="70"/>
    <col min="7" max="7" width="42.44140625" style="70" customWidth="1"/>
    <col min="8" max="8" width="13.5546875" style="70" bestFit="1" customWidth="1"/>
    <col min="9" max="9" width="28" style="70" bestFit="1" customWidth="1"/>
    <col min="10" max="10" width="9.109375" style="70"/>
    <col min="11" max="11" width="14.5546875" style="70" bestFit="1" customWidth="1"/>
    <col min="12" max="12" width="24.5546875" style="70" bestFit="1" customWidth="1"/>
    <col min="13" max="13" width="36.6640625" style="70" bestFit="1" customWidth="1"/>
    <col min="14" max="16384" width="9.109375" style="70"/>
  </cols>
  <sheetData>
    <row r="1" spans="1:13" x14ac:dyDescent="0.25">
      <c r="A1" s="68" t="s">
        <v>16</v>
      </c>
      <c r="B1" s="69"/>
      <c r="C1" s="69"/>
      <c r="F1" s="70" t="s">
        <v>334</v>
      </c>
    </row>
    <row r="2" spans="1:13" x14ac:dyDescent="0.25">
      <c r="C2" s="69" t="s">
        <v>13</v>
      </c>
      <c r="F2" s="98" t="s">
        <v>315</v>
      </c>
      <c r="G2" s="98"/>
      <c r="H2" s="98" t="s">
        <v>322</v>
      </c>
      <c r="I2" s="98" t="s">
        <v>323</v>
      </c>
      <c r="J2" s="98" t="s">
        <v>320</v>
      </c>
      <c r="K2" s="98" t="s">
        <v>318</v>
      </c>
      <c r="L2" s="98" t="s">
        <v>319</v>
      </c>
      <c r="M2" s="227" t="s">
        <v>414</v>
      </c>
    </row>
    <row r="3" spans="1:13" ht="13.8" x14ac:dyDescent="0.3">
      <c r="A3" s="70">
        <v>1</v>
      </c>
      <c r="B3" s="70" t="s">
        <v>455</v>
      </c>
      <c r="C3" s="70">
        <v>277.77777800000001</v>
      </c>
      <c r="F3" s="94">
        <v>1</v>
      </c>
      <c r="G3" s="94" t="s">
        <v>440</v>
      </c>
      <c r="H3" s="94" t="s">
        <v>316</v>
      </c>
      <c r="I3" s="94">
        <v>1000</v>
      </c>
      <c r="J3" s="94" t="s">
        <v>386</v>
      </c>
      <c r="K3" s="94" t="s">
        <v>387</v>
      </c>
      <c r="L3" s="94">
        <v>1</v>
      </c>
      <c r="M3" s="272" t="s">
        <v>432</v>
      </c>
    </row>
    <row r="4" spans="1:13" x14ac:dyDescent="0.25">
      <c r="A4" s="70">
        <v>2</v>
      </c>
      <c r="B4" s="70" t="s">
        <v>458</v>
      </c>
      <c r="C4" s="70">
        <v>1000000</v>
      </c>
      <c r="F4" s="94">
        <v>2</v>
      </c>
      <c r="G4" s="108" t="s">
        <v>422</v>
      </c>
      <c r="H4" s="108" t="s">
        <v>316</v>
      </c>
      <c r="I4" s="108">
        <v>1000</v>
      </c>
      <c r="J4" s="108" t="s">
        <v>14</v>
      </c>
      <c r="K4" s="108" t="s">
        <v>14</v>
      </c>
      <c r="L4" s="108">
        <v>1</v>
      </c>
    </row>
    <row r="5" spans="1:13" x14ac:dyDescent="0.25">
      <c r="A5" s="70">
        <v>3</v>
      </c>
      <c r="B5" s="70" t="s">
        <v>459</v>
      </c>
      <c r="C5" s="70">
        <v>1</v>
      </c>
      <c r="F5" s="94">
        <v>3</v>
      </c>
      <c r="G5" s="108" t="s">
        <v>421</v>
      </c>
      <c r="H5" s="108" t="s">
        <v>316</v>
      </c>
      <c r="I5" s="108">
        <v>1000</v>
      </c>
      <c r="J5" s="108" t="s">
        <v>14</v>
      </c>
      <c r="K5" s="108" t="s">
        <v>14</v>
      </c>
      <c r="L5" s="108">
        <v>1</v>
      </c>
    </row>
    <row r="6" spans="1:13" x14ac:dyDescent="0.25">
      <c r="A6" s="70">
        <v>4</v>
      </c>
      <c r="B6" s="70" t="s">
        <v>454</v>
      </c>
      <c r="C6" s="70">
        <v>0.27777780000000002</v>
      </c>
      <c r="F6" s="94">
        <v>4</v>
      </c>
      <c r="G6" s="94" t="s">
        <v>427</v>
      </c>
      <c r="H6" s="94" t="s">
        <v>316</v>
      </c>
      <c r="I6" s="94">
        <v>1000</v>
      </c>
      <c r="J6" s="94" t="s">
        <v>22</v>
      </c>
      <c r="K6" s="94" t="s">
        <v>22</v>
      </c>
      <c r="L6" s="108">
        <v>1</v>
      </c>
    </row>
    <row r="7" spans="1:13" x14ac:dyDescent="0.25">
      <c r="A7" s="70">
        <v>5</v>
      </c>
      <c r="B7" s="70" t="s">
        <v>461</v>
      </c>
      <c r="C7" s="70">
        <v>1000</v>
      </c>
      <c r="F7" s="94">
        <v>5</v>
      </c>
      <c r="G7" s="94" t="s">
        <v>385</v>
      </c>
      <c r="H7" s="94" t="s">
        <v>316</v>
      </c>
      <c r="I7" s="94">
        <v>1000</v>
      </c>
      <c r="J7" s="94" t="s">
        <v>382</v>
      </c>
      <c r="K7" s="94" t="s">
        <v>388</v>
      </c>
      <c r="L7" s="94">
        <v>1E-3</v>
      </c>
    </row>
    <row r="8" spans="1:13" x14ac:dyDescent="0.25">
      <c r="A8" s="70">
        <v>6</v>
      </c>
      <c r="B8" s="70" t="s">
        <v>462</v>
      </c>
      <c r="C8" s="70">
        <v>1E-3</v>
      </c>
      <c r="F8" s="94">
        <v>6</v>
      </c>
      <c r="G8" s="94" t="s">
        <v>383</v>
      </c>
      <c r="H8" s="94" t="s">
        <v>316</v>
      </c>
      <c r="I8" s="94">
        <v>1000</v>
      </c>
      <c r="J8" s="94" t="s">
        <v>325</v>
      </c>
      <c r="K8" s="94" t="s">
        <v>324</v>
      </c>
      <c r="L8" s="94">
        <v>0.01</v>
      </c>
    </row>
    <row r="9" spans="1:13" x14ac:dyDescent="0.25">
      <c r="F9" s="94">
        <v>7</v>
      </c>
      <c r="G9" s="94" t="s">
        <v>384</v>
      </c>
      <c r="H9" s="94" t="s">
        <v>316</v>
      </c>
      <c r="I9" s="94">
        <v>1000</v>
      </c>
      <c r="J9" s="94" t="s">
        <v>332</v>
      </c>
      <c r="K9" s="94" t="s">
        <v>333</v>
      </c>
      <c r="L9" s="94">
        <v>1</v>
      </c>
    </row>
    <row r="10" spans="1:13" ht="13.8" x14ac:dyDescent="0.3">
      <c r="C10" s="69" t="s">
        <v>22</v>
      </c>
      <c r="F10" s="94">
        <v>8</v>
      </c>
      <c r="G10" s="108" t="s">
        <v>431</v>
      </c>
      <c r="H10" s="108" t="s">
        <v>316</v>
      </c>
      <c r="I10" s="108">
        <v>1000</v>
      </c>
      <c r="J10" s="108" t="s">
        <v>362</v>
      </c>
      <c r="K10" s="108" t="s">
        <v>362</v>
      </c>
      <c r="L10" s="108">
        <v>1</v>
      </c>
      <c r="M10" s="273"/>
    </row>
    <row r="11" spans="1:13" x14ac:dyDescent="0.25">
      <c r="A11" s="70">
        <v>1</v>
      </c>
      <c r="B11" s="70" t="s">
        <v>452</v>
      </c>
      <c r="C11" s="70">
        <v>1.0000000000000001E-9</v>
      </c>
      <c r="F11" s="94">
        <v>9</v>
      </c>
      <c r="G11" s="94" t="s">
        <v>415</v>
      </c>
      <c r="H11" s="108" t="s">
        <v>316</v>
      </c>
      <c r="I11" s="108">
        <v>1000</v>
      </c>
      <c r="J11" s="108" t="s">
        <v>417</v>
      </c>
      <c r="K11" s="108" t="s">
        <v>416</v>
      </c>
      <c r="L11" s="108">
        <v>1</v>
      </c>
    </row>
    <row r="12" spans="1:13" ht="13.8" x14ac:dyDescent="0.3">
      <c r="A12" s="70">
        <v>2</v>
      </c>
      <c r="B12" s="70" t="s">
        <v>453</v>
      </c>
      <c r="C12" s="70">
        <v>9.9999999999999995E-7</v>
      </c>
      <c r="F12" s="94">
        <v>10</v>
      </c>
      <c r="G12" s="94" t="s">
        <v>436</v>
      </c>
      <c r="H12" s="94" t="s">
        <v>316</v>
      </c>
      <c r="I12" s="94">
        <v>1000</v>
      </c>
      <c r="J12" s="94" t="s">
        <v>428</v>
      </c>
      <c r="K12" s="94" t="s">
        <v>429</v>
      </c>
      <c r="L12" s="108">
        <v>1</v>
      </c>
      <c r="M12" s="276" t="s">
        <v>430</v>
      </c>
    </row>
    <row r="13" spans="1:13" x14ac:dyDescent="0.25">
      <c r="A13" s="70">
        <v>3</v>
      </c>
      <c r="B13" s="70" t="s">
        <v>454</v>
      </c>
      <c r="C13" s="70">
        <v>1E-3</v>
      </c>
      <c r="F13" s="94">
        <v>11</v>
      </c>
      <c r="G13" s="94" t="s">
        <v>419</v>
      </c>
      <c r="H13" s="271" t="s">
        <v>316</v>
      </c>
      <c r="I13" s="271">
        <v>1000</v>
      </c>
      <c r="J13" s="271" t="s">
        <v>418</v>
      </c>
      <c r="K13" s="271" t="s">
        <v>420</v>
      </c>
      <c r="L13" s="271">
        <v>1</v>
      </c>
    </row>
    <row r="14" spans="1:13" x14ac:dyDescent="0.25">
      <c r="A14" s="70">
        <v>4</v>
      </c>
      <c r="B14" s="70" t="s">
        <v>455</v>
      </c>
      <c r="C14" s="70">
        <v>1</v>
      </c>
      <c r="F14" s="94">
        <v>12</v>
      </c>
      <c r="G14" s="271" t="s">
        <v>329</v>
      </c>
      <c r="H14" s="271" t="s">
        <v>316</v>
      </c>
      <c r="I14" s="271">
        <v>1000</v>
      </c>
      <c r="J14" s="271" t="s">
        <v>321</v>
      </c>
      <c r="K14" s="271" t="s">
        <v>317</v>
      </c>
      <c r="L14" s="271">
        <v>0.01</v>
      </c>
    </row>
    <row r="15" spans="1:13" x14ac:dyDescent="0.25">
      <c r="A15" s="70">
        <v>5</v>
      </c>
      <c r="B15" s="70" t="s">
        <v>456</v>
      </c>
      <c r="C15" s="70">
        <v>1000</v>
      </c>
      <c r="F15" s="94">
        <v>13</v>
      </c>
      <c r="G15" s="271" t="s">
        <v>438</v>
      </c>
      <c r="H15" s="271" t="s">
        <v>316</v>
      </c>
      <c r="I15" s="271">
        <v>1000</v>
      </c>
      <c r="J15" s="271" t="s">
        <v>437</v>
      </c>
      <c r="K15" s="271" t="s">
        <v>439</v>
      </c>
      <c r="L15" s="271">
        <v>1</v>
      </c>
      <c r="M15" s="275" t="s">
        <v>434</v>
      </c>
    </row>
    <row r="16" spans="1:13" x14ac:dyDescent="0.25">
      <c r="A16" s="70">
        <v>6</v>
      </c>
      <c r="B16" s="70" t="s">
        <v>457</v>
      </c>
      <c r="C16" s="70">
        <v>1000000</v>
      </c>
      <c r="F16" s="94">
        <v>14</v>
      </c>
      <c r="G16" s="271" t="s">
        <v>425</v>
      </c>
      <c r="H16" s="271" t="s">
        <v>316</v>
      </c>
      <c r="I16" s="271">
        <v>1000</v>
      </c>
      <c r="J16" s="271" t="s">
        <v>426</v>
      </c>
      <c r="K16" s="271" t="s">
        <v>17</v>
      </c>
      <c r="L16" s="271">
        <v>1</v>
      </c>
      <c r="M16" s="274" t="s">
        <v>433</v>
      </c>
    </row>
    <row r="17" spans="1:6" x14ac:dyDescent="0.25">
      <c r="F17" s="94">
        <v>15</v>
      </c>
    </row>
    <row r="18" spans="1:6" x14ac:dyDescent="0.25">
      <c r="C18" s="69" t="s">
        <v>19</v>
      </c>
      <c r="F18" s="94">
        <v>16</v>
      </c>
    </row>
    <row r="19" spans="1:6" x14ac:dyDescent="0.25">
      <c r="A19" s="70">
        <v>1</v>
      </c>
      <c r="B19" s="70" t="s">
        <v>448</v>
      </c>
      <c r="C19" s="70">
        <v>1E-3</v>
      </c>
      <c r="F19" s="94">
        <v>17</v>
      </c>
    </row>
    <row r="20" spans="1:6" x14ac:dyDescent="0.25">
      <c r="A20" s="70">
        <v>2</v>
      </c>
      <c r="B20" s="70" t="s">
        <v>449</v>
      </c>
      <c r="C20" s="70">
        <v>0.1</v>
      </c>
      <c r="F20" s="94">
        <v>18</v>
      </c>
    </row>
    <row r="21" spans="1:6" x14ac:dyDescent="0.25">
      <c r="A21" s="70">
        <v>3</v>
      </c>
      <c r="B21" s="70" t="s">
        <v>467</v>
      </c>
      <c r="C21" s="70">
        <v>1</v>
      </c>
      <c r="F21" s="94">
        <v>19</v>
      </c>
    </row>
    <row r="22" spans="1:6" ht="15.6" x14ac:dyDescent="0.25">
      <c r="A22" s="70">
        <v>4</v>
      </c>
      <c r="B22" s="70" t="s">
        <v>451</v>
      </c>
      <c r="C22" s="70">
        <v>1</v>
      </c>
      <c r="F22" s="94">
        <v>20</v>
      </c>
    </row>
    <row r="23" spans="1:6" x14ac:dyDescent="0.25">
      <c r="A23" s="70">
        <v>5</v>
      </c>
      <c r="B23" s="70" t="s">
        <v>450</v>
      </c>
      <c r="C23" s="70">
        <v>1000</v>
      </c>
      <c r="F23" s="94">
        <v>21</v>
      </c>
    </row>
    <row r="24" spans="1:6" x14ac:dyDescent="0.25">
      <c r="F24" s="94">
        <v>22</v>
      </c>
    </row>
    <row r="25" spans="1:6" x14ac:dyDescent="0.25">
      <c r="C25" s="69" t="s">
        <v>20</v>
      </c>
      <c r="F25" s="94">
        <v>23</v>
      </c>
    </row>
    <row r="26" spans="1:6" x14ac:dyDescent="0.25">
      <c r="A26" s="70">
        <v>1</v>
      </c>
      <c r="B26" s="70" t="s">
        <v>443</v>
      </c>
      <c r="C26" s="70">
        <f>0.000001</f>
        <v>9.9999999999999995E-7</v>
      </c>
      <c r="F26" s="94">
        <v>24</v>
      </c>
    </row>
    <row r="27" spans="1:6" x14ac:dyDescent="0.25">
      <c r="A27" s="70">
        <v>2</v>
      </c>
      <c r="B27" s="70" t="s">
        <v>444</v>
      </c>
      <c r="C27" s="70">
        <v>1E-3</v>
      </c>
      <c r="F27" s="94">
        <v>25</v>
      </c>
    </row>
    <row r="28" spans="1:6" x14ac:dyDescent="0.25">
      <c r="A28" s="70">
        <v>3</v>
      </c>
      <c r="B28" s="70" t="s">
        <v>445</v>
      </c>
      <c r="C28" s="70">
        <v>1</v>
      </c>
    </row>
    <row r="29" spans="1:6" x14ac:dyDescent="0.25">
      <c r="A29" s="70">
        <v>4</v>
      </c>
      <c r="B29" s="70" t="s">
        <v>446</v>
      </c>
      <c r="C29" s="70">
        <v>1000</v>
      </c>
    </row>
    <row r="30" spans="1:6" x14ac:dyDescent="0.25">
      <c r="A30" s="70">
        <v>5</v>
      </c>
      <c r="B30" s="70" t="s">
        <v>447</v>
      </c>
      <c r="C30" s="70">
        <v>1000000</v>
      </c>
    </row>
    <row r="33" spans="1:4" x14ac:dyDescent="0.25">
      <c r="A33" s="69" t="s">
        <v>361</v>
      </c>
      <c r="B33" s="69"/>
      <c r="C33" s="69" t="s">
        <v>362</v>
      </c>
    </row>
    <row r="34" spans="1:4" x14ac:dyDescent="0.25">
      <c r="A34" s="70">
        <v>1</v>
      </c>
      <c r="B34" s="70" t="s">
        <v>460</v>
      </c>
      <c r="C34" s="70">
        <f>C35/1000</f>
        <v>2.5316455696202531E-2</v>
      </c>
    </row>
    <row r="35" spans="1:4" x14ac:dyDescent="0.25">
      <c r="A35" s="70">
        <v>2</v>
      </c>
      <c r="B35" s="70" t="s">
        <v>463</v>
      </c>
      <c r="C35" s="70">
        <f>1/39.5*1000</f>
        <v>25.316455696202532</v>
      </c>
    </row>
    <row r="36" spans="1:4" ht="15.6" x14ac:dyDescent="0.25">
      <c r="A36" s="70">
        <v>3</v>
      </c>
      <c r="B36" s="70" t="s">
        <v>451</v>
      </c>
      <c r="C36" s="70">
        <v>1</v>
      </c>
    </row>
    <row r="39" spans="1:4" x14ac:dyDescent="0.25">
      <c r="A39" s="70" t="s">
        <v>381</v>
      </c>
      <c r="C39" s="69" t="s">
        <v>22</v>
      </c>
    </row>
    <row r="40" spans="1:4" x14ac:dyDescent="0.25">
      <c r="A40" s="70">
        <v>1</v>
      </c>
      <c r="B40" s="70" t="s">
        <v>452</v>
      </c>
      <c r="C40" s="70">
        <v>1.0000000000000001E-9</v>
      </c>
    </row>
    <row r="41" spans="1:4" x14ac:dyDescent="0.25">
      <c r="A41" s="70">
        <v>2</v>
      </c>
      <c r="B41" s="70" t="s">
        <v>453</v>
      </c>
      <c r="C41" s="70">
        <v>9.9999999999999995E-7</v>
      </c>
    </row>
    <row r="42" spans="1:4" x14ac:dyDescent="0.25">
      <c r="A42" s="70">
        <v>3</v>
      </c>
      <c r="B42" s="70" t="s">
        <v>454</v>
      </c>
      <c r="C42" s="70">
        <v>1E-3</v>
      </c>
    </row>
    <row r="43" spans="1:4" x14ac:dyDescent="0.25">
      <c r="A43" s="70">
        <v>4</v>
      </c>
      <c r="B43" s="70" t="s">
        <v>455</v>
      </c>
      <c r="C43" s="70">
        <v>1</v>
      </c>
    </row>
    <row r="44" spans="1:4" x14ac:dyDescent="0.25">
      <c r="A44" s="70">
        <v>5</v>
      </c>
      <c r="B44" s="70" t="s">
        <v>465</v>
      </c>
      <c r="C44" s="70">
        <v>1000</v>
      </c>
    </row>
    <row r="45" spans="1:4" x14ac:dyDescent="0.25">
      <c r="A45" s="70">
        <v>6</v>
      </c>
      <c r="B45" s="70" t="s">
        <v>464</v>
      </c>
      <c r="C45" s="70">
        <v>1000000</v>
      </c>
    </row>
    <row r="46" spans="1:4" ht="15.6" x14ac:dyDescent="0.25">
      <c r="A46" s="70">
        <v>7</v>
      </c>
      <c r="B46" s="70" t="s">
        <v>451</v>
      </c>
      <c r="C46" s="70">
        <f>39.5/1000</f>
        <v>3.95E-2</v>
      </c>
      <c r="D46" s="70" t="s">
        <v>473</v>
      </c>
    </row>
  </sheetData>
  <sheetProtection sheet="1" objects="1" scenarios="1"/>
  <dataConsolidate/>
  <phoneticPr fontId="0" type="noConversion"/>
  <pageMargins left="0.75" right="0.75" top="1" bottom="1" header="0.5" footer="0.5"/>
  <pageSetup paperSize="9" orientation="portrait" verticalDpi="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45"/>
  <sheetViews>
    <sheetView workbookViewId="0">
      <selection activeCell="C8" sqref="C8"/>
    </sheetView>
  </sheetViews>
  <sheetFormatPr defaultColWidth="9.109375" defaultRowHeight="13.2" outlineLevelCol="1" x14ac:dyDescent="0.25"/>
  <cols>
    <col min="1" max="1" width="1" style="93" customWidth="1"/>
    <col min="2" max="2" width="26" customWidth="1"/>
    <col min="3" max="3" width="18" bestFit="1" customWidth="1"/>
    <col min="4" max="4" width="18.109375" customWidth="1"/>
    <col min="5" max="5" width="13.88671875" customWidth="1"/>
    <col min="6" max="6" width="7.44140625" customWidth="1"/>
    <col min="7" max="7" width="11.44140625" customWidth="1"/>
    <col min="8" max="8" width="13.5546875" customWidth="1"/>
    <col min="9" max="9" width="10.88671875" customWidth="1"/>
    <col min="10" max="10" width="16.33203125" customWidth="1"/>
    <col min="11" max="11" width="9.109375" style="141" hidden="1" customWidth="1" outlineLevel="1"/>
    <col min="12" max="12" width="9.109375" style="93" collapsed="1"/>
    <col min="13" max="16384" width="9.109375" style="93"/>
  </cols>
  <sheetData>
    <row r="1" spans="1:12" s="6" customFormat="1" ht="6" customHeight="1" x14ac:dyDescent="0.25">
      <c r="A1" s="92"/>
      <c r="B1" s="55"/>
      <c r="C1" s="55"/>
      <c r="D1" s="55"/>
      <c r="E1" s="55"/>
      <c r="F1" s="55"/>
      <c r="G1" s="55"/>
      <c r="H1" s="55"/>
      <c r="I1" s="55"/>
      <c r="J1" s="55"/>
      <c r="K1" s="102"/>
    </row>
    <row r="2" spans="1:12" s="6" customFormat="1" ht="15.6" x14ac:dyDescent="0.3">
      <c r="A2" s="92"/>
      <c r="B2" s="86" t="s">
        <v>30</v>
      </c>
      <c r="C2" s="55" t="s">
        <v>311</v>
      </c>
      <c r="D2" s="294" t="s">
        <v>336</v>
      </c>
      <c r="E2" s="295"/>
      <c r="F2" s="296"/>
      <c r="G2" s="297"/>
      <c r="H2" s="55"/>
      <c r="I2" s="55"/>
      <c r="J2" s="55"/>
      <c r="K2" s="102"/>
    </row>
    <row r="3" spans="1:12" s="6" customFormat="1" ht="4.5" customHeight="1" x14ac:dyDescent="0.3">
      <c r="A3" s="92"/>
      <c r="B3" s="86"/>
      <c r="C3" s="55"/>
      <c r="D3" s="89"/>
      <c r="E3" s="90"/>
      <c r="F3" s="90"/>
      <c r="G3" s="90"/>
      <c r="H3" s="55"/>
      <c r="I3" s="55"/>
      <c r="J3" s="55"/>
      <c r="K3" s="102"/>
    </row>
    <row r="4" spans="1:12" s="6" customFormat="1" ht="15.9" customHeight="1" x14ac:dyDescent="0.25">
      <c r="A4" s="92"/>
      <c r="B4" s="55"/>
      <c r="C4" s="87" t="s">
        <v>81</v>
      </c>
      <c r="D4" s="88">
        <v>1</v>
      </c>
      <c r="E4" s="55"/>
      <c r="F4" s="55"/>
      <c r="G4" s="55"/>
      <c r="H4" s="55"/>
      <c r="I4" s="55"/>
      <c r="J4" s="55"/>
      <c r="K4" s="102"/>
    </row>
    <row r="5" spans="1:12" ht="4.5" customHeight="1" thickBot="1" x14ac:dyDescent="0.3">
      <c r="A5" s="91"/>
      <c r="B5" s="55"/>
      <c r="C5" s="87"/>
      <c r="D5" s="88"/>
      <c r="E5" s="55"/>
      <c r="F5" s="55"/>
      <c r="G5" s="55"/>
      <c r="H5" s="55"/>
      <c r="I5" s="55"/>
      <c r="J5" s="55"/>
    </row>
    <row r="6" spans="1:12" ht="13.8" x14ac:dyDescent="0.25">
      <c r="B6" s="277" t="s">
        <v>32</v>
      </c>
      <c r="C6" s="278"/>
      <c r="D6" s="278"/>
      <c r="E6" s="278"/>
      <c r="F6" s="278"/>
      <c r="G6" s="278"/>
      <c r="H6" s="278"/>
      <c r="I6" s="278"/>
      <c r="J6" s="279"/>
    </row>
    <row r="7" spans="1:12" ht="15.6" x14ac:dyDescent="0.35">
      <c r="B7" s="118" t="s">
        <v>11</v>
      </c>
      <c r="C7" s="119" t="s">
        <v>26</v>
      </c>
      <c r="D7" s="119" t="s">
        <v>12</v>
      </c>
      <c r="E7" s="120" t="s">
        <v>64</v>
      </c>
      <c r="F7" s="121"/>
      <c r="G7" s="120" t="s">
        <v>9</v>
      </c>
      <c r="H7" s="121"/>
      <c r="I7" s="119" t="s">
        <v>70</v>
      </c>
      <c r="J7" s="122" t="s">
        <v>69</v>
      </c>
      <c r="K7" s="135" t="s">
        <v>340</v>
      </c>
    </row>
    <row r="8" spans="1:12" ht="15.9" customHeight="1" x14ac:dyDescent="0.35">
      <c r="B8" s="42" t="s">
        <v>10</v>
      </c>
      <c r="C8" s="27"/>
      <c r="D8" s="28">
        <v>3</v>
      </c>
      <c r="E8" s="47">
        <f>LOOKUP('Activity A'!D8,Units!A3:C8)*C8</f>
        <v>0</v>
      </c>
      <c r="F8" s="18" t="s">
        <v>0</v>
      </c>
      <c r="G8" s="12">
        <f>LOOKUP(cfg!B5 &amp; "_" &amp; D4,factors!C4:E43)</f>
        <v>1.012</v>
      </c>
      <c r="H8" s="11" t="s">
        <v>71</v>
      </c>
      <c r="I8" s="4">
        <f>noerror(E8*G8)</f>
        <v>0</v>
      </c>
      <c r="J8" s="26">
        <f>noerror(I8/1000,0)</f>
        <v>0</v>
      </c>
      <c r="K8" s="140" t="s">
        <v>122</v>
      </c>
    </row>
    <row r="9" spans="1:12" ht="15.9" customHeight="1" x14ac:dyDescent="0.35">
      <c r="B9" s="42" t="s">
        <v>354</v>
      </c>
      <c r="C9" s="27"/>
      <c r="D9" s="30">
        <v>3</v>
      </c>
      <c r="E9" s="47">
        <f>LOOKUP('Activity A'!D9,Units!A40:C46)*C9</f>
        <v>0</v>
      </c>
      <c r="F9" s="19" t="s">
        <v>22</v>
      </c>
      <c r="G9" s="153">
        <f>LOOKUP(cfg!B5 &amp; "_" &amp; D4,factors!I4:K43)</f>
        <v>51.7</v>
      </c>
      <c r="H9" s="10" t="s">
        <v>72</v>
      </c>
      <c r="I9" s="4">
        <f>noerror(E9*G9)</f>
        <v>0</v>
      </c>
      <c r="J9" s="26">
        <f>noerror(I9/1000,0)</f>
        <v>0</v>
      </c>
      <c r="K9" s="140" t="str">
        <f>LOOKUP(cfg!B5 &amp; "_" &amp; D4,factors!I4:L43)</f>
        <v>PS</v>
      </c>
    </row>
    <row r="10" spans="1:12" ht="15.9" customHeight="1" x14ac:dyDescent="0.25">
      <c r="B10" s="42" t="s">
        <v>353</v>
      </c>
      <c r="C10" s="27"/>
      <c r="D10" s="30">
        <v>3</v>
      </c>
      <c r="E10" s="17">
        <f>LOOKUP('Activity A'!D10,Units!$A$26:$C$30)*C10</f>
        <v>0</v>
      </c>
      <c r="F10" s="20" t="s">
        <v>410</v>
      </c>
      <c r="G10" s="130">
        <f>LOOKUP(cfg!B7 &amp; "_LPG - non-transport",factors!AA1:AE40)</f>
        <v>2.9</v>
      </c>
      <c r="H10" s="14" t="s">
        <v>413</v>
      </c>
      <c r="I10" s="4">
        <f>noerror(E10*G10*1000)</f>
        <v>0</v>
      </c>
      <c r="J10" s="26">
        <f>noerror(I10/1000,0)</f>
        <v>0</v>
      </c>
      <c r="K10" s="140" t="str">
        <f>LOOKUP(cfg!B7 &amp; "_LPG - non-transport",factors!AA1:AD12)</f>
        <v>PS</v>
      </c>
    </row>
    <row r="11" spans="1:12" ht="15.9" customHeight="1" x14ac:dyDescent="0.25">
      <c r="B11" s="192" t="s">
        <v>66</v>
      </c>
      <c r="C11" s="179"/>
      <c r="D11" s="180"/>
      <c r="E11" s="181"/>
      <c r="F11" s="182"/>
      <c r="G11" s="183"/>
      <c r="H11" s="183"/>
      <c r="I11" s="184"/>
      <c r="J11" s="193"/>
      <c r="K11" s="140"/>
    </row>
    <row r="12" spans="1:12" ht="15.9" customHeight="1" x14ac:dyDescent="0.25">
      <c r="B12" s="42" t="s">
        <v>79</v>
      </c>
      <c r="C12" s="27"/>
      <c r="D12" s="28">
        <v>1</v>
      </c>
      <c r="E12" s="17">
        <f>LOOKUP('Activity A'!D12,Units!A19:C23)*C12</f>
        <v>0</v>
      </c>
      <c r="F12" s="21" t="s">
        <v>18</v>
      </c>
      <c r="G12" s="136">
        <f>LOOKUP(cfg!B7 &amp; "_Automotive Gasoline",factors!R3:V130)</f>
        <v>2.5</v>
      </c>
      <c r="H12" s="14" t="s">
        <v>411</v>
      </c>
      <c r="I12" s="4">
        <f t="shared" ref="I12:I19" si="0">noerror(E12*G12*1000)</f>
        <v>0</v>
      </c>
      <c r="J12" s="26">
        <f t="shared" ref="J12:J19" si="1">noerror(I12/1000,0)</f>
        <v>0</v>
      </c>
      <c r="K12" s="140" t="str">
        <f>LOOKUP(cfg!B7 &amp; "_Automotive Gasoline",factors!R3:U130) &amp; " "</f>
        <v xml:space="preserve">PS </v>
      </c>
    </row>
    <row r="13" spans="1:12" ht="15.9" customHeight="1" x14ac:dyDescent="0.25">
      <c r="B13" s="42" t="s">
        <v>21</v>
      </c>
      <c r="C13" s="27"/>
      <c r="D13" s="28">
        <v>1</v>
      </c>
      <c r="E13" s="17">
        <f>LOOKUP('Activity A'!D13,Units!$A$19:$C$23)*C13</f>
        <v>0</v>
      </c>
      <c r="F13" s="22" t="s">
        <v>18</v>
      </c>
      <c r="G13" s="136">
        <f>LOOKUP(cfg!B7 &amp; "_ADO(current fuel)",factors!R3:V130)</f>
        <v>2.7</v>
      </c>
      <c r="H13" s="14" t="s">
        <v>411</v>
      </c>
      <c r="I13" s="4">
        <f t="shared" si="0"/>
        <v>0</v>
      </c>
      <c r="J13" s="26">
        <f t="shared" si="1"/>
        <v>0</v>
      </c>
      <c r="K13" s="140" t="str">
        <f>LOOKUP(cfg!B7 &amp; "_ADO(current fuel)",factors!R3:U130)</f>
        <v>PS</v>
      </c>
      <c r="L13" s="131"/>
    </row>
    <row r="14" spans="1:12" ht="15.9" customHeight="1" x14ac:dyDescent="0.25">
      <c r="B14" s="42" t="s">
        <v>33</v>
      </c>
      <c r="C14" s="27"/>
      <c r="D14" s="28">
        <v>1</v>
      </c>
      <c r="E14" s="17">
        <f>LOOKUP('Activity A'!D14,Units!$A$19:$C$23)*C14</f>
        <v>0</v>
      </c>
      <c r="F14" s="22" t="s">
        <v>18</v>
      </c>
      <c r="G14" s="136">
        <f>LOOKUP(cfg!B7 &amp; "_LPG",factors!R3:V130)</f>
        <v>1.6</v>
      </c>
      <c r="H14" s="14" t="s">
        <v>411</v>
      </c>
      <c r="I14" s="4">
        <f t="shared" si="0"/>
        <v>0</v>
      </c>
      <c r="J14" s="26">
        <f t="shared" si="1"/>
        <v>0</v>
      </c>
      <c r="K14" s="140" t="str">
        <f>LOOKUP(cfg!B7 &amp; "_LPG",factors!R3:U130)</f>
        <v>PS</v>
      </c>
    </row>
    <row r="15" spans="1:12" ht="15.9" customHeight="1" x14ac:dyDescent="0.35">
      <c r="B15" s="42" t="s">
        <v>55</v>
      </c>
      <c r="C15" s="27"/>
      <c r="D15" s="28">
        <v>3</v>
      </c>
      <c r="E15" s="17">
        <f>LOOKUP('Activity A'!D15,Units!$A$34:$C$36)*C15</f>
        <v>0</v>
      </c>
      <c r="F15" s="160" t="s">
        <v>138</v>
      </c>
      <c r="G15" s="136">
        <f>LOOKUP(cfg!B7 &amp; "_Natural Gas LDV",factors!R3:V130)</f>
        <v>2.4</v>
      </c>
      <c r="H15" s="14" t="s">
        <v>355</v>
      </c>
      <c r="I15" s="4">
        <f>noerror(E15*G15)</f>
        <v>0</v>
      </c>
      <c r="J15" s="26">
        <f t="shared" si="1"/>
        <v>0</v>
      </c>
      <c r="K15" s="140" t="str">
        <f>LOOKUP(cfg!B7 &amp; "_Natural Gas LDV",factors!R3:U130)</f>
        <v>PS</v>
      </c>
    </row>
    <row r="16" spans="1:12" ht="15.9" customHeight="1" x14ac:dyDescent="0.35">
      <c r="B16" s="43" t="s">
        <v>56</v>
      </c>
      <c r="C16" s="27"/>
      <c r="D16" s="28">
        <v>3</v>
      </c>
      <c r="E16" s="17">
        <f>LOOKUP('Activity A'!D16,Units!$A$34:$C$36)*C16</f>
        <v>0</v>
      </c>
      <c r="F16" s="160" t="s">
        <v>138</v>
      </c>
      <c r="G16" s="136">
        <f>LOOKUP(cfg!B7 &amp; "_Natural Gas HDV",factors!R3:V130)</f>
        <v>2.2000000000000002</v>
      </c>
      <c r="H16" s="14" t="s">
        <v>355</v>
      </c>
      <c r="I16" s="4">
        <f>noerror(E16*G16)</f>
        <v>0</v>
      </c>
      <c r="J16" s="26">
        <f t="shared" si="1"/>
        <v>0</v>
      </c>
      <c r="K16" s="140" t="str">
        <f>LOOKUP(cfg!B7 &amp; "_Natural Gas HDV",factors!R3:U130)</f>
        <v>PS</v>
      </c>
    </row>
    <row r="17" spans="2:11" ht="15.9" customHeight="1" x14ac:dyDescent="0.25">
      <c r="B17" s="42" t="s">
        <v>57</v>
      </c>
      <c r="C17" s="27"/>
      <c r="D17" s="28">
        <v>1</v>
      </c>
      <c r="E17" s="17">
        <f>LOOKUP('Activity A'!D17,Units!$A$19:$C$23)*C17</f>
        <v>0</v>
      </c>
      <c r="F17" s="22" t="s">
        <v>18</v>
      </c>
      <c r="G17" s="136">
        <f>LOOKUP(cfg!B7 &amp; "_Industrial/Marine diesel fuel",factors!AA1:AE40)</f>
        <v>2.8</v>
      </c>
      <c r="H17" s="14" t="s">
        <v>411</v>
      </c>
      <c r="I17" s="4">
        <f t="shared" si="0"/>
        <v>0</v>
      </c>
      <c r="J17" s="26">
        <f t="shared" si="1"/>
        <v>0</v>
      </c>
      <c r="K17" s="140" t="str">
        <f>LOOKUP(cfg!B7 &amp; "_Industrial/Marine diesel fuel",factors!AA1:AD40)</f>
        <v>PS</v>
      </c>
    </row>
    <row r="18" spans="2:11" ht="15.9" customHeight="1" x14ac:dyDescent="0.25">
      <c r="B18" s="42" t="s">
        <v>34</v>
      </c>
      <c r="C18" s="27"/>
      <c r="D18" s="28">
        <v>1</v>
      </c>
      <c r="E18" s="17">
        <f>LOOKUP('Activity A'!D18,Units!$A$19:$C$23)*C18</f>
        <v>0</v>
      </c>
      <c r="F18" s="22" t="s">
        <v>18</v>
      </c>
      <c r="G18" s="136">
        <f>LOOKUP(cfg!B7 &amp; "_Aviation Gasoline",factors!R3:V130)</f>
        <v>2.2999999999999998</v>
      </c>
      <c r="H18" s="14" t="s">
        <v>411</v>
      </c>
      <c r="I18" s="4">
        <f t="shared" si="0"/>
        <v>0</v>
      </c>
      <c r="J18" s="26">
        <f t="shared" si="1"/>
        <v>0</v>
      </c>
      <c r="K18" s="140" t="str">
        <f>LOOKUP(cfg!B7 &amp; "_Aviation Gasoline",factors!R3:U130)</f>
        <v>PS</v>
      </c>
    </row>
    <row r="19" spans="2:11" ht="15.9" customHeight="1" x14ac:dyDescent="0.25">
      <c r="B19" s="42" t="s">
        <v>35</v>
      </c>
      <c r="C19" s="27"/>
      <c r="D19" s="28">
        <v>1</v>
      </c>
      <c r="E19" s="17">
        <f>LOOKUP('Activity A'!D19,Units!$A$19:$C$23)*C19</f>
        <v>0</v>
      </c>
      <c r="F19" s="22" t="s">
        <v>18</v>
      </c>
      <c r="G19" s="136">
        <f>LOOKUP(cfg!B7 &amp; "_Aviation Turbine",factors!R3:V130)</f>
        <v>2.6</v>
      </c>
      <c r="H19" s="14" t="s">
        <v>411</v>
      </c>
      <c r="I19" s="4">
        <f t="shared" si="0"/>
        <v>0</v>
      </c>
      <c r="J19" s="26">
        <f t="shared" si="1"/>
        <v>0</v>
      </c>
      <c r="K19" s="140" t="str">
        <f>LOOKUP(cfg!B7 &amp; "_Aviation Turbine",factors!R3:U130)</f>
        <v>PS</v>
      </c>
    </row>
    <row r="20" spans="2:11" ht="15.9" customHeight="1" x14ac:dyDescent="0.25">
      <c r="B20" s="192" t="s">
        <v>142</v>
      </c>
      <c r="C20" s="185"/>
      <c r="D20" s="186"/>
      <c r="E20" s="181"/>
      <c r="F20" s="187"/>
      <c r="G20" s="188"/>
      <c r="H20" s="185"/>
      <c r="I20" s="184"/>
      <c r="J20" s="193"/>
      <c r="K20" s="140"/>
    </row>
    <row r="21" spans="2:11" ht="15.9" customHeight="1" x14ac:dyDescent="0.25">
      <c r="B21" s="42" t="s">
        <v>78</v>
      </c>
      <c r="C21" s="32"/>
      <c r="D21" s="28">
        <v>3</v>
      </c>
      <c r="E21" s="17">
        <f>LOOKUP('Activity A'!D21,Units!$A$26:$C$30)*C21</f>
        <v>0</v>
      </c>
      <c r="F21" s="23" t="s">
        <v>410</v>
      </c>
      <c r="G21" s="137">
        <f>LOOKUP(cfg!$B$7 &amp; "_comingled",factors!$AJ$3:$AM$102)</f>
        <v>1.2</v>
      </c>
      <c r="H21" s="13" t="s">
        <v>412</v>
      </c>
      <c r="I21" s="4">
        <f t="shared" ref="I21:I28" si="2">noerror(E21*G21*1000)</f>
        <v>0</v>
      </c>
      <c r="J21" s="26">
        <f t="shared" ref="J21:J28" si="3">noerror(I21/1000,0)</f>
        <v>0</v>
      </c>
      <c r="K21" s="140"/>
    </row>
    <row r="22" spans="2:11" ht="15.9" customHeight="1" x14ac:dyDescent="0.25">
      <c r="B22" s="42" t="s">
        <v>83</v>
      </c>
      <c r="C22" s="32"/>
      <c r="D22" s="28">
        <v>3</v>
      </c>
      <c r="E22" s="17">
        <f>LOOKUP('Activity A'!D22,Units!$A$26:$C$30)*C22</f>
        <v>0</v>
      </c>
      <c r="F22" s="23" t="s">
        <v>410</v>
      </c>
      <c r="G22" s="137">
        <f>LOOKUP(cfg!$B$7 &amp; "_paper",factors!$AJ$3:$AM$102)</f>
        <v>2.8</v>
      </c>
      <c r="H22" s="13" t="s">
        <v>412</v>
      </c>
      <c r="I22" s="4">
        <f t="shared" si="2"/>
        <v>0</v>
      </c>
      <c r="J22" s="26">
        <f t="shared" si="3"/>
        <v>0</v>
      </c>
      <c r="K22" s="140"/>
    </row>
    <row r="23" spans="2:11" ht="15.9" customHeight="1" x14ac:dyDescent="0.25">
      <c r="B23" s="42" t="s">
        <v>84</v>
      </c>
      <c r="C23" s="31"/>
      <c r="D23" s="28">
        <v>3</v>
      </c>
      <c r="E23" s="17">
        <f>LOOKUP('Activity A'!D23,Units!$A$26:$C$30)*C23</f>
        <v>0</v>
      </c>
      <c r="F23" s="23" t="s">
        <v>410</v>
      </c>
      <c r="G23" s="137">
        <f>LOOKUP(cfg!$B$7 &amp; "_textiles",factors!$AJ$3:$AM$102)</f>
        <v>3.9</v>
      </c>
      <c r="H23" s="13" t="s">
        <v>412</v>
      </c>
      <c r="I23" s="4">
        <f t="shared" si="2"/>
        <v>0</v>
      </c>
      <c r="J23" s="26">
        <f t="shared" si="3"/>
        <v>0</v>
      </c>
      <c r="K23" s="140"/>
    </row>
    <row r="24" spans="2:11" ht="15.9" customHeight="1" x14ac:dyDescent="0.25">
      <c r="B24" s="42" t="s">
        <v>77</v>
      </c>
      <c r="C24" s="31"/>
      <c r="D24" s="28">
        <v>3</v>
      </c>
      <c r="E24" s="17">
        <f>LOOKUP('Activity A'!D24,Units!$A$26:$C$30)*C24</f>
        <v>0</v>
      </c>
      <c r="F24" s="23" t="s">
        <v>410</v>
      </c>
      <c r="G24" s="137">
        <f>LOOKUP(cfg!$B$7 &amp; "_wood",factors!$AJ$3:$AM$102)</f>
        <v>2.1</v>
      </c>
      <c r="H24" s="13" t="s">
        <v>412</v>
      </c>
      <c r="I24" s="4">
        <f t="shared" si="2"/>
        <v>0</v>
      </c>
      <c r="J24" s="26">
        <f t="shared" si="3"/>
        <v>0</v>
      </c>
      <c r="K24" s="140"/>
    </row>
    <row r="25" spans="2:11" ht="15.9" customHeight="1" x14ac:dyDescent="0.25">
      <c r="B25" s="42" t="s">
        <v>76</v>
      </c>
      <c r="C25" s="31"/>
      <c r="D25" s="28">
        <v>3</v>
      </c>
      <c r="E25" s="17">
        <f>LOOKUP('Activity A'!D25,Units!$A$26:$C$30)*C25</f>
        <v>0</v>
      </c>
      <c r="F25" s="23" t="s">
        <v>410</v>
      </c>
      <c r="G25" s="137">
        <f>LOOKUP(cfg!$B$7 &amp; "_garden",factors!$AJ$3:$AM$102)</f>
        <v>1.2</v>
      </c>
      <c r="H25" s="13" t="s">
        <v>412</v>
      </c>
      <c r="I25" s="4">
        <f t="shared" si="2"/>
        <v>0</v>
      </c>
      <c r="J25" s="26">
        <f t="shared" si="3"/>
        <v>0</v>
      </c>
      <c r="K25" s="140"/>
    </row>
    <row r="26" spans="2:11" ht="15.9" customHeight="1" x14ac:dyDescent="0.25">
      <c r="B26" s="42" t="s">
        <v>75</v>
      </c>
      <c r="C26" s="31"/>
      <c r="D26" s="28">
        <v>3</v>
      </c>
      <c r="E26" s="17">
        <f>LOOKUP('Activity A'!D26,Units!$A$26:$C$30)*C26</f>
        <v>0</v>
      </c>
      <c r="F26" s="9" t="s">
        <v>410</v>
      </c>
      <c r="G26" s="137">
        <f>LOOKUP(cfg!$B$7 &amp; "_food",factors!$AJ$3:$AM$102)</f>
        <v>1.5</v>
      </c>
      <c r="H26" s="13" t="s">
        <v>412</v>
      </c>
      <c r="I26" s="4">
        <f t="shared" si="2"/>
        <v>0</v>
      </c>
      <c r="J26" s="26">
        <f t="shared" si="3"/>
        <v>0</v>
      </c>
      <c r="K26" s="140"/>
    </row>
    <row r="27" spans="2:11" ht="15.9" customHeight="1" x14ac:dyDescent="0.25">
      <c r="B27" s="42" t="s">
        <v>74</v>
      </c>
      <c r="C27" s="31"/>
      <c r="D27" s="28">
        <v>3</v>
      </c>
      <c r="E27" s="17">
        <f>LOOKUP('Activity A'!D27,Units!$A$26:$C$30)*C27</f>
        <v>0</v>
      </c>
      <c r="F27" s="9" t="s">
        <v>410</v>
      </c>
      <c r="G27" s="137">
        <f>LOOKUP(cfg!$B$7 &amp; "_medical",factors!$AJ$3:$AM$102)</f>
        <v>0.5</v>
      </c>
      <c r="H27" s="13" t="s">
        <v>412</v>
      </c>
      <c r="I27" s="4">
        <f t="shared" si="2"/>
        <v>0</v>
      </c>
      <c r="J27" s="26">
        <f t="shared" si="3"/>
        <v>0</v>
      </c>
      <c r="K27" s="140"/>
    </row>
    <row r="28" spans="2:11" ht="15.9" customHeight="1" x14ac:dyDescent="0.25">
      <c r="B28" s="42" t="s">
        <v>73</v>
      </c>
      <c r="C28" s="31"/>
      <c r="D28" s="28">
        <v>3</v>
      </c>
      <c r="E28" s="17">
        <f>LOOKUP('Activity A'!D28,Units!$A$26:$C$30)*C28</f>
        <v>0</v>
      </c>
      <c r="F28" s="9" t="s">
        <v>410</v>
      </c>
      <c r="G28" s="222">
        <f>LOOKUP(cfg!$B$7 &amp; "_concrete metal",factors!$AJ$3:$AM$102)</f>
        <v>0</v>
      </c>
      <c r="H28" s="13" t="s">
        <v>412</v>
      </c>
      <c r="I28" s="4">
        <f t="shared" si="2"/>
        <v>0</v>
      </c>
      <c r="J28" s="26">
        <f t="shared" si="3"/>
        <v>0</v>
      </c>
      <c r="K28" s="140"/>
    </row>
    <row r="29" spans="2:11" ht="15.9" customHeight="1" x14ac:dyDescent="0.25">
      <c r="B29" s="192" t="s">
        <v>67</v>
      </c>
      <c r="C29" s="189"/>
      <c r="D29" s="190"/>
      <c r="E29" s="191"/>
      <c r="F29" s="189"/>
      <c r="G29" s="189"/>
      <c r="H29" s="189"/>
      <c r="I29" s="189"/>
      <c r="J29" s="194"/>
      <c r="K29" s="140"/>
    </row>
    <row r="30" spans="2:11" ht="15.9" customHeight="1" x14ac:dyDescent="0.35">
      <c r="B30" s="42" t="s">
        <v>68</v>
      </c>
      <c r="C30" s="29"/>
      <c r="D30" s="28">
        <v>3</v>
      </c>
      <c r="E30" s="17">
        <f>LOOKUP('Activity A'!D30,Units!$A$26:$C$30)*C30</f>
        <v>0</v>
      </c>
      <c r="F30" s="23" t="s">
        <v>410</v>
      </c>
      <c r="G30" s="132">
        <v>23900</v>
      </c>
      <c r="H30" s="15" t="s">
        <v>412</v>
      </c>
      <c r="I30" s="4">
        <f>noerror(E30*G30*1000)</f>
        <v>0</v>
      </c>
      <c r="J30" s="26">
        <f>noerror(I30/1000,0)</f>
        <v>0</v>
      </c>
      <c r="K30" s="140"/>
    </row>
    <row r="31" spans="2:11" ht="15.9" customHeight="1" x14ac:dyDescent="0.25">
      <c r="B31" s="42" t="s">
        <v>65</v>
      </c>
      <c r="C31" s="29"/>
      <c r="D31" s="28">
        <v>3</v>
      </c>
      <c r="E31" s="17">
        <f>LOOKUP('Activity A'!D31,Units!$A$26:$C$30)*C31</f>
        <v>0</v>
      </c>
      <c r="F31" s="23" t="s">
        <v>410</v>
      </c>
      <c r="G31" s="16"/>
      <c r="H31" s="15" t="s">
        <v>412</v>
      </c>
      <c r="I31" s="4">
        <f>noerror(E31*G31*1000)</f>
        <v>0</v>
      </c>
      <c r="J31" s="26">
        <f>noerror(I31/1000,0)</f>
        <v>0</v>
      </c>
      <c r="K31" s="140"/>
    </row>
    <row r="32" spans="2:11" ht="15.9" customHeight="1" x14ac:dyDescent="0.25">
      <c r="B32" s="192" t="s">
        <v>28</v>
      </c>
      <c r="C32" s="185"/>
      <c r="D32" s="185"/>
      <c r="E32" s="185"/>
      <c r="F32" s="185"/>
      <c r="G32" s="185"/>
      <c r="H32" s="185"/>
      <c r="I32" s="185"/>
      <c r="J32" s="193"/>
      <c r="K32" s="140"/>
    </row>
    <row r="33" spans="2:11" ht="15.9" customHeight="1" x14ac:dyDescent="0.25">
      <c r="B33" s="37" t="s">
        <v>28</v>
      </c>
      <c r="C33" s="27"/>
      <c r="D33" s="28"/>
      <c r="E33" s="226">
        <f>C33</f>
        <v>0</v>
      </c>
      <c r="F33" s="38"/>
      <c r="G33" s="39"/>
      <c r="H33" s="158" t="s">
        <v>412</v>
      </c>
      <c r="I33" s="30">
        <f>noerror(E33*G33*1000)</f>
        <v>0</v>
      </c>
      <c r="J33" s="41">
        <f>noerror(I33/1000,0)</f>
        <v>0</v>
      </c>
      <c r="K33" s="140"/>
    </row>
    <row r="34" spans="2:11" ht="15.9" customHeight="1" x14ac:dyDescent="0.25">
      <c r="B34" s="37" t="s">
        <v>28</v>
      </c>
      <c r="C34" s="27"/>
      <c r="D34" s="28"/>
      <c r="E34" s="226">
        <f>C34</f>
        <v>0</v>
      </c>
      <c r="F34" s="38"/>
      <c r="G34" s="39"/>
      <c r="H34" s="158" t="s">
        <v>412</v>
      </c>
      <c r="I34" s="30">
        <f>noerror(E34*G34*1000)</f>
        <v>0</v>
      </c>
      <c r="J34" s="41">
        <f>noerror(I34/1000,0)</f>
        <v>0</v>
      </c>
      <c r="K34" s="140"/>
    </row>
    <row r="35" spans="2:11" ht="15.9" customHeight="1" x14ac:dyDescent="0.25">
      <c r="B35" s="37" t="s">
        <v>28</v>
      </c>
      <c r="C35" s="27"/>
      <c r="D35" s="28"/>
      <c r="E35" s="226">
        <f>C35</f>
        <v>0</v>
      </c>
      <c r="F35" s="38"/>
      <c r="G35" s="39"/>
      <c r="H35" s="158" t="s">
        <v>412</v>
      </c>
      <c r="I35" s="30">
        <f>noerror(E35*G35*1000)</f>
        <v>0</v>
      </c>
      <c r="J35" s="41">
        <f>noerror(I35/1000,0)</f>
        <v>0</v>
      </c>
      <c r="K35" s="140"/>
    </row>
    <row r="36" spans="2:11" ht="15.9" customHeight="1" x14ac:dyDescent="0.25">
      <c r="B36" s="283" t="s">
        <v>398</v>
      </c>
      <c r="C36" s="286"/>
      <c r="D36" s="286"/>
      <c r="E36" s="286"/>
      <c r="F36" s="286"/>
      <c r="G36" s="286"/>
      <c r="H36" s="286"/>
      <c r="I36" s="286"/>
      <c r="J36" s="285">
        <f>SUM(J8:K35)</f>
        <v>0</v>
      </c>
      <c r="K36" s="140"/>
    </row>
    <row r="37" spans="2:11" ht="15.9" customHeight="1" x14ac:dyDescent="0.25">
      <c r="B37" s="192" t="s">
        <v>423</v>
      </c>
      <c r="C37" s="179"/>
      <c r="D37" s="185"/>
      <c r="E37" s="187"/>
      <c r="F37" s="187"/>
      <c r="G37" s="185"/>
      <c r="H37" s="185"/>
      <c r="I37" s="184"/>
      <c r="J37" s="193"/>
      <c r="K37" s="140"/>
    </row>
    <row r="38" spans="2:11" ht="15.9" customHeight="1" x14ac:dyDescent="0.25">
      <c r="B38" s="33"/>
      <c r="C38" s="28"/>
      <c r="D38" s="28"/>
      <c r="E38" s="34"/>
      <c r="F38" s="35"/>
      <c r="G38" s="34"/>
      <c r="H38" s="35"/>
      <c r="I38" s="28"/>
      <c r="J38" s="36"/>
      <c r="K38" s="140"/>
    </row>
    <row r="39" spans="2:11" ht="15.9" customHeight="1" x14ac:dyDescent="0.25">
      <c r="B39" s="174"/>
      <c r="C39" s="28"/>
      <c r="D39" s="175"/>
      <c r="E39" s="176"/>
      <c r="F39" s="177"/>
      <c r="G39" s="176"/>
      <c r="H39" s="177"/>
      <c r="I39" s="175"/>
      <c r="J39" s="178"/>
      <c r="K39" s="140"/>
    </row>
    <row r="40" spans="2:11" ht="15.9" customHeight="1" x14ac:dyDescent="0.25">
      <c r="B40" s="283" t="s">
        <v>400</v>
      </c>
      <c r="C40" s="286"/>
      <c r="D40" s="286"/>
      <c r="E40" s="286"/>
      <c r="F40" s="286"/>
      <c r="G40" s="286"/>
      <c r="H40" s="286"/>
      <c r="I40" s="286"/>
      <c r="J40" s="285">
        <f>SUM(J38:J39)</f>
        <v>0</v>
      </c>
      <c r="K40" s="140"/>
    </row>
    <row r="41" spans="2:11" ht="15.9" customHeight="1" thickBot="1" x14ac:dyDescent="0.3">
      <c r="B41" s="195" t="s">
        <v>399</v>
      </c>
      <c r="C41" s="196"/>
      <c r="D41" s="196"/>
      <c r="E41" s="196"/>
      <c r="F41" s="196"/>
      <c r="G41" s="196"/>
      <c r="H41" s="196"/>
      <c r="I41" s="196"/>
      <c r="J41" s="197">
        <f>SUM(J40,J36)</f>
        <v>0</v>
      </c>
      <c r="K41" s="140"/>
    </row>
    <row r="45" spans="2:11" x14ac:dyDescent="0.25">
      <c r="B45" s="1"/>
    </row>
  </sheetData>
  <sheetProtection sheet="1" objects="1" scenarios="1"/>
  <mergeCells count="1">
    <mergeCell ref="D2:G2"/>
  </mergeCells>
  <phoneticPr fontId="0" type="noConversion"/>
  <dataValidations xWindow="538" yWindow="349" count="4">
    <dataValidation type="whole" allowBlank="1" showInputMessage="1" showErrorMessage="1" errorTitle="Offset" error="Offsets should be entered as negative values" promptTitle="Offsets" prompt="Offsets should be entered as negative values." sqref="J38">
      <formula1>-9.99999999999999E+23</formula1>
      <formula2>0</formula2>
    </dataValidation>
    <dataValidation allowBlank="1" showInputMessage="1" showErrorMessage="1" promptTitle="Offsets" prompt="Offsets should be entered as negative values." sqref="C38"/>
    <dataValidation allowBlank="1" showInputMessage="1" showErrorMessage="1" promptTitle="Offsets" prompt="Offsets should be entered as negative values." sqref="J39 C39"/>
    <dataValidation allowBlank="1" showInputMessage="1" showErrorMessage="1" promptTitle="HFC" prompt="Different factors exist depending on what HFC is used. See workbook." sqref="C31"/>
  </dataValidations>
  <pageMargins left="0.75" right="0.6" top="1" bottom="1" header="0.5" footer="0.5"/>
  <pageSetup paperSize="9" orientation="landscape"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25" r:id="rId4" name="Drop Down 1">
              <controlPr defaultSize="0" autoLine="0" autoPict="0">
                <anchor moveWithCells="1">
                  <from>
                    <xdr:col>3</xdr:col>
                    <xdr:colOff>0</xdr:colOff>
                    <xdr:row>3</xdr:row>
                    <xdr:rowOff>0</xdr:rowOff>
                  </from>
                  <to>
                    <xdr:col>4</xdr:col>
                    <xdr:colOff>0</xdr:colOff>
                    <xdr:row>4</xdr:row>
                    <xdr:rowOff>0</xdr:rowOff>
                  </to>
                </anchor>
              </controlPr>
            </control>
          </mc:Choice>
        </mc:AlternateContent>
        <mc:AlternateContent xmlns:mc="http://schemas.openxmlformats.org/markup-compatibility/2006">
          <mc:Choice Requires="x14">
            <control shapeId="1026" r:id="rId5" name="Drop Down 2">
              <controlPr defaultSize="0" autoLine="0" autoPict="0">
                <anchor moveWithCells="1">
                  <from>
                    <xdr:col>3</xdr:col>
                    <xdr:colOff>0</xdr:colOff>
                    <xdr:row>7</xdr:row>
                    <xdr:rowOff>0</xdr:rowOff>
                  </from>
                  <to>
                    <xdr:col>4</xdr:col>
                    <xdr:colOff>0</xdr:colOff>
                    <xdr:row>8</xdr:row>
                    <xdr:rowOff>0</xdr:rowOff>
                  </to>
                </anchor>
              </controlPr>
            </control>
          </mc:Choice>
        </mc:AlternateContent>
        <mc:AlternateContent xmlns:mc="http://schemas.openxmlformats.org/markup-compatibility/2006">
          <mc:Choice Requires="x14">
            <control shapeId="1028" r:id="rId6" name="Drop Down 4">
              <controlPr defaultSize="0" autoLine="0" autoPict="0">
                <anchor moveWithCells="1">
                  <from>
                    <xdr:col>3</xdr:col>
                    <xdr:colOff>0</xdr:colOff>
                    <xdr:row>11</xdr:row>
                    <xdr:rowOff>0</xdr:rowOff>
                  </from>
                  <to>
                    <xdr:col>4</xdr:col>
                    <xdr:colOff>0</xdr:colOff>
                    <xdr:row>12</xdr:row>
                    <xdr:rowOff>0</xdr:rowOff>
                  </to>
                </anchor>
              </controlPr>
            </control>
          </mc:Choice>
        </mc:AlternateContent>
        <mc:AlternateContent xmlns:mc="http://schemas.openxmlformats.org/markup-compatibility/2006">
          <mc:Choice Requires="x14">
            <control shapeId="1029" r:id="rId7" name="Drop Down 5">
              <controlPr defaultSize="0" autoLine="0" autoPict="0">
                <anchor moveWithCells="1">
                  <from>
                    <xdr:col>3</xdr:col>
                    <xdr:colOff>0</xdr:colOff>
                    <xdr:row>12</xdr:row>
                    <xdr:rowOff>0</xdr:rowOff>
                  </from>
                  <to>
                    <xdr:col>4</xdr:col>
                    <xdr:colOff>0</xdr:colOff>
                    <xdr:row>13</xdr:row>
                    <xdr:rowOff>0</xdr:rowOff>
                  </to>
                </anchor>
              </controlPr>
            </control>
          </mc:Choice>
        </mc:AlternateContent>
        <mc:AlternateContent xmlns:mc="http://schemas.openxmlformats.org/markup-compatibility/2006">
          <mc:Choice Requires="x14">
            <control shapeId="1030" r:id="rId8" name="Drop Down 6">
              <controlPr defaultSize="0" autoLine="0" autoPict="0">
                <anchor moveWithCells="1">
                  <from>
                    <xdr:col>3</xdr:col>
                    <xdr:colOff>0</xdr:colOff>
                    <xdr:row>21</xdr:row>
                    <xdr:rowOff>0</xdr:rowOff>
                  </from>
                  <to>
                    <xdr:col>4</xdr:col>
                    <xdr:colOff>0</xdr:colOff>
                    <xdr:row>22</xdr:row>
                    <xdr:rowOff>0</xdr:rowOff>
                  </to>
                </anchor>
              </controlPr>
            </control>
          </mc:Choice>
        </mc:AlternateContent>
        <mc:AlternateContent xmlns:mc="http://schemas.openxmlformats.org/markup-compatibility/2006">
          <mc:Choice Requires="x14">
            <control shapeId="1031" r:id="rId9" name="Drop Down 7">
              <controlPr defaultSize="0" autoLine="0" autoPict="0">
                <anchor moveWithCells="1">
                  <from>
                    <xdr:col>3</xdr:col>
                    <xdr:colOff>0</xdr:colOff>
                    <xdr:row>8</xdr:row>
                    <xdr:rowOff>0</xdr:rowOff>
                  </from>
                  <to>
                    <xdr:col>4</xdr:col>
                    <xdr:colOff>0</xdr:colOff>
                    <xdr:row>9</xdr:row>
                    <xdr:rowOff>0</xdr:rowOff>
                  </to>
                </anchor>
              </controlPr>
            </control>
          </mc:Choice>
        </mc:AlternateContent>
        <mc:AlternateContent xmlns:mc="http://schemas.openxmlformats.org/markup-compatibility/2006">
          <mc:Choice Requires="x14">
            <control shapeId="1032" r:id="rId10" name="Drop Down 8">
              <controlPr defaultSize="0" autoLine="0" autoPict="0">
                <anchor moveWithCells="1">
                  <from>
                    <xdr:col>3</xdr:col>
                    <xdr:colOff>0</xdr:colOff>
                    <xdr:row>20</xdr:row>
                    <xdr:rowOff>0</xdr:rowOff>
                  </from>
                  <to>
                    <xdr:col>4</xdr:col>
                    <xdr:colOff>0</xdr:colOff>
                    <xdr:row>21</xdr:row>
                    <xdr:rowOff>0</xdr:rowOff>
                  </to>
                </anchor>
              </controlPr>
            </control>
          </mc:Choice>
        </mc:AlternateContent>
        <mc:AlternateContent xmlns:mc="http://schemas.openxmlformats.org/markup-compatibility/2006">
          <mc:Choice Requires="x14">
            <control shapeId="1035" r:id="rId11" name="Drop Down 11">
              <controlPr defaultSize="0" autoLine="0" autoPict="0">
                <anchor moveWithCells="1">
                  <from>
                    <xdr:col>3</xdr:col>
                    <xdr:colOff>0</xdr:colOff>
                    <xdr:row>9</xdr:row>
                    <xdr:rowOff>0</xdr:rowOff>
                  </from>
                  <to>
                    <xdr:col>4</xdr:col>
                    <xdr:colOff>0</xdr:colOff>
                    <xdr:row>10</xdr:row>
                    <xdr:rowOff>0</xdr:rowOff>
                  </to>
                </anchor>
              </controlPr>
            </control>
          </mc:Choice>
        </mc:AlternateContent>
        <mc:AlternateContent xmlns:mc="http://schemas.openxmlformats.org/markup-compatibility/2006">
          <mc:Choice Requires="x14">
            <control shapeId="1036" r:id="rId12" name="Drop Down 12">
              <controlPr defaultSize="0" autoLine="0" autoPict="0">
                <anchor moveWithCells="1">
                  <from>
                    <xdr:col>3</xdr:col>
                    <xdr:colOff>0</xdr:colOff>
                    <xdr:row>13</xdr:row>
                    <xdr:rowOff>0</xdr:rowOff>
                  </from>
                  <to>
                    <xdr:col>4</xdr:col>
                    <xdr:colOff>0</xdr:colOff>
                    <xdr:row>14</xdr:row>
                    <xdr:rowOff>0</xdr:rowOff>
                  </to>
                </anchor>
              </controlPr>
            </control>
          </mc:Choice>
        </mc:AlternateContent>
        <mc:AlternateContent xmlns:mc="http://schemas.openxmlformats.org/markup-compatibility/2006">
          <mc:Choice Requires="x14">
            <control shapeId="1037" r:id="rId13" name="Drop Down 13">
              <controlPr defaultSize="0" autoLine="0" autoPict="0">
                <anchor moveWithCells="1">
                  <from>
                    <xdr:col>3</xdr:col>
                    <xdr:colOff>0</xdr:colOff>
                    <xdr:row>14</xdr:row>
                    <xdr:rowOff>0</xdr:rowOff>
                  </from>
                  <to>
                    <xdr:col>4</xdr:col>
                    <xdr:colOff>0</xdr:colOff>
                    <xdr:row>15</xdr:row>
                    <xdr:rowOff>0</xdr:rowOff>
                  </to>
                </anchor>
              </controlPr>
            </control>
          </mc:Choice>
        </mc:AlternateContent>
        <mc:AlternateContent xmlns:mc="http://schemas.openxmlformats.org/markup-compatibility/2006">
          <mc:Choice Requires="x14">
            <control shapeId="1038" r:id="rId14" name="Drop Down 14">
              <controlPr defaultSize="0" autoLine="0" autoPict="0">
                <anchor moveWithCells="1">
                  <from>
                    <xdr:col>3</xdr:col>
                    <xdr:colOff>0</xdr:colOff>
                    <xdr:row>15</xdr:row>
                    <xdr:rowOff>0</xdr:rowOff>
                  </from>
                  <to>
                    <xdr:col>4</xdr:col>
                    <xdr:colOff>0</xdr:colOff>
                    <xdr:row>16</xdr:row>
                    <xdr:rowOff>0</xdr:rowOff>
                  </to>
                </anchor>
              </controlPr>
            </control>
          </mc:Choice>
        </mc:AlternateContent>
        <mc:AlternateContent xmlns:mc="http://schemas.openxmlformats.org/markup-compatibility/2006">
          <mc:Choice Requires="x14">
            <control shapeId="1042" r:id="rId15" name="Drop Down 18">
              <controlPr defaultSize="0" autoLine="0" autoPict="0">
                <anchor moveWithCells="1">
                  <from>
                    <xdr:col>3</xdr:col>
                    <xdr:colOff>0</xdr:colOff>
                    <xdr:row>16</xdr:row>
                    <xdr:rowOff>0</xdr:rowOff>
                  </from>
                  <to>
                    <xdr:col>4</xdr:col>
                    <xdr:colOff>0</xdr:colOff>
                    <xdr:row>17</xdr:row>
                    <xdr:rowOff>0</xdr:rowOff>
                  </to>
                </anchor>
              </controlPr>
            </control>
          </mc:Choice>
        </mc:AlternateContent>
        <mc:AlternateContent xmlns:mc="http://schemas.openxmlformats.org/markup-compatibility/2006">
          <mc:Choice Requires="x14">
            <control shapeId="1043" r:id="rId16" name="Drop Down 19">
              <controlPr defaultSize="0" autoLine="0" autoPict="0">
                <anchor moveWithCells="1">
                  <from>
                    <xdr:col>3</xdr:col>
                    <xdr:colOff>0</xdr:colOff>
                    <xdr:row>17</xdr:row>
                    <xdr:rowOff>0</xdr:rowOff>
                  </from>
                  <to>
                    <xdr:col>4</xdr:col>
                    <xdr:colOff>0</xdr:colOff>
                    <xdr:row>18</xdr:row>
                    <xdr:rowOff>0</xdr:rowOff>
                  </to>
                </anchor>
              </controlPr>
            </control>
          </mc:Choice>
        </mc:AlternateContent>
        <mc:AlternateContent xmlns:mc="http://schemas.openxmlformats.org/markup-compatibility/2006">
          <mc:Choice Requires="x14">
            <control shapeId="1044" r:id="rId17" name="Drop Down 20">
              <controlPr defaultSize="0" autoLine="0" autoPict="0">
                <anchor moveWithCells="1">
                  <from>
                    <xdr:col>3</xdr:col>
                    <xdr:colOff>0</xdr:colOff>
                    <xdr:row>18</xdr:row>
                    <xdr:rowOff>0</xdr:rowOff>
                  </from>
                  <to>
                    <xdr:col>4</xdr:col>
                    <xdr:colOff>0</xdr:colOff>
                    <xdr:row>19</xdr:row>
                    <xdr:rowOff>0</xdr:rowOff>
                  </to>
                </anchor>
              </controlPr>
            </control>
          </mc:Choice>
        </mc:AlternateContent>
        <mc:AlternateContent xmlns:mc="http://schemas.openxmlformats.org/markup-compatibility/2006">
          <mc:Choice Requires="x14">
            <control shapeId="1048" r:id="rId18" name="Drop Down 24">
              <controlPr defaultSize="0" autoLine="0" autoPict="0">
                <anchor moveWithCells="1">
                  <from>
                    <xdr:col>3</xdr:col>
                    <xdr:colOff>0</xdr:colOff>
                    <xdr:row>29</xdr:row>
                    <xdr:rowOff>0</xdr:rowOff>
                  </from>
                  <to>
                    <xdr:col>4</xdr:col>
                    <xdr:colOff>0</xdr:colOff>
                    <xdr:row>30</xdr:row>
                    <xdr:rowOff>0</xdr:rowOff>
                  </to>
                </anchor>
              </controlPr>
            </control>
          </mc:Choice>
        </mc:AlternateContent>
        <mc:AlternateContent xmlns:mc="http://schemas.openxmlformats.org/markup-compatibility/2006">
          <mc:Choice Requires="x14">
            <control shapeId="1050" r:id="rId19" name="Drop Down 26">
              <controlPr defaultSize="0" autoLine="0" autoPict="0">
                <anchor moveWithCells="1">
                  <from>
                    <xdr:col>3</xdr:col>
                    <xdr:colOff>0</xdr:colOff>
                    <xdr:row>30</xdr:row>
                    <xdr:rowOff>0</xdr:rowOff>
                  </from>
                  <to>
                    <xdr:col>4</xdr:col>
                    <xdr:colOff>0</xdr:colOff>
                    <xdr:row>31</xdr:row>
                    <xdr:rowOff>0</xdr:rowOff>
                  </to>
                </anchor>
              </controlPr>
            </control>
          </mc:Choice>
        </mc:AlternateContent>
        <mc:AlternateContent xmlns:mc="http://schemas.openxmlformats.org/markup-compatibility/2006">
          <mc:Choice Requires="x14">
            <control shapeId="1053" r:id="rId20" name="Drop Down 29">
              <controlPr defaultSize="0" autoLine="0" autoPict="0">
                <anchor moveWithCells="1">
                  <from>
                    <xdr:col>3</xdr:col>
                    <xdr:colOff>0</xdr:colOff>
                    <xdr:row>22</xdr:row>
                    <xdr:rowOff>0</xdr:rowOff>
                  </from>
                  <to>
                    <xdr:col>4</xdr:col>
                    <xdr:colOff>0</xdr:colOff>
                    <xdr:row>23</xdr:row>
                    <xdr:rowOff>0</xdr:rowOff>
                  </to>
                </anchor>
              </controlPr>
            </control>
          </mc:Choice>
        </mc:AlternateContent>
        <mc:AlternateContent xmlns:mc="http://schemas.openxmlformats.org/markup-compatibility/2006">
          <mc:Choice Requires="x14">
            <control shapeId="1054" r:id="rId21" name="Drop Down 30">
              <controlPr defaultSize="0" autoLine="0" autoPict="0">
                <anchor moveWithCells="1">
                  <from>
                    <xdr:col>3</xdr:col>
                    <xdr:colOff>0</xdr:colOff>
                    <xdr:row>23</xdr:row>
                    <xdr:rowOff>0</xdr:rowOff>
                  </from>
                  <to>
                    <xdr:col>4</xdr:col>
                    <xdr:colOff>0</xdr:colOff>
                    <xdr:row>24</xdr:row>
                    <xdr:rowOff>0</xdr:rowOff>
                  </to>
                </anchor>
              </controlPr>
            </control>
          </mc:Choice>
        </mc:AlternateContent>
        <mc:AlternateContent xmlns:mc="http://schemas.openxmlformats.org/markup-compatibility/2006">
          <mc:Choice Requires="x14">
            <control shapeId="1055" r:id="rId22" name="Drop Down 31">
              <controlPr defaultSize="0" autoLine="0" autoPict="0">
                <anchor moveWithCells="1">
                  <from>
                    <xdr:col>3</xdr:col>
                    <xdr:colOff>0</xdr:colOff>
                    <xdr:row>24</xdr:row>
                    <xdr:rowOff>0</xdr:rowOff>
                  </from>
                  <to>
                    <xdr:col>4</xdr:col>
                    <xdr:colOff>0</xdr:colOff>
                    <xdr:row>25</xdr:row>
                    <xdr:rowOff>0</xdr:rowOff>
                  </to>
                </anchor>
              </controlPr>
            </control>
          </mc:Choice>
        </mc:AlternateContent>
        <mc:AlternateContent xmlns:mc="http://schemas.openxmlformats.org/markup-compatibility/2006">
          <mc:Choice Requires="x14">
            <control shapeId="1056" r:id="rId23" name="Drop Down 32">
              <controlPr defaultSize="0" autoLine="0" autoPict="0">
                <anchor moveWithCells="1">
                  <from>
                    <xdr:col>3</xdr:col>
                    <xdr:colOff>0</xdr:colOff>
                    <xdr:row>25</xdr:row>
                    <xdr:rowOff>0</xdr:rowOff>
                  </from>
                  <to>
                    <xdr:col>4</xdr:col>
                    <xdr:colOff>0</xdr:colOff>
                    <xdr:row>26</xdr:row>
                    <xdr:rowOff>0</xdr:rowOff>
                  </to>
                </anchor>
              </controlPr>
            </control>
          </mc:Choice>
        </mc:AlternateContent>
        <mc:AlternateContent xmlns:mc="http://schemas.openxmlformats.org/markup-compatibility/2006">
          <mc:Choice Requires="x14">
            <control shapeId="1057" r:id="rId24" name="Drop Down 33">
              <controlPr defaultSize="0" autoLine="0" autoPict="0">
                <anchor moveWithCells="1">
                  <from>
                    <xdr:col>3</xdr:col>
                    <xdr:colOff>0</xdr:colOff>
                    <xdr:row>26</xdr:row>
                    <xdr:rowOff>0</xdr:rowOff>
                  </from>
                  <to>
                    <xdr:col>4</xdr:col>
                    <xdr:colOff>0</xdr:colOff>
                    <xdr:row>27</xdr:row>
                    <xdr:rowOff>0</xdr:rowOff>
                  </to>
                </anchor>
              </controlPr>
            </control>
          </mc:Choice>
        </mc:AlternateContent>
        <mc:AlternateContent xmlns:mc="http://schemas.openxmlformats.org/markup-compatibility/2006">
          <mc:Choice Requires="x14">
            <control shapeId="1058" r:id="rId25" name="Drop Down 34">
              <controlPr defaultSize="0" autoLine="0" autoPict="0">
                <anchor moveWithCells="1">
                  <from>
                    <xdr:col>3</xdr:col>
                    <xdr:colOff>0</xdr:colOff>
                    <xdr:row>27</xdr:row>
                    <xdr:rowOff>0</xdr:rowOff>
                  </from>
                  <to>
                    <xdr:col>4</xdr:col>
                    <xdr:colOff>0</xdr:colOff>
                    <xdr:row>28</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L41"/>
  <sheetViews>
    <sheetView workbookViewId="0">
      <selection activeCell="C8" sqref="C8"/>
    </sheetView>
  </sheetViews>
  <sheetFormatPr defaultRowHeight="13.2" outlineLevelCol="1" x14ac:dyDescent="0.25"/>
  <cols>
    <col min="1" max="1" width="1" customWidth="1"/>
    <col min="2" max="2" width="26" customWidth="1"/>
    <col min="3" max="3" width="18" bestFit="1" customWidth="1"/>
    <col min="4" max="4" width="18.6640625" customWidth="1"/>
    <col min="5" max="5" width="13.88671875" customWidth="1"/>
    <col min="6" max="6" width="7.44140625" customWidth="1"/>
    <col min="7" max="7" width="11.44140625" customWidth="1"/>
    <col min="8" max="8" width="13.5546875" customWidth="1"/>
    <col min="9" max="9" width="10.88671875" customWidth="1"/>
    <col min="10" max="10" width="15.6640625" customWidth="1"/>
    <col min="11" max="11" width="9.109375" hidden="1" customWidth="1" outlineLevel="1"/>
    <col min="12" max="12" width="9.109375" customWidth="1" collapsed="1"/>
  </cols>
  <sheetData>
    <row r="1" spans="2:11" ht="6" customHeight="1" x14ac:dyDescent="0.25">
      <c r="B1" s="55"/>
      <c r="C1" s="55"/>
      <c r="D1" s="55"/>
      <c r="E1" s="55"/>
      <c r="F1" s="55"/>
      <c r="G1" s="55"/>
      <c r="H1" s="55"/>
      <c r="I1" s="55"/>
      <c r="J1" s="55"/>
    </row>
    <row r="2" spans="2:11" ht="15.6" x14ac:dyDescent="0.3">
      <c r="B2" s="86" t="s">
        <v>356</v>
      </c>
      <c r="C2" s="55" t="s">
        <v>311</v>
      </c>
      <c r="D2" s="294" t="s">
        <v>335</v>
      </c>
      <c r="E2" s="295"/>
      <c r="F2" s="295"/>
      <c r="G2" s="298"/>
      <c r="H2" s="55"/>
      <c r="I2" s="55"/>
      <c r="J2" s="55"/>
    </row>
    <row r="3" spans="2:11" ht="4.5" customHeight="1" x14ac:dyDescent="0.3">
      <c r="B3" s="86"/>
      <c r="C3" s="55"/>
      <c r="D3" s="86"/>
      <c r="E3" s="55"/>
      <c r="F3" s="55"/>
      <c r="G3" s="55"/>
      <c r="H3" s="55"/>
      <c r="I3" s="55"/>
      <c r="J3" s="55"/>
    </row>
    <row r="4" spans="2:11" ht="15.9" customHeight="1" x14ac:dyDescent="0.25">
      <c r="B4" s="55"/>
      <c r="C4" s="87" t="s">
        <v>81</v>
      </c>
      <c r="D4" s="88">
        <v>3</v>
      </c>
      <c r="E4" s="55"/>
      <c r="F4" s="55"/>
      <c r="G4" s="55"/>
      <c r="H4" s="55"/>
      <c r="I4" s="55"/>
      <c r="J4" s="55"/>
    </row>
    <row r="5" spans="2:11" ht="4.5" customHeight="1" thickBot="1" x14ac:dyDescent="0.3">
      <c r="B5" s="55"/>
      <c r="C5" s="55"/>
      <c r="D5" s="55"/>
      <c r="E5" s="55"/>
      <c r="F5" s="55"/>
      <c r="G5" s="55"/>
      <c r="H5" s="55"/>
      <c r="I5" s="55"/>
      <c r="J5" s="55"/>
    </row>
    <row r="6" spans="2:11" ht="13.8" x14ac:dyDescent="0.25">
      <c r="B6" s="280" t="s">
        <v>32</v>
      </c>
      <c r="C6" s="281"/>
      <c r="D6" s="281"/>
      <c r="E6" s="281"/>
      <c r="F6" s="281"/>
      <c r="G6" s="281"/>
      <c r="H6" s="281"/>
      <c r="I6" s="281"/>
      <c r="J6" s="282"/>
    </row>
    <row r="7" spans="2:11" ht="15.6" x14ac:dyDescent="0.35">
      <c r="B7" s="24" t="s">
        <v>11</v>
      </c>
      <c r="C7" s="2" t="s">
        <v>26</v>
      </c>
      <c r="D7" s="2" t="s">
        <v>12</v>
      </c>
      <c r="E7" s="7" t="s">
        <v>64</v>
      </c>
      <c r="F7" s="8"/>
      <c r="G7" s="7" t="s">
        <v>9</v>
      </c>
      <c r="H7" s="8"/>
      <c r="I7" s="2" t="s">
        <v>70</v>
      </c>
      <c r="J7" s="25" t="s">
        <v>69</v>
      </c>
      <c r="K7" s="135" t="s">
        <v>340</v>
      </c>
    </row>
    <row r="8" spans="2:11" ht="15.9" customHeight="1" x14ac:dyDescent="0.35">
      <c r="B8" s="42" t="s">
        <v>10</v>
      </c>
      <c r="C8" s="49"/>
      <c r="D8" s="28">
        <v>3</v>
      </c>
      <c r="E8" s="47">
        <f>LOOKUP('Activity B'!D8,Units!A3:C8)*C8</f>
        <v>0</v>
      </c>
      <c r="F8" s="18" t="s">
        <v>0</v>
      </c>
      <c r="G8" s="50">
        <f>LOOKUP(cfg!B5 &amp; "_" &amp; D4,factors!C4:E43)</f>
        <v>0.65400000000000003</v>
      </c>
      <c r="H8" s="11" t="s">
        <v>71</v>
      </c>
      <c r="I8" s="4">
        <f>noerror(E8*G8)</f>
        <v>0</v>
      </c>
      <c r="J8" s="26">
        <f>noerror(I8/1000,0)</f>
        <v>0</v>
      </c>
      <c r="K8" s="140" t="s">
        <v>122</v>
      </c>
    </row>
    <row r="9" spans="2:11" ht="15.9" customHeight="1" x14ac:dyDescent="0.35">
      <c r="B9" s="42" t="s">
        <v>29</v>
      </c>
      <c r="C9" s="49"/>
      <c r="D9" s="30">
        <v>3</v>
      </c>
      <c r="E9" s="47">
        <f>LOOKUP('Activity B'!D9,Units!A40:C46)*C9</f>
        <v>0</v>
      </c>
      <c r="F9" s="19" t="s">
        <v>22</v>
      </c>
      <c r="G9" s="153">
        <f>LOOKUP(cfg!B5 &amp; "_" &amp; D4,factors!I4:K43)</f>
        <v>51.8</v>
      </c>
      <c r="H9" s="10" t="s">
        <v>72</v>
      </c>
      <c r="I9" s="4">
        <f>noerror(E9*G9)</f>
        <v>0</v>
      </c>
      <c r="J9" s="26">
        <f>noerror(I9/1000,0)</f>
        <v>0</v>
      </c>
      <c r="K9" s="140" t="str">
        <f>LOOKUP(cfg!B5 &amp; "_" &amp; D4,factors!I4:L43)</f>
        <v>PS</v>
      </c>
    </row>
    <row r="10" spans="2:11" ht="15.9" customHeight="1" x14ac:dyDescent="0.25">
      <c r="B10" s="42" t="s">
        <v>353</v>
      </c>
      <c r="C10" s="49"/>
      <c r="D10" s="30">
        <v>3</v>
      </c>
      <c r="E10" s="17">
        <f>LOOKUP('Activity B'!D10,Units!$A$26:$C$30)*C10</f>
        <v>0</v>
      </c>
      <c r="F10" s="20" t="s">
        <v>410</v>
      </c>
      <c r="G10" s="136">
        <f>LOOKUP(cfg!B7 &amp; "_LPG - non-transport",factors!AA1:AE40)</f>
        <v>2.9</v>
      </c>
      <c r="H10" s="14" t="s">
        <v>413</v>
      </c>
      <c r="I10" s="4">
        <f>noerror(E10*G10*1000)</f>
        <v>0</v>
      </c>
      <c r="J10" s="26">
        <f>noerror(I10/1000,0)</f>
        <v>0</v>
      </c>
      <c r="K10" s="140" t="str">
        <f>LOOKUP(cfg!B7 &amp; "_LPG - non-transport",factors!AA1:AD12)</f>
        <v>PS</v>
      </c>
    </row>
    <row r="11" spans="2:11" ht="15.9" customHeight="1" x14ac:dyDescent="0.25">
      <c r="B11" s="192" t="s">
        <v>66</v>
      </c>
      <c r="C11" s="198"/>
      <c r="D11" s="180"/>
      <c r="E11" s="181"/>
      <c r="F11" s="182"/>
      <c r="G11" s="183"/>
      <c r="H11" s="183"/>
      <c r="I11" s="184"/>
      <c r="J11" s="193"/>
      <c r="K11" s="140"/>
    </row>
    <row r="12" spans="2:11" ht="15.9" customHeight="1" x14ac:dyDescent="0.25">
      <c r="B12" s="42" t="s">
        <v>79</v>
      </c>
      <c r="C12" s="49"/>
      <c r="D12" s="28">
        <v>1</v>
      </c>
      <c r="E12" s="17">
        <f>LOOKUP('Activity B'!D12,Units!A19:C23)*C12</f>
        <v>0</v>
      </c>
      <c r="F12" s="21" t="s">
        <v>18</v>
      </c>
      <c r="G12" s="136">
        <f>LOOKUP(cfg!B7 &amp; "_Automotive Gasoline",factors!R3:V130)</f>
        <v>2.5</v>
      </c>
      <c r="H12" s="14" t="s">
        <v>411</v>
      </c>
      <c r="I12" s="4">
        <f>noerror(E12*G12)*1000</f>
        <v>0</v>
      </c>
      <c r="J12" s="26">
        <f t="shared" ref="J12:J19" si="0">noerror(I12/1000,0)</f>
        <v>0</v>
      </c>
      <c r="K12" s="140" t="str">
        <f>LOOKUP(cfg!B7 &amp; "_Automotive Gasoline",factors!R3:U130) &amp; " "</f>
        <v xml:space="preserve">PS </v>
      </c>
    </row>
    <row r="13" spans="2:11" ht="15.9" customHeight="1" x14ac:dyDescent="0.25">
      <c r="B13" s="42" t="s">
        <v>21</v>
      </c>
      <c r="C13" s="49"/>
      <c r="D13" s="28">
        <v>1</v>
      </c>
      <c r="E13" s="17">
        <f>LOOKUP('Activity B'!D13,Units!$A$19:$C$23)*C13</f>
        <v>0</v>
      </c>
      <c r="F13" s="22" t="s">
        <v>18</v>
      </c>
      <c r="G13" s="136">
        <f>LOOKUP(cfg!B7 &amp; "_ADO(current fuel)",factors!R3:V130)</f>
        <v>2.7</v>
      </c>
      <c r="H13" s="14" t="s">
        <v>411</v>
      </c>
      <c r="I13" s="4">
        <f t="shared" ref="I13:I19" si="1">noerror(E13*G13)*1000</f>
        <v>0</v>
      </c>
      <c r="J13" s="26">
        <f t="shared" si="0"/>
        <v>0</v>
      </c>
      <c r="K13" s="140" t="str">
        <f>LOOKUP(cfg!B7 &amp; "_ADO(current fuel)",factors!R3:U130)</f>
        <v>PS</v>
      </c>
    </row>
    <row r="14" spans="2:11" ht="15.9" customHeight="1" x14ac:dyDescent="0.25">
      <c r="B14" s="42" t="s">
        <v>33</v>
      </c>
      <c r="C14" s="49"/>
      <c r="D14" s="28">
        <v>1</v>
      </c>
      <c r="E14" s="17">
        <f>LOOKUP('Activity B'!D14,Units!$A$19:$C$23)*C14</f>
        <v>0</v>
      </c>
      <c r="F14" s="22" t="s">
        <v>18</v>
      </c>
      <c r="G14" s="136">
        <f>LOOKUP(cfg!B7 &amp; "_LPG",factors!R3:V130)</f>
        <v>1.6</v>
      </c>
      <c r="H14" s="14" t="s">
        <v>411</v>
      </c>
      <c r="I14" s="4">
        <f t="shared" si="1"/>
        <v>0</v>
      </c>
      <c r="J14" s="26">
        <f t="shared" si="0"/>
        <v>0</v>
      </c>
      <c r="K14" s="140" t="str">
        <f>LOOKUP(cfg!B7 &amp; "_LPG",factors!R3:U130)</f>
        <v>PS</v>
      </c>
    </row>
    <row r="15" spans="2:11" ht="15.9" customHeight="1" x14ac:dyDescent="0.35">
      <c r="B15" s="42" t="s">
        <v>55</v>
      </c>
      <c r="C15" s="49"/>
      <c r="D15" s="28">
        <v>3</v>
      </c>
      <c r="E15" s="17">
        <f>LOOKUP('Activity A'!D15,Units!$A$34:$C$36)*C15</f>
        <v>0</v>
      </c>
      <c r="F15" s="160" t="s">
        <v>138</v>
      </c>
      <c r="G15" s="136">
        <f>LOOKUP(cfg!B7 &amp; "_Natural Gas LDV",factors!R3:V130)</f>
        <v>2.4</v>
      </c>
      <c r="H15" s="14" t="s">
        <v>355</v>
      </c>
      <c r="I15" s="4">
        <f>noerror(E15*G15)</f>
        <v>0</v>
      </c>
      <c r="J15" s="26">
        <f t="shared" si="0"/>
        <v>0</v>
      </c>
      <c r="K15" s="140" t="str">
        <f>LOOKUP(cfg!B7 &amp; "_Natural Gas LDV",factors!R3:U130)</f>
        <v>PS</v>
      </c>
    </row>
    <row r="16" spans="2:11" ht="15.9" customHeight="1" x14ac:dyDescent="0.35">
      <c r="B16" s="43" t="s">
        <v>56</v>
      </c>
      <c r="C16" s="49"/>
      <c r="D16" s="28">
        <v>3</v>
      </c>
      <c r="E16" s="17">
        <f>LOOKUP('Activity A'!D16,Units!$A$34:$C$36)*C16</f>
        <v>0</v>
      </c>
      <c r="F16" s="160" t="s">
        <v>138</v>
      </c>
      <c r="G16" s="136">
        <f>LOOKUP(cfg!B7 &amp; "_Natural Gas HDV",factors!R3:V130)</f>
        <v>2.2000000000000002</v>
      </c>
      <c r="H16" s="14" t="s">
        <v>355</v>
      </c>
      <c r="I16" s="4">
        <f>noerror(E16*G16)</f>
        <v>0</v>
      </c>
      <c r="J16" s="26">
        <f t="shared" si="0"/>
        <v>0</v>
      </c>
      <c r="K16" s="140" t="str">
        <f>LOOKUP(cfg!B7 &amp; "_Natural Gas HDV",factors!R3:U130)</f>
        <v>PS</v>
      </c>
    </row>
    <row r="17" spans="2:11" ht="15.9" customHeight="1" x14ac:dyDescent="0.25">
      <c r="B17" s="42" t="s">
        <v>57</v>
      </c>
      <c r="C17" s="49"/>
      <c r="D17" s="28">
        <v>1</v>
      </c>
      <c r="E17" s="17">
        <f>LOOKUP('Activity B'!D17,Units!$A$19:$C$23)*C17</f>
        <v>0</v>
      </c>
      <c r="F17" s="22" t="s">
        <v>18</v>
      </c>
      <c r="G17" s="136">
        <f>LOOKUP(cfg!B7 &amp; "_Industrial/Marine diesel fuel",factors!AA1:AE40)</f>
        <v>2.8</v>
      </c>
      <c r="H17" s="14" t="s">
        <v>411</v>
      </c>
      <c r="I17" s="4">
        <f t="shared" si="1"/>
        <v>0</v>
      </c>
      <c r="J17" s="26">
        <f t="shared" si="0"/>
        <v>0</v>
      </c>
      <c r="K17" s="140" t="str">
        <f>LOOKUP(cfg!B7 &amp; "_Industrial/Marine diesel fuel",factors!AA1:AD40)</f>
        <v>PS</v>
      </c>
    </row>
    <row r="18" spans="2:11" ht="15.9" customHeight="1" x14ac:dyDescent="0.25">
      <c r="B18" s="42" t="s">
        <v>34</v>
      </c>
      <c r="C18" s="49"/>
      <c r="D18" s="28">
        <v>1</v>
      </c>
      <c r="E18" s="17">
        <f>LOOKUP('Activity B'!D18,Units!$A$19:$C$23)*C18</f>
        <v>0</v>
      </c>
      <c r="F18" s="22" t="s">
        <v>18</v>
      </c>
      <c r="G18" s="136">
        <f>LOOKUP(cfg!B7 &amp; "_Aviation Gasoline",factors!R3:V130)</f>
        <v>2.2999999999999998</v>
      </c>
      <c r="H18" s="14" t="s">
        <v>411</v>
      </c>
      <c r="I18" s="4">
        <f t="shared" si="1"/>
        <v>0</v>
      </c>
      <c r="J18" s="26">
        <f t="shared" si="0"/>
        <v>0</v>
      </c>
      <c r="K18" s="140" t="str">
        <f>LOOKUP(cfg!B7 &amp; "_Aviation Gasoline",factors!R3:U130)</f>
        <v>PS</v>
      </c>
    </row>
    <row r="19" spans="2:11" ht="15.9" customHeight="1" x14ac:dyDescent="0.25">
      <c r="B19" s="42" t="s">
        <v>35</v>
      </c>
      <c r="C19" s="49"/>
      <c r="D19" s="28">
        <v>1</v>
      </c>
      <c r="E19" s="17">
        <f>LOOKUP('Activity B'!D19,Units!$A$19:$C$23)*C19</f>
        <v>0</v>
      </c>
      <c r="F19" s="22" t="s">
        <v>18</v>
      </c>
      <c r="G19" s="136">
        <f>LOOKUP(cfg!B7 &amp; "_Aviation Turbine",factors!R3:V130)</f>
        <v>2.6</v>
      </c>
      <c r="H19" s="14" t="s">
        <v>411</v>
      </c>
      <c r="I19" s="4">
        <f t="shared" si="1"/>
        <v>0</v>
      </c>
      <c r="J19" s="26">
        <f t="shared" si="0"/>
        <v>0</v>
      </c>
      <c r="K19" s="140" t="str">
        <f>LOOKUP(cfg!B7 &amp; "_Aviation Turbine",factors!R3:U130)</f>
        <v>PS</v>
      </c>
    </row>
    <row r="20" spans="2:11" ht="15.9" customHeight="1" x14ac:dyDescent="0.25">
      <c r="B20" s="192" t="s">
        <v>142</v>
      </c>
      <c r="C20" s="185"/>
      <c r="D20" s="199"/>
      <c r="E20" s="181"/>
      <c r="F20" s="187"/>
      <c r="G20" s="200"/>
      <c r="H20" s="185"/>
      <c r="I20" s="184"/>
      <c r="J20" s="193"/>
      <c r="K20" s="140"/>
    </row>
    <row r="21" spans="2:11" ht="15.9" customHeight="1" x14ac:dyDescent="0.25">
      <c r="B21" s="42" t="s">
        <v>78</v>
      </c>
      <c r="C21" s="51"/>
      <c r="D21" s="28">
        <v>3</v>
      </c>
      <c r="E21" s="17">
        <f>LOOKUP('Activity B'!D21,Units!$A$26:$C$30)*C21</f>
        <v>0</v>
      </c>
      <c r="F21" s="23" t="s">
        <v>410</v>
      </c>
      <c r="G21" s="138">
        <f>LOOKUP(cfg!$B$7 &amp; "_comingled",factors!$AJ$3:$AM$102)</f>
        <v>1.2</v>
      </c>
      <c r="H21" s="13" t="s">
        <v>412</v>
      </c>
      <c r="I21" s="4">
        <f t="shared" ref="I21:I28" si="2">noerror(E21*G21*1000)</f>
        <v>0</v>
      </c>
      <c r="J21" s="26">
        <f t="shared" ref="J21:J28" si="3">noerror(I21/1000,0)</f>
        <v>0</v>
      </c>
      <c r="K21" s="140"/>
    </row>
    <row r="22" spans="2:11" ht="15.9" customHeight="1" x14ac:dyDescent="0.25">
      <c r="B22" s="42" t="s">
        <v>83</v>
      </c>
      <c r="C22" s="51"/>
      <c r="D22" s="28">
        <v>3</v>
      </c>
      <c r="E22" s="17">
        <f>LOOKUP('Activity B'!D22,Units!$A$26:$C$30)*C22</f>
        <v>0</v>
      </c>
      <c r="F22" s="23" t="s">
        <v>410</v>
      </c>
      <c r="G22" s="138">
        <f>LOOKUP(cfg!$B$7 &amp; "_paper",factors!$AJ$3:$AM$102)</f>
        <v>2.8</v>
      </c>
      <c r="H22" s="13" t="s">
        <v>412</v>
      </c>
      <c r="I22" s="4">
        <f t="shared" si="2"/>
        <v>0</v>
      </c>
      <c r="J22" s="26">
        <f t="shared" si="3"/>
        <v>0</v>
      </c>
      <c r="K22" s="140"/>
    </row>
    <row r="23" spans="2:11" ht="15.9" customHeight="1" x14ac:dyDescent="0.25">
      <c r="B23" s="42" t="s">
        <v>84</v>
      </c>
      <c r="C23" s="52"/>
      <c r="D23" s="28">
        <v>3</v>
      </c>
      <c r="E23" s="17">
        <f>LOOKUP('Activity B'!D23,Units!$A$26:$C$30)*C23</f>
        <v>0</v>
      </c>
      <c r="F23" s="23" t="s">
        <v>410</v>
      </c>
      <c r="G23" s="138">
        <f>LOOKUP(cfg!$B$7 &amp; "_textiles",factors!$AJ$3:$AM$102)</f>
        <v>3.9</v>
      </c>
      <c r="H23" s="13" t="s">
        <v>412</v>
      </c>
      <c r="I23" s="4">
        <f t="shared" si="2"/>
        <v>0</v>
      </c>
      <c r="J23" s="26">
        <f t="shared" si="3"/>
        <v>0</v>
      </c>
      <c r="K23" s="140"/>
    </row>
    <row r="24" spans="2:11" ht="15.9" customHeight="1" x14ac:dyDescent="0.25">
      <c r="B24" s="42" t="s">
        <v>77</v>
      </c>
      <c r="C24" s="52"/>
      <c r="D24" s="28">
        <v>3</v>
      </c>
      <c r="E24" s="17">
        <f>LOOKUP('Activity B'!D24,Units!$A$26:$C$30)*C24</f>
        <v>0</v>
      </c>
      <c r="F24" s="23" t="s">
        <v>410</v>
      </c>
      <c r="G24" s="138">
        <f>LOOKUP(cfg!$B$7 &amp; "_wood",factors!$AJ$3:$AM$102)</f>
        <v>2.1</v>
      </c>
      <c r="H24" s="13" t="s">
        <v>412</v>
      </c>
      <c r="I24" s="4">
        <f t="shared" si="2"/>
        <v>0</v>
      </c>
      <c r="J24" s="26">
        <f t="shared" si="3"/>
        <v>0</v>
      </c>
      <c r="K24" s="140"/>
    </row>
    <row r="25" spans="2:11" ht="15.9" customHeight="1" x14ac:dyDescent="0.25">
      <c r="B25" s="42" t="s">
        <v>76</v>
      </c>
      <c r="C25" s="52"/>
      <c r="D25" s="28">
        <v>3</v>
      </c>
      <c r="E25" s="17">
        <f>LOOKUP('Activity B'!D25,Units!$A$26:$C$30)*C25</f>
        <v>0</v>
      </c>
      <c r="F25" s="23" t="s">
        <v>410</v>
      </c>
      <c r="G25" s="138">
        <f>LOOKUP(cfg!$B$7 &amp; "_garden",factors!$AJ$3:$AM$102)</f>
        <v>1.2</v>
      </c>
      <c r="H25" s="13" t="s">
        <v>412</v>
      </c>
      <c r="I25" s="4">
        <f t="shared" si="2"/>
        <v>0</v>
      </c>
      <c r="J25" s="26">
        <f t="shared" si="3"/>
        <v>0</v>
      </c>
      <c r="K25" s="140"/>
    </row>
    <row r="26" spans="2:11" ht="15.9" customHeight="1" x14ac:dyDescent="0.25">
      <c r="B26" s="42" t="s">
        <v>75</v>
      </c>
      <c r="C26" s="52"/>
      <c r="D26" s="28">
        <v>3</v>
      </c>
      <c r="E26" s="17">
        <f>LOOKUP('Activity B'!D26,Units!$A$26:$C$30)*C26</f>
        <v>0</v>
      </c>
      <c r="F26" s="9" t="s">
        <v>410</v>
      </c>
      <c r="G26" s="138">
        <f>LOOKUP(cfg!$B$7 &amp; "_food",factors!$AJ$3:$AM$102)</f>
        <v>1.5</v>
      </c>
      <c r="H26" s="13" t="s">
        <v>412</v>
      </c>
      <c r="I26" s="4">
        <f t="shared" si="2"/>
        <v>0</v>
      </c>
      <c r="J26" s="26">
        <f t="shared" si="3"/>
        <v>0</v>
      </c>
      <c r="K26" s="140"/>
    </row>
    <row r="27" spans="2:11" ht="15.9" customHeight="1" x14ac:dyDescent="0.25">
      <c r="B27" s="42" t="s">
        <v>74</v>
      </c>
      <c r="C27" s="52"/>
      <c r="D27" s="28">
        <v>3</v>
      </c>
      <c r="E27" s="17">
        <f>LOOKUP('Activity B'!D27,Units!$A$26:$C$30)*C27</f>
        <v>0</v>
      </c>
      <c r="F27" s="9" t="s">
        <v>410</v>
      </c>
      <c r="G27" s="138">
        <f>LOOKUP(cfg!$B$7 &amp; "_medical",factors!$AJ$3:$AM$102)</f>
        <v>0.5</v>
      </c>
      <c r="H27" s="13" t="s">
        <v>412</v>
      </c>
      <c r="I27" s="4">
        <f t="shared" si="2"/>
        <v>0</v>
      </c>
      <c r="J27" s="26">
        <f t="shared" si="3"/>
        <v>0</v>
      </c>
      <c r="K27" s="140"/>
    </row>
    <row r="28" spans="2:11" ht="15.9" customHeight="1" x14ac:dyDescent="0.25">
      <c r="B28" s="42" t="s">
        <v>73</v>
      </c>
      <c r="C28" s="52"/>
      <c r="D28" s="28">
        <v>3</v>
      </c>
      <c r="E28" s="17">
        <f>LOOKUP('Activity B'!D28,Units!$A$26:$C$30)*C28</f>
        <v>0</v>
      </c>
      <c r="F28" s="9" t="s">
        <v>410</v>
      </c>
      <c r="G28" s="223">
        <f>LOOKUP(cfg!$B$7 &amp; "_concrete metal",factors!$AJ$3:$AM$102)</f>
        <v>0</v>
      </c>
      <c r="H28" s="13" t="s">
        <v>412</v>
      </c>
      <c r="I28" s="4">
        <f t="shared" si="2"/>
        <v>0</v>
      </c>
      <c r="J28" s="26">
        <f t="shared" si="3"/>
        <v>0</v>
      </c>
      <c r="K28" s="140"/>
    </row>
    <row r="29" spans="2:11" ht="15.9" customHeight="1" x14ac:dyDescent="0.25">
      <c r="B29" s="192" t="s">
        <v>67</v>
      </c>
      <c r="C29" s="189"/>
      <c r="D29" s="190"/>
      <c r="E29" s="191"/>
      <c r="F29" s="189"/>
      <c r="G29" s="189"/>
      <c r="H29" s="189"/>
      <c r="I29" s="189"/>
      <c r="J29" s="194"/>
      <c r="K29" s="140"/>
    </row>
    <row r="30" spans="2:11" ht="15.9" customHeight="1" x14ac:dyDescent="0.35">
      <c r="B30" s="42" t="s">
        <v>68</v>
      </c>
      <c r="C30" s="29"/>
      <c r="D30" s="28">
        <v>3</v>
      </c>
      <c r="E30" s="17">
        <f>LOOKUP('Activity B'!D30,Units!$A$26:$C$30)*C30</f>
        <v>0</v>
      </c>
      <c r="F30" s="23" t="s">
        <v>410</v>
      </c>
      <c r="G30" s="155">
        <v>23900</v>
      </c>
      <c r="H30" s="13" t="s">
        <v>412</v>
      </c>
      <c r="I30" s="4">
        <f>noerror(E30*G30)*1000</f>
        <v>0</v>
      </c>
      <c r="J30" s="26">
        <f>noerror(I30/1000,0)</f>
        <v>0</v>
      </c>
      <c r="K30" s="140"/>
    </row>
    <row r="31" spans="2:11" ht="15.9" customHeight="1" x14ac:dyDescent="0.25">
      <c r="B31" s="42" t="s">
        <v>65</v>
      </c>
      <c r="C31" s="29"/>
      <c r="D31" s="28">
        <v>3</v>
      </c>
      <c r="E31" s="17">
        <f>LOOKUP('Activity B'!D31,Units!$A$26:$C$30)*C31</f>
        <v>0</v>
      </c>
      <c r="F31" s="23" t="s">
        <v>410</v>
      </c>
      <c r="G31" s="16"/>
      <c r="H31" s="13" t="s">
        <v>412</v>
      </c>
      <c r="I31" s="4">
        <f>noerror(E31*G31)*1000</f>
        <v>0</v>
      </c>
      <c r="J31" s="26">
        <f>noerror(I31/1000,0)</f>
        <v>0</v>
      </c>
      <c r="K31" s="140"/>
    </row>
    <row r="32" spans="2:11" ht="15.9" customHeight="1" x14ac:dyDescent="0.25">
      <c r="B32" s="192" t="s">
        <v>28</v>
      </c>
      <c r="C32" s="185"/>
      <c r="D32" s="201"/>
      <c r="E32" s="185"/>
      <c r="F32" s="185"/>
      <c r="G32" s="185"/>
      <c r="H32" s="185"/>
      <c r="I32" s="185"/>
      <c r="J32" s="193"/>
      <c r="K32" s="140"/>
    </row>
    <row r="33" spans="2:11" ht="15.9" customHeight="1" x14ac:dyDescent="0.25">
      <c r="B33" s="37" t="s">
        <v>28</v>
      </c>
      <c r="C33" s="49"/>
      <c r="D33" s="28"/>
      <c r="E33" s="226">
        <f>C33</f>
        <v>0</v>
      </c>
      <c r="F33" s="38"/>
      <c r="G33" s="39"/>
      <c r="H33" s="210" t="s">
        <v>412</v>
      </c>
      <c r="I33" s="30">
        <f>noerror(E33*G33)*1000</f>
        <v>0</v>
      </c>
      <c r="J33" s="287">
        <f>noerror(I33/1000,0)</f>
        <v>0</v>
      </c>
      <c r="K33" s="140"/>
    </row>
    <row r="34" spans="2:11" ht="15.9" customHeight="1" x14ac:dyDescent="0.25">
      <c r="B34" s="37" t="s">
        <v>28</v>
      </c>
      <c r="C34" s="49"/>
      <c r="D34" s="28"/>
      <c r="E34" s="226">
        <f>C34</f>
        <v>0</v>
      </c>
      <c r="F34" s="38"/>
      <c r="G34" s="39"/>
      <c r="H34" s="210" t="s">
        <v>412</v>
      </c>
      <c r="I34" s="30">
        <f>noerror(E34*G34)*1000</f>
        <v>0</v>
      </c>
      <c r="J34" s="287">
        <f>noerror(I34/1000,0)</f>
        <v>0</v>
      </c>
      <c r="K34" s="140"/>
    </row>
    <row r="35" spans="2:11" ht="15.9" customHeight="1" x14ac:dyDescent="0.25">
      <c r="B35" s="37" t="s">
        <v>28</v>
      </c>
      <c r="C35" s="49"/>
      <c r="D35" s="28"/>
      <c r="E35" s="226">
        <f>C35</f>
        <v>0</v>
      </c>
      <c r="F35" s="38"/>
      <c r="G35" s="39"/>
      <c r="H35" s="210" t="s">
        <v>412</v>
      </c>
      <c r="I35" s="30">
        <f>noerror(E35*G35)*1000</f>
        <v>0</v>
      </c>
      <c r="J35" s="287">
        <f>noerror(I35/1000,0)</f>
        <v>0</v>
      </c>
      <c r="K35" s="140"/>
    </row>
    <row r="36" spans="2:11" ht="15.9" customHeight="1" x14ac:dyDescent="0.25">
      <c r="B36" s="283" t="s">
        <v>398</v>
      </c>
      <c r="C36" s="284"/>
      <c r="D36" s="284"/>
      <c r="E36" s="284"/>
      <c r="F36" s="284"/>
      <c r="G36" s="284"/>
      <c r="H36" s="284"/>
      <c r="I36" s="284"/>
      <c r="J36" s="285">
        <f>SUM(J8:K35)</f>
        <v>0</v>
      </c>
      <c r="K36" s="140"/>
    </row>
    <row r="37" spans="2:11" ht="15.9" customHeight="1" x14ac:dyDescent="0.25">
      <c r="B37" s="204" t="s">
        <v>423</v>
      </c>
      <c r="C37" s="205"/>
      <c r="D37" s="206"/>
      <c r="E37" s="207"/>
      <c r="F37" s="207"/>
      <c r="G37" s="206"/>
      <c r="H37" s="206"/>
      <c r="I37" s="208"/>
      <c r="J37" s="209"/>
      <c r="K37" s="140"/>
    </row>
    <row r="38" spans="2:11" ht="15.9" customHeight="1" x14ac:dyDescent="0.25">
      <c r="B38" s="33"/>
      <c r="C38" s="28"/>
      <c r="D38" s="28"/>
      <c r="E38" s="34"/>
      <c r="F38" s="35"/>
      <c r="G38" s="34"/>
      <c r="H38" s="35"/>
      <c r="I38" s="28"/>
      <c r="J38" s="36"/>
      <c r="K38" s="140"/>
    </row>
    <row r="39" spans="2:11" ht="15.9" customHeight="1" x14ac:dyDescent="0.25">
      <c r="B39" s="174"/>
      <c r="C39" s="175"/>
      <c r="D39" s="175"/>
      <c r="E39" s="176"/>
      <c r="F39" s="177"/>
      <c r="G39" s="176"/>
      <c r="H39" s="177"/>
      <c r="I39" s="175"/>
      <c r="J39" s="178"/>
      <c r="K39" s="140"/>
    </row>
    <row r="40" spans="2:11" ht="15.9" customHeight="1" x14ac:dyDescent="0.25">
      <c r="B40" s="283" t="s">
        <v>400</v>
      </c>
      <c r="C40" s="284"/>
      <c r="D40" s="284"/>
      <c r="E40" s="284"/>
      <c r="F40" s="284"/>
      <c r="G40" s="284"/>
      <c r="H40" s="284"/>
      <c r="I40" s="284"/>
      <c r="J40" s="285">
        <f>SUM(J38:J39)</f>
        <v>0</v>
      </c>
      <c r="K40" s="140"/>
    </row>
    <row r="41" spans="2:11" ht="15.9" customHeight="1" thickBot="1" x14ac:dyDescent="0.3">
      <c r="B41" s="202" t="s">
        <v>399</v>
      </c>
      <c r="C41" s="203"/>
      <c r="D41" s="203"/>
      <c r="E41" s="203"/>
      <c r="F41" s="203"/>
      <c r="G41" s="203"/>
      <c r="H41" s="203"/>
      <c r="I41" s="203"/>
      <c r="J41" s="197">
        <f>SUM(J40,J36)</f>
        <v>0</v>
      </c>
      <c r="K41" s="140"/>
    </row>
  </sheetData>
  <sheetProtection sheet="1" objects="1" scenarios="1"/>
  <mergeCells count="1">
    <mergeCell ref="D2:G2"/>
  </mergeCells>
  <phoneticPr fontId="0" type="noConversion"/>
  <dataValidations xWindow="117" yWindow="198" count="2">
    <dataValidation allowBlank="1" showInputMessage="1" showErrorMessage="1" promptTitle="Offsets" prompt="Offsets should be entered as negative values." sqref="C38:C39 J38:J39"/>
    <dataValidation allowBlank="1" showInputMessage="1" showErrorMessage="1" promptTitle="HFC" prompt="Different factors exist depending on what HFC is used. See workbook." sqref="C31"/>
  </dataValidations>
  <pageMargins left="0.75" right="0.64" top="1" bottom="1" header="0.5" footer="0.5"/>
  <pageSetup paperSize="9" orientation="landscape"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4097" r:id="rId4" name="Drop Down 1">
              <controlPr defaultSize="0" autoLine="0" autoPict="0">
                <anchor moveWithCells="1">
                  <from>
                    <xdr:col>3</xdr:col>
                    <xdr:colOff>0</xdr:colOff>
                    <xdr:row>3</xdr:row>
                    <xdr:rowOff>0</xdr:rowOff>
                  </from>
                  <to>
                    <xdr:col>4</xdr:col>
                    <xdr:colOff>0</xdr:colOff>
                    <xdr:row>4</xdr:row>
                    <xdr:rowOff>0</xdr:rowOff>
                  </to>
                </anchor>
              </controlPr>
            </control>
          </mc:Choice>
        </mc:AlternateContent>
        <mc:AlternateContent xmlns:mc="http://schemas.openxmlformats.org/markup-compatibility/2006">
          <mc:Choice Requires="x14">
            <control shapeId="4098" r:id="rId5" name="Drop Down 2">
              <controlPr defaultSize="0" autoLine="0" autoPict="0">
                <anchor moveWithCells="1">
                  <from>
                    <xdr:col>3</xdr:col>
                    <xdr:colOff>0</xdr:colOff>
                    <xdr:row>7</xdr:row>
                    <xdr:rowOff>0</xdr:rowOff>
                  </from>
                  <to>
                    <xdr:col>4</xdr:col>
                    <xdr:colOff>0</xdr:colOff>
                    <xdr:row>8</xdr:row>
                    <xdr:rowOff>0</xdr:rowOff>
                  </to>
                </anchor>
              </controlPr>
            </control>
          </mc:Choice>
        </mc:AlternateContent>
        <mc:AlternateContent xmlns:mc="http://schemas.openxmlformats.org/markup-compatibility/2006">
          <mc:Choice Requires="x14">
            <control shapeId="4100" r:id="rId6" name="Drop Down 4">
              <controlPr defaultSize="0" autoLine="0" autoPict="0">
                <anchor moveWithCells="1">
                  <from>
                    <xdr:col>3</xdr:col>
                    <xdr:colOff>0</xdr:colOff>
                    <xdr:row>11</xdr:row>
                    <xdr:rowOff>0</xdr:rowOff>
                  </from>
                  <to>
                    <xdr:col>4</xdr:col>
                    <xdr:colOff>0</xdr:colOff>
                    <xdr:row>12</xdr:row>
                    <xdr:rowOff>0</xdr:rowOff>
                  </to>
                </anchor>
              </controlPr>
            </control>
          </mc:Choice>
        </mc:AlternateContent>
        <mc:AlternateContent xmlns:mc="http://schemas.openxmlformats.org/markup-compatibility/2006">
          <mc:Choice Requires="x14">
            <control shapeId="4101" r:id="rId7" name="Drop Down 5">
              <controlPr defaultSize="0" autoLine="0" autoPict="0">
                <anchor moveWithCells="1">
                  <from>
                    <xdr:col>3</xdr:col>
                    <xdr:colOff>0</xdr:colOff>
                    <xdr:row>12</xdr:row>
                    <xdr:rowOff>0</xdr:rowOff>
                  </from>
                  <to>
                    <xdr:col>4</xdr:col>
                    <xdr:colOff>0</xdr:colOff>
                    <xdr:row>13</xdr:row>
                    <xdr:rowOff>0</xdr:rowOff>
                  </to>
                </anchor>
              </controlPr>
            </control>
          </mc:Choice>
        </mc:AlternateContent>
        <mc:AlternateContent xmlns:mc="http://schemas.openxmlformats.org/markup-compatibility/2006">
          <mc:Choice Requires="x14">
            <control shapeId="4102" r:id="rId8" name="Drop Down 6">
              <controlPr defaultSize="0" autoLine="0" autoPict="0">
                <anchor moveWithCells="1">
                  <from>
                    <xdr:col>3</xdr:col>
                    <xdr:colOff>0</xdr:colOff>
                    <xdr:row>21</xdr:row>
                    <xdr:rowOff>0</xdr:rowOff>
                  </from>
                  <to>
                    <xdr:col>4</xdr:col>
                    <xdr:colOff>0</xdr:colOff>
                    <xdr:row>22</xdr:row>
                    <xdr:rowOff>0</xdr:rowOff>
                  </to>
                </anchor>
              </controlPr>
            </control>
          </mc:Choice>
        </mc:AlternateContent>
        <mc:AlternateContent xmlns:mc="http://schemas.openxmlformats.org/markup-compatibility/2006">
          <mc:Choice Requires="x14">
            <control shapeId="4103" r:id="rId9" name="Drop Down 7">
              <controlPr defaultSize="0" autoLine="0" autoPict="0">
                <anchor moveWithCells="1">
                  <from>
                    <xdr:col>3</xdr:col>
                    <xdr:colOff>0</xdr:colOff>
                    <xdr:row>8</xdr:row>
                    <xdr:rowOff>0</xdr:rowOff>
                  </from>
                  <to>
                    <xdr:col>4</xdr:col>
                    <xdr:colOff>0</xdr:colOff>
                    <xdr:row>9</xdr:row>
                    <xdr:rowOff>0</xdr:rowOff>
                  </to>
                </anchor>
              </controlPr>
            </control>
          </mc:Choice>
        </mc:AlternateContent>
        <mc:AlternateContent xmlns:mc="http://schemas.openxmlformats.org/markup-compatibility/2006">
          <mc:Choice Requires="x14">
            <control shapeId="4104" r:id="rId10" name="Drop Down 8">
              <controlPr defaultSize="0" autoLine="0" autoPict="0">
                <anchor moveWithCells="1">
                  <from>
                    <xdr:col>3</xdr:col>
                    <xdr:colOff>0</xdr:colOff>
                    <xdr:row>20</xdr:row>
                    <xdr:rowOff>0</xdr:rowOff>
                  </from>
                  <to>
                    <xdr:col>4</xdr:col>
                    <xdr:colOff>0</xdr:colOff>
                    <xdr:row>21</xdr:row>
                    <xdr:rowOff>0</xdr:rowOff>
                  </to>
                </anchor>
              </controlPr>
            </control>
          </mc:Choice>
        </mc:AlternateContent>
        <mc:AlternateContent xmlns:mc="http://schemas.openxmlformats.org/markup-compatibility/2006">
          <mc:Choice Requires="x14">
            <control shapeId="4106" r:id="rId11" name="Drop Down 10">
              <controlPr defaultSize="0" autoLine="0" autoPict="0">
                <anchor moveWithCells="1">
                  <from>
                    <xdr:col>3</xdr:col>
                    <xdr:colOff>0</xdr:colOff>
                    <xdr:row>9</xdr:row>
                    <xdr:rowOff>0</xdr:rowOff>
                  </from>
                  <to>
                    <xdr:col>4</xdr:col>
                    <xdr:colOff>0</xdr:colOff>
                    <xdr:row>10</xdr:row>
                    <xdr:rowOff>0</xdr:rowOff>
                  </to>
                </anchor>
              </controlPr>
            </control>
          </mc:Choice>
        </mc:AlternateContent>
        <mc:AlternateContent xmlns:mc="http://schemas.openxmlformats.org/markup-compatibility/2006">
          <mc:Choice Requires="x14">
            <control shapeId="4107" r:id="rId12" name="Drop Down 11">
              <controlPr defaultSize="0" autoLine="0" autoPict="0">
                <anchor moveWithCells="1">
                  <from>
                    <xdr:col>3</xdr:col>
                    <xdr:colOff>0</xdr:colOff>
                    <xdr:row>13</xdr:row>
                    <xdr:rowOff>0</xdr:rowOff>
                  </from>
                  <to>
                    <xdr:col>4</xdr:col>
                    <xdr:colOff>0</xdr:colOff>
                    <xdr:row>14</xdr:row>
                    <xdr:rowOff>0</xdr:rowOff>
                  </to>
                </anchor>
              </controlPr>
            </control>
          </mc:Choice>
        </mc:AlternateContent>
        <mc:AlternateContent xmlns:mc="http://schemas.openxmlformats.org/markup-compatibility/2006">
          <mc:Choice Requires="x14">
            <control shapeId="4108" r:id="rId13" name="Drop Down 12">
              <controlPr defaultSize="0" autoLine="0" autoPict="0">
                <anchor moveWithCells="1">
                  <from>
                    <xdr:col>3</xdr:col>
                    <xdr:colOff>0</xdr:colOff>
                    <xdr:row>14</xdr:row>
                    <xdr:rowOff>0</xdr:rowOff>
                  </from>
                  <to>
                    <xdr:col>4</xdr:col>
                    <xdr:colOff>0</xdr:colOff>
                    <xdr:row>15</xdr:row>
                    <xdr:rowOff>0</xdr:rowOff>
                  </to>
                </anchor>
              </controlPr>
            </control>
          </mc:Choice>
        </mc:AlternateContent>
        <mc:AlternateContent xmlns:mc="http://schemas.openxmlformats.org/markup-compatibility/2006">
          <mc:Choice Requires="x14">
            <control shapeId="4109" r:id="rId14" name="Drop Down 13">
              <controlPr defaultSize="0" autoLine="0" autoPict="0">
                <anchor moveWithCells="1">
                  <from>
                    <xdr:col>3</xdr:col>
                    <xdr:colOff>0</xdr:colOff>
                    <xdr:row>15</xdr:row>
                    <xdr:rowOff>0</xdr:rowOff>
                  </from>
                  <to>
                    <xdr:col>4</xdr:col>
                    <xdr:colOff>0</xdr:colOff>
                    <xdr:row>16</xdr:row>
                    <xdr:rowOff>0</xdr:rowOff>
                  </to>
                </anchor>
              </controlPr>
            </control>
          </mc:Choice>
        </mc:AlternateContent>
        <mc:AlternateContent xmlns:mc="http://schemas.openxmlformats.org/markup-compatibility/2006">
          <mc:Choice Requires="x14">
            <control shapeId="4113" r:id="rId15" name="Drop Down 17">
              <controlPr defaultSize="0" autoLine="0" autoPict="0">
                <anchor moveWithCells="1">
                  <from>
                    <xdr:col>3</xdr:col>
                    <xdr:colOff>0</xdr:colOff>
                    <xdr:row>16</xdr:row>
                    <xdr:rowOff>0</xdr:rowOff>
                  </from>
                  <to>
                    <xdr:col>4</xdr:col>
                    <xdr:colOff>0</xdr:colOff>
                    <xdr:row>17</xdr:row>
                    <xdr:rowOff>0</xdr:rowOff>
                  </to>
                </anchor>
              </controlPr>
            </control>
          </mc:Choice>
        </mc:AlternateContent>
        <mc:AlternateContent xmlns:mc="http://schemas.openxmlformats.org/markup-compatibility/2006">
          <mc:Choice Requires="x14">
            <control shapeId="4114" r:id="rId16" name="Drop Down 18">
              <controlPr defaultSize="0" autoLine="0" autoPict="0">
                <anchor moveWithCells="1">
                  <from>
                    <xdr:col>3</xdr:col>
                    <xdr:colOff>0</xdr:colOff>
                    <xdr:row>17</xdr:row>
                    <xdr:rowOff>0</xdr:rowOff>
                  </from>
                  <to>
                    <xdr:col>4</xdr:col>
                    <xdr:colOff>0</xdr:colOff>
                    <xdr:row>18</xdr:row>
                    <xdr:rowOff>0</xdr:rowOff>
                  </to>
                </anchor>
              </controlPr>
            </control>
          </mc:Choice>
        </mc:AlternateContent>
        <mc:AlternateContent xmlns:mc="http://schemas.openxmlformats.org/markup-compatibility/2006">
          <mc:Choice Requires="x14">
            <control shapeId="4115" r:id="rId17" name="Drop Down 19">
              <controlPr defaultSize="0" autoLine="0" autoPict="0">
                <anchor moveWithCells="1">
                  <from>
                    <xdr:col>3</xdr:col>
                    <xdr:colOff>0</xdr:colOff>
                    <xdr:row>18</xdr:row>
                    <xdr:rowOff>0</xdr:rowOff>
                  </from>
                  <to>
                    <xdr:col>4</xdr:col>
                    <xdr:colOff>0</xdr:colOff>
                    <xdr:row>19</xdr:row>
                    <xdr:rowOff>0</xdr:rowOff>
                  </to>
                </anchor>
              </controlPr>
            </control>
          </mc:Choice>
        </mc:AlternateContent>
        <mc:AlternateContent xmlns:mc="http://schemas.openxmlformats.org/markup-compatibility/2006">
          <mc:Choice Requires="x14">
            <control shapeId="4119" r:id="rId18" name="Drop Down 23">
              <controlPr defaultSize="0" autoLine="0" autoPict="0">
                <anchor moveWithCells="1">
                  <from>
                    <xdr:col>3</xdr:col>
                    <xdr:colOff>0</xdr:colOff>
                    <xdr:row>29</xdr:row>
                    <xdr:rowOff>0</xdr:rowOff>
                  </from>
                  <to>
                    <xdr:col>4</xdr:col>
                    <xdr:colOff>0</xdr:colOff>
                    <xdr:row>30</xdr:row>
                    <xdr:rowOff>0</xdr:rowOff>
                  </to>
                </anchor>
              </controlPr>
            </control>
          </mc:Choice>
        </mc:AlternateContent>
        <mc:AlternateContent xmlns:mc="http://schemas.openxmlformats.org/markup-compatibility/2006">
          <mc:Choice Requires="x14">
            <control shapeId="4121" r:id="rId19" name="Drop Down 25">
              <controlPr defaultSize="0" autoLine="0" autoPict="0">
                <anchor moveWithCells="1">
                  <from>
                    <xdr:col>3</xdr:col>
                    <xdr:colOff>0</xdr:colOff>
                    <xdr:row>30</xdr:row>
                    <xdr:rowOff>0</xdr:rowOff>
                  </from>
                  <to>
                    <xdr:col>4</xdr:col>
                    <xdr:colOff>0</xdr:colOff>
                    <xdr:row>31</xdr:row>
                    <xdr:rowOff>0</xdr:rowOff>
                  </to>
                </anchor>
              </controlPr>
            </control>
          </mc:Choice>
        </mc:AlternateContent>
        <mc:AlternateContent xmlns:mc="http://schemas.openxmlformats.org/markup-compatibility/2006">
          <mc:Choice Requires="x14">
            <control shapeId="4124" r:id="rId20" name="Drop Down 28">
              <controlPr defaultSize="0" autoLine="0" autoPict="0">
                <anchor moveWithCells="1">
                  <from>
                    <xdr:col>3</xdr:col>
                    <xdr:colOff>0</xdr:colOff>
                    <xdr:row>22</xdr:row>
                    <xdr:rowOff>0</xdr:rowOff>
                  </from>
                  <to>
                    <xdr:col>4</xdr:col>
                    <xdr:colOff>0</xdr:colOff>
                    <xdr:row>23</xdr:row>
                    <xdr:rowOff>0</xdr:rowOff>
                  </to>
                </anchor>
              </controlPr>
            </control>
          </mc:Choice>
        </mc:AlternateContent>
        <mc:AlternateContent xmlns:mc="http://schemas.openxmlformats.org/markup-compatibility/2006">
          <mc:Choice Requires="x14">
            <control shapeId="4125" r:id="rId21" name="Drop Down 29">
              <controlPr defaultSize="0" autoLine="0" autoPict="0">
                <anchor moveWithCells="1">
                  <from>
                    <xdr:col>3</xdr:col>
                    <xdr:colOff>0</xdr:colOff>
                    <xdr:row>23</xdr:row>
                    <xdr:rowOff>0</xdr:rowOff>
                  </from>
                  <to>
                    <xdr:col>4</xdr:col>
                    <xdr:colOff>0</xdr:colOff>
                    <xdr:row>24</xdr:row>
                    <xdr:rowOff>0</xdr:rowOff>
                  </to>
                </anchor>
              </controlPr>
            </control>
          </mc:Choice>
        </mc:AlternateContent>
        <mc:AlternateContent xmlns:mc="http://schemas.openxmlformats.org/markup-compatibility/2006">
          <mc:Choice Requires="x14">
            <control shapeId="4126" r:id="rId22" name="Drop Down 30">
              <controlPr defaultSize="0" autoLine="0" autoPict="0">
                <anchor moveWithCells="1">
                  <from>
                    <xdr:col>3</xdr:col>
                    <xdr:colOff>0</xdr:colOff>
                    <xdr:row>24</xdr:row>
                    <xdr:rowOff>0</xdr:rowOff>
                  </from>
                  <to>
                    <xdr:col>4</xdr:col>
                    <xdr:colOff>0</xdr:colOff>
                    <xdr:row>25</xdr:row>
                    <xdr:rowOff>0</xdr:rowOff>
                  </to>
                </anchor>
              </controlPr>
            </control>
          </mc:Choice>
        </mc:AlternateContent>
        <mc:AlternateContent xmlns:mc="http://schemas.openxmlformats.org/markup-compatibility/2006">
          <mc:Choice Requires="x14">
            <control shapeId="4127" r:id="rId23" name="Drop Down 31">
              <controlPr defaultSize="0" autoLine="0" autoPict="0">
                <anchor moveWithCells="1">
                  <from>
                    <xdr:col>3</xdr:col>
                    <xdr:colOff>0</xdr:colOff>
                    <xdr:row>25</xdr:row>
                    <xdr:rowOff>0</xdr:rowOff>
                  </from>
                  <to>
                    <xdr:col>4</xdr:col>
                    <xdr:colOff>0</xdr:colOff>
                    <xdr:row>26</xdr:row>
                    <xdr:rowOff>0</xdr:rowOff>
                  </to>
                </anchor>
              </controlPr>
            </control>
          </mc:Choice>
        </mc:AlternateContent>
        <mc:AlternateContent xmlns:mc="http://schemas.openxmlformats.org/markup-compatibility/2006">
          <mc:Choice Requires="x14">
            <control shapeId="4128" r:id="rId24" name="Drop Down 32">
              <controlPr defaultSize="0" autoLine="0" autoPict="0">
                <anchor moveWithCells="1">
                  <from>
                    <xdr:col>3</xdr:col>
                    <xdr:colOff>0</xdr:colOff>
                    <xdr:row>26</xdr:row>
                    <xdr:rowOff>0</xdr:rowOff>
                  </from>
                  <to>
                    <xdr:col>4</xdr:col>
                    <xdr:colOff>0</xdr:colOff>
                    <xdr:row>27</xdr:row>
                    <xdr:rowOff>0</xdr:rowOff>
                  </to>
                </anchor>
              </controlPr>
            </control>
          </mc:Choice>
        </mc:AlternateContent>
        <mc:AlternateContent xmlns:mc="http://schemas.openxmlformats.org/markup-compatibility/2006">
          <mc:Choice Requires="x14">
            <control shapeId="4129" r:id="rId25" name="Drop Down 33">
              <controlPr defaultSize="0" autoLine="0" autoPict="0">
                <anchor moveWithCells="1">
                  <from>
                    <xdr:col>3</xdr:col>
                    <xdr:colOff>0</xdr:colOff>
                    <xdr:row>27</xdr:row>
                    <xdr:rowOff>0</xdr:rowOff>
                  </from>
                  <to>
                    <xdr:col>4</xdr:col>
                    <xdr:colOff>0</xdr:colOff>
                    <xdr:row>28</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dimension ref="A1:L45"/>
  <sheetViews>
    <sheetView workbookViewId="0">
      <selection activeCell="C8" sqref="C8"/>
    </sheetView>
  </sheetViews>
  <sheetFormatPr defaultColWidth="9.109375" defaultRowHeight="13.2" outlineLevelCol="1" x14ac:dyDescent="0.25"/>
  <cols>
    <col min="1" max="1" width="1" style="93" customWidth="1"/>
    <col min="2" max="2" width="26" customWidth="1"/>
    <col min="3" max="3" width="18" bestFit="1" customWidth="1"/>
    <col min="4" max="4" width="17.88671875" customWidth="1"/>
    <col min="5" max="5" width="13.88671875" customWidth="1"/>
    <col min="6" max="6" width="7.44140625" customWidth="1"/>
    <col min="7" max="7" width="11.44140625" customWidth="1"/>
    <col min="8" max="8" width="13.5546875" customWidth="1"/>
    <col min="9" max="9" width="10.88671875" customWidth="1"/>
    <col min="10" max="10" width="16" customWidth="1"/>
    <col min="11" max="11" width="9.109375" style="141" hidden="1" customWidth="1" outlineLevel="1"/>
    <col min="12" max="12" width="9.109375" style="93" collapsed="1"/>
    <col min="13" max="16384" width="9.109375" style="93"/>
  </cols>
  <sheetData>
    <row r="1" spans="1:12" s="6" customFormat="1" ht="6" customHeight="1" x14ac:dyDescent="0.25">
      <c r="A1" s="92"/>
      <c r="B1" s="55"/>
      <c r="C1" s="55"/>
      <c r="D1" s="55"/>
      <c r="E1" s="55"/>
      <c r="F1" s="55"/>
      <c r="G1" s="55"/>
      <c r="H1" s="55"/>
      <c r="I1" s="55"/>
      <c r="J1" s="55"/>
      <c r="K1" s="102"/>
    </row>
    <row r="2" spans="1:12" s="6" customFormat="1" ht="15.6" x14ac:dyDescent="0.3">
      <c r="A2" s="92"/>
      <c r="B2" s="86" t="s">
        <v>357</v>
      </c>
      <c r="C2" s="55" t="s">
        <v>311</v>
      </c>
      <c r="D2" s="294" t="s">
        <v>359</v>
      </c>
      <c r="E2" s="295"/>
      <c r="F2" s="296"/>
      <c r="G2" s="297"/>
      <c r="H2" s="55"/>
      <c r="I2" s="55"/>
      <c r="J2" s="55"/>
      <c r="K2" s="102"/>
    </row>
    <row r="3" spans="1:12" s="6" customFormat="1" ht="4.5" customHeight="1" x14ac:dyDescent="0.3">
      <c r="A3" s="92"/>
      <c r="B3" s="86"/>
      <c r="C3" s="55"/>
      <c r="D3" s="89"/>
      <c r="E3" s="90"/>
      <c r="F3" s="90"/>
      <c r="G3" s="90"/>
      <c r="H3" s="55"/>
      <c r="I3" s="55"/>
      <c r="J3" s="55"/>
      <c r="K3" s="102"/>
    </row>
    <row r="4" spans="1:12" s="6" customFormat="1" ht="15.9" customHeight="1" x14ac:dyDescent="0.25">
      <c r="A4" s="92"/>
      <c r="B4" s="55"/>
      <c r="C4" s="87" t="s">
        <v>81</v>
      </c>
      <c r="D4" s="88">
        <v>2</v>
      </c>
      <c r="E4" s="55"/>
      <c r="F4" s="55"/>
      <c r="G4" s="55"/>
      <c r="H4" s="55"/>
      <c r="I4" s="55"/>
      <c r="J4" s="55"/>
      <c r="K4" s="102"/>
    </row>
    <row r="5" spans="1:12" ht="4.5" customHeight="1" thickBot="1" x14ac:dyDescent="0.3">
      <c r="A5" s="91"/>
      <c r="B5" s="55"/>
      <c r="C5" s="87"/>
      <c r="D5" s="88"/>
      <c r="E5" s="55"/>
      <c r="F5" s="55"/>
      <c r="G5" s="55"/>
      <c r="H5" s="55"/>
      <c r="I5" s="55"/>
      <c r="J5" s="55"/>
    </row>
    <row r="6" spans="1:12" ht="13.8" x14ac:dyDescent="0.25">
      <c r="B6" s="277" t="s">
        <v>32</v>
      </c>
      <c r="C6" s="278"/>
      <c r="D6" s="278"/>
      <c r="E6" s="278"/>
      <c r="F6" s="278"/>
      <c r="G6" s="278"/>
      <c r="H6" s="278"/>
      <c r="I6" s="278"/>
      <c r="J6" s="279"/>
    </row>
    <row r="7" spans="1:12" ht="15.6" x14ac:dyDescent="0.35">
      <c r="B7" s="118" t="s">
        <v>11</v>
      </c>
      <c r="C7" s="119" t="s">
        <v>26</v>
      </c>
      <c r="D7" s="119" t="s">
        <v>12</v>
      </c>
      <c r="E7" s="120" t="s">
        <v>64</v>
      </c>
      <c r="F7" s="121"/>
      <c r="G7" s="120" t="s">
        <v>9</v>
      </c>
      <c r="H7" s="121"/>
      <c r="I7" s="119" t="s">
        <v>70</v>
      </c>
      <c r="J7" s="122" t="s">
        <v>69</v>
      </c>
      <c r="K7" s="135" t="s">
        <v>340</v>
      </c>
    </row>
    <row r="8" spans="1:12" ht="15.9" customHeight="1" x14ac:dyDescent="0.35">
      <c r="B8" s="42" t="s">
        <v>10</v>
      </c>
      <c r="C8" s="49"/>
      <c r="D8" s="28">
        <v>3</v>
      </c>
      <c r="E8" s="47">
        <f>LOOKUP('Activity C'!D8,Units!A3:C8)*C8</f>
        <v>0</v>
      </c>
      <c r="F8" s="18" t="s">
        <v>0</v>
      </c>
      <c r="G8" s="50">
        <f>LOOKUP(cfg!B5 &amp; "_" &amp; D4,factors!C4:E43)</f>
        <v>1.012</v>
      </c>
      <c r="H8" s="11" t="s">
        <v>71</v>
      </c>
      <c r="I8" s="4">
        <f>noerror(E8*G8)</f>
        <v>0</v>
      </c>
      <c r="J8" s="26">
        <f>noerror(I8/1000,0)</f>
        <v>0</v>
      </c>
      <c r="K8" s="140" t="s">
        <v>122</v>
      </c>
    </row>
    <row r="9" spans="1:12" ht="15.9" customHeight="1" x14ac:dyDescent="0.35">
      <c r="B9" s="42" t="s">
        <v>354</v>
      </c>
      <c r="C9" s="49"/>
      <c r="D9" s="30">
        <v>3</v>
      </c>
      <c r="E9" s="47">
        <f>LOOKUP('Activity C'!D9,Units!A40:C46)*C9</f>
        <v>0</v>
      </c>
      <c r="F9" s="19" t="s">
        <v>22</v>
      </c>
      <c r="G9" s="154">
        <f>LOOKUP(cfg!B5 &amp; "_" &amp; D4,factors!I4:K43)</f>
        <v>51.7</v>
      </c>
      <c r="H9" s="10" t="s">
        <v>72</v>
      </c>
      <c r="I9" s="4">
        <f>noerror(E9*G9)</f>
        <v>0</v>
      </c>
      <c r="J9" s="26">
        <f>noerror(I9/1000,0)</f>
        <v>0</v>
      </c>
      <c r="K9" s="140" t="str">
        <f>LOOKUP(cfg!B5 &amp; "_" &amp; D4,factors!I4:L43)</f>
        <v>PS</v>
      </c>
    </row>
    <row r="10" spans="1:12" ht="15.9" customHeight="1" x14ac:dyDescent="0.25">
      <c r="B10" s="42" t="s">
        <v>353</v>
      </c>
      <c r="C10" s="49"/>
      <c r="D10" s="30">
        <v>3</v>
      </c>
      <c r="E10" s="17">
        <f>LOOKUP('Activity C'!D10,Units!$A$26:$C$30)*C10</f>
        <v>0</v>
      </c>
      <c r="F10" s="20" t="s">
        <v>410</v>
      </c>
      <c r="G10" s="130">
        <f>LOOKUP(cfg!B7 &amp; "_LPG - non-transport",factors!AA1:AE40)</f>
        <v>2.9</v>
      </c>
      <c r="H10" s="14" t="s">
        <v>413</v>
      </c>
      <c r="I10" s="4">
        <f>noerror(E10*G10*1000)</f>
        <v>0</v>
      </c>
      <c r="J10" s="26">
        <f>noerror(I10/1000,0)</f>
        <v>0</v>
      </c>
      <c r="K10" s="140" t="str">
        <f>LOOKUP(cfg!B7 &amp; "_LPG - non-transport",factors!AA1:AD12)</f>
        <v>PS</v>
      </c>
    </row>
    <row r="11" spans="1:12" ht="15.9" customHeight="1" x14ac:dyDescent="0.25">
      <c r="B11" s="192" t="s">
        <v>66</v>
      </c>
      <c r="C11" s="198"/>
      <c r="D11" s="180"/>
      <c r="E11" s="181"/>
      <c r="F11" s="182"/>
      <c r="G11" s="183"/>
      <c r="H11" s="183"/>
      <c r="I11" s="184"/>
      <c r="J11" s="193"/>
      <c r="K11" s="140"/>
    </row>
    <row r="12" spans="1:12" ht="15.9" customHeight="1" x14ac:dyDescent="0.25">
      <c r="B12" s="42" t="s">
        <v>79</v>
      </c>
      <c r="C12" s="49"/>
      <c r="D12" s="28">
        <v>1</v>
      </c>
      <c r="E12" s="17">
        <f>LOOKUP('Activity C'!D12,Units!A19:C23)*C12</f>
        <v>0</v>
      </c>
      <c r="F12" s="21" t="s">
        <v>18</v>
      </c>
      <c r="G12" s="136">
        <f>LOOKUP(cfg!B7 &amp; "_Automotive Gasoline",factors!R3:V130)</f>
        <v>2.5</v>
      </c>
      <c r="H12" s="14" t="s">
        <v>411</v>
      </c>
      <c r="I12" s="4">
        <f t="shared" ref="I12:I19" si="0">noerror(E12*G12*1000)</f>
        <v>0</v>
      </c>
      <c r="J12" s="26">
        <f t="shared" ref="J12:J19" si="1">noerror(I12/1000,0)</f>
        <v>0</v>
      </c>
      <c r="K12" s="140" t="str">
        <f>LOOKUP(cfg!B7 &amp; "_Automotive Gasoline",factors!R3:U130) &amp; " "</f>
        <v xml:space="preserve">PS </v>
      </c>
    </row>
    <row r="13" spans="1:12" ht="15.9" customHeight="1" x14ac:dyDescent="0.25">
      <c r="B13" s="42" t="s">
        <v>21</v>
      </c>
      <c r="C13" s="49"/>
      <c r="D13" s="28">
        <v>1</v>
      </c>
      <c r="E13" s="17">
        <f>LOOKUP('Activity C'!D13,Units!$A$19:$C$23)*C13</f>
        <v>0</v>
      </c>
      <c r="F13" s="22" t="s">
        <v>18</v>
      </c>
      <c r="G13" s="136">
        <f>LOOKUP(cfg!B7 &amp; "_ADO(current fuel)",factors!R3:V130)</f>
        <v>2.7</v>
      </c>
      <c r="H13" s="14" t="s">
        <v>411</v>
      </c>
      <c r="I13" s="4">
        <f t="shared" si="0"/>
        <v>0</v>
      </c>
      <c r="J13" s="26">
        <f t="shared" si="1"/>
        <v>0</v>
      </c>
      <c r="K13" s="140" t="str">
        <f>LOOKUP(cfg!B7 &amp; "_ADO(current fuel)",factors!R3:U130)</f>
        <v>PS</v>
      </c>
      <c r="L13" s="131"/>
    </row>
    <row r="14" spans="1:12" ht="15.9" customHeight="1" x14ac:dyDescent="0.25">
      <c r="B14" s="42" t="s">
        <v>33</v>
      </c>
      <c r="C14" s="49"/>
      <c r="D14" s="28">
        <v>1</v>
      </c>
      <c r="E14" s="17">
        <f>LOOKUP('Activity C'!D14,Units!$A$19:$C$23)*C14</f>
        <v>0</v>
      </c>
      <c r="F14" s="22" t="s">
        <v>18</v>
      </c>
      <c r="G14" s="136">
        <f>LOOKUP(cfg!B7 &amp; "_LPG",factors!R3:V130)</f>
        <v>1.6</v>
      </c>
      <c r="H14" s="14" t="s">
        <v>411</v>
      </c>
      <c r="I14" s="4">
        <f t="shared" si="0"/>
        <v>0</v>
      </c>
      <c r="J14" s="26">
        <f t="shared" si="1"/>
        <v>0</v>
      </c>
      <c r="K14" s="140" t="str">
        <f>LOOKUP(cfg!B7 &amp; "_LPG",factors!R3:U130)</f>
        <v>PS</v>
      </c>
    </row>
    <row r="15" spans="1:12" ht="15.9" customHeight="1" x14ac:dyDescent="0.35">
      <c r="B15" s="42" t="s">
        <v>55</v>
      </c>
      <c r="C15" s="49"/>
      <c r="D15" s="28">
        <v>3</v>
      </c>
      <c r="E15" s="17">
        <f>LOOKUP('Activity A'!D15,Units!$A$34:$C$36)*C15</f>
        <v>0</v>
      </c>
      <c r="F15" s="160" t="s">
        <v>138</v>
      </c>
      <c r="G15" s="136">
        <f>LOOKUP(cfg!B7 &amp; "_Natural Gas LDV",factors!R3:V130)</f>
        <v>2.4</v>
      </c>
      <c r="H15" s="14" t="s">
        <v>355</v>
      </c>
      <c r="I15" s="4">
        <f>noerror(E15*G15)</f>
        <v>0</v>
      </c>
      <c r="J15" s="26">
        <f t="shared" si="1"/>
        <v>0</v>
      </c>
      <c r="K15" s="140" t="str">
        <f>LOOKUP(cfg!B7 &amp; "_Natural Gas LDV",factors!R3:U130)</f>
        <v>PS</v>
      </c>
    </row>
    <row r="16" spans="1:12" ht="15.9" customHeight="1" x14ac:dyDescent="0.35">
      <c r="B16" s="43" t="s">
        <v>56</v>
      </c>
      <c r="C16" s="49"/>
      <c r="D16" s="28">
        <v>3</v>
      </c>
      <c r="E16" s="17">
        <f>LOOKUP('Activity A'!D16,Units!$A$34:$C$36)*C16</f>
        <v>0</v>
      </c>
      <c r="F16" s="160" t="s">
        <v>138</v>
      </c>
      <c r="G16" s="136">
        <f>LOOKUP(cfg!B7 &amp; "_Natural Gas HDV",factors!R3:V130)</f>
        <v>2.2000000000000002</v>
      </c>
      <c r="H16" s="14" t="s">
        <v>355</v>
      </c>
      <c r="I16" s="4">
        <f>noerror(E16*G16)</f>
        <v>0</v>
      </c>
      <c r="J16" s="26">
        <f t="shared" si="1"/>
        <v>0</v>
      </c>
      <c r="K16" s="140" t="str">
        <f>LOOKUP(cfg!B7 &amp; "_Natural Gas HDV",factors!R3:U130)</f>
        <v>PS</v>
      </c>
    </row>
    <row r="17" spans="2:11" ht="15.9" customHeight="1" x14ac:dyDescent="0.25">
      <c r="B17" s="42" t="s">
        <v>57</v>
      </c>
      <c r="C17" s="49"/>
      <c r="D17" s="28">
        <v>1</v>
      </c>
      <c r="E17" s="17">
        <f>LOOKUP('Activity C'!D17,Units!$A$19:$C$23)*C17</f>
        <v>0</v>
      </c>
      <c r="F17" s="22" t="s">
        <v>18</v>
      </c>
      <c r="G17" s="136">
        <f>LOOKUP(cfg!B7 &amp; "_Industrial/Marine diesel fuel",factors!AA1:AE40)</f>
        <v>2.8</v>
      </c>
      <c r="H17" s="14" t="s">
        <v>411</v>
      </c>
      <c r="I17" s="4">
        <f t="shared" si="0"/>
        <v>0</v>
      </c>
      <c r="J17" s="26">
        <f t="shared" si="1"/>
        <v>0</v>
      </c>
      <c r="K17" s="140" t="str">
        <f>LOOKUP(cfg!B7 &amp; "_Industrial/Marine diesel fuel",factors!AA1:AD40)</f>
        <v>PS</v>
      </c>
    </row>
    <row r="18" spans="2:11" ht="15.9" customHeight="1" x14ac:dyDescent="0.25">
      <c r="B18" s="42" t="s">
        <v>34</v>
      </c>
      <c r="C18" s="49"/>
      <c r="D18" s="28">
        <v>1</v>
      </c>
      <c r="E18" s="17">
        <f>LOOKUP('Activity C'!D18,Units!$A$19:$C$23)*C18</f>
        <v>0</v>
      </c>
      <c r="F18" s="22" t="s">
        <v>18</v>
      </c>
      <c r="G18" s="136">
        <f>LOOKUP(cfg!B7 &amp; "_Aviation Gasoline",factors!R3:V130)</f>
        <v>2.2999999999999998</v>
      </c>
      <c r="H18" s="14" t="s">
        <v>411</v>
      </c>
      <c r="I18" s="4">
        <f t="shared" si="0"/>
        <v>0</v>
      </c>
      <c r="J18" s="26">
        <f t="shared" si="1"/>
        <v>0</v>
      </c>
      <c r="K18" s="140" t="str">
        <f>LOOKUP(cfg!B7 &amp; "_Aviation Gasoline",factors!R3:U130)</f>
        <v>PS</v>
      </c>
    </row>
    <row r="19" spans="2:11" ht="15.9" customHeight="1" x14ac:dyDescent="0.25">
      <c r="B19" s="42" t="s">
        <v>35</v>
      </c>
      <c r="C19" s="49"/>
      <c r="D19" s="28">
        <v>1</v>
      </c>
      <c r="E19" s="17">
        <f>LOOKUP('Activity C'!D19,Units!$A$19:$C$23)*C19</f>
        <v>0</v>
      </c>
      <c r="F19" s="22" t="s">
        <v>18</v>
      </c>
      <c r="G19" s="136">
        <f>LOOKUP(cfg!B7 &amp; "_Aviation turbine",factors!R3:V130)</f>
        <v>2.6</v>
      </c>
      <c r="H19" s="14" t="s">
        <v>411</v>
      </c>
      <c r="I19" s="4">
        <f t="shared" si="0"/>
        <v>0</v>
      </c>
      <c r="J19" s="26">
        <f t="shared" si="1"/>
        <v>0</v>
      </c>
      <c r="K19" s="140" t="str">
        <f>LOOKUP(cfg!B7 &amp; "_Aviation Turbine",factors!R3:U130)</f>
        <v>PS</v>
      </c>
    </row>
    <row r="20" spans="2:11" ht="15.9" customHeight="1" x14ac:dyDescent="0.25">
      <c r="B20" s="192" t="s">
        <v>142</v>
      </c>
      <c r="C20" s="185"/>
      <c r="D20" s="199"/>
      <c r="E20" s="181"/>
      <c r="F20" s="187"/>
      <c r="G20" s="200"/>
      <c r="H20" s="185"/>
      <c r="I20" s="184"/>
      <c r="J20" s="193"/>
      <c r="K20" s="140"/>
    </row>
    <row r="21" spans="2:11" ht="15.9" customHeight="1" x14ac:dyDescent="0.25">
      <c r="B21" s="42" t="s">
        <v>78</v>
      </c>
      <c r="C21" s="51"/>
      <c r="D21" s="28">
        <v>3</v>
      </c>
      <c r="E21" s="17">
        <f>LOOKUP('Activity C'!D21,Units!$A$26:$C$30)*C21</f>
        <v>0</v>
      </c>
      <c r="F21" s="23" t="s">
        <v>410</v>
      </c>
      <c r="G21" s="138">
        <f>LOOKUP(cfg!$B$7 &amp; "_comingled",factors!$AJ$3:$AM$102)</f>
        <v>1.2</v>
      </c>
      <c r="H21" s="13" t="s">
        <v>412</v>
      </c>
      <c r="I21" s="4">
        <f t="shared" ref="I21:I28" si="2">noerror(E21*G21*1000)</f>
        <v>0</v>
      </c>
      <c r="J21" s="26">
        <f t="shared" ref="J21:J28" si="3">noerror(I21/1000,0)</f>
        <v>0</v>
      </c>
      <c r="K21" s="140"/>
    </row>
    <row r="22" spans="2:11" ht="15.9" customHeight="1" x14ac:dyDescent="0.25">
      <c r="B22" s="42" t="s">
        <v>83</v>
      </c>
      <c r="C22" s="51"/>
      <c r="D22" s="28">
        <v>3</v>
      </c>
      <c r="E22" s="17">
        <f>LOOKUP('Activity C'!D22,Units!$A$26:$C$30)*C22</f>
        <v>0</v>
      </c>
      <c r="F22" s="23" t="s">
        <v>410</v>
      </c>
      <c r="G22" s="138">
        <f>LOOKUP(cfg!$B$7 &amp; "_paper",factors!$AJ$3:$AM$102)</f>
        <v>2.8</v>
      </c>
      <c r="H22" s="13" t="s">
        <v>412</v>
      </c>
      <c r="I22" s="4">
        <f t="shared" si="2"/>
        <v>0</v>
      </c>
      <c r="J22" s="26">
        <f t="shared" si="3"/>
        <v>0</v>
      </c>
      <c r="K22" s="140"/>
    </row>
    <row r="23" spans="2:11" ht="15.9" customHeight="1" x14ac:dyDescent="0.25">
      <c r="B23" s="42" t="s">
        <v>84</v>
      </c>
      <c r="C23" s="52"/>
      <c r="D23" s="28">
        <v>3</v>
      </c>
      <c r="E23" s="17">
        <f>LOOKUP('Activity C'!D23,Units!$A$26:$C$30)*C23</f>
        <v>0</v>
      </c>
      <c r="F23" s="23" t="s">
        <v>410</v>
      </c>
      <c r="G23" s="138">
        <f>LOOKUP(cfg!$B$7 &amp; "_textiles",factors!$AJ$3:$AM$102)</f>
        <v>3.9</v>
      </c>
      <c r="H23" s="13" t="s">
        <v>412</v>
      </c>
      <c r="I23" s="4">
        <f t="shared" si="2"/>
        <v>0</v>
      </c>
      <c r="J23" s="26">
        <f t="shared" si="3"/>
        <v>0</v>
      </c>
      <c r="K23" s="140"/>
    </row>
    <row r="24" spans="2:11" ht="15.9" customHeight="1" x14ac:dyDescent="0.25">
      <c r="B24" s="42" t="s">
        <v>77</v>
      </c>
      <c r="C24" s="52"/>
      <c r="D24" s="28">
        <v>3</v>
      </c>
      <c r="E24" s="17">
        <f>LOOKUP('Activity C'!D24,Units!$A$26:$C$30)*C24</f>
        <v>0</v>
      </c>
      <c r="F24" s="23" t="s">
        <v>410</v>
      </c>
      <c r="G24" s="138">
        <f>LOOKUP(cfg!$B$7 &amp; "_wood",factors!$AJ$3:$AM$102)</f>
        <v>2.1</v>
      </c>
      <c r="H24" s="13" t="s">
        <v>412</v>
      </c>
      <c r="I24" s="4">
        <f t="shared" si="2"/>
        <v>0</v>
      </c>
      <c r="J24" s="26">
        <f t="shared" si="3"/>
        <v>0</v>
      </c>
      <c r="K24" s="140"/>
    </row>
    <row r="25" spans="2:11" ht="15.9" customHeight="1" x14ac:dyDescent="0.25">
      <c r="B25" s="42" t="s">
        <v>76</v>
      </c>
      <c r="C25" s="52"/>
      <c r="D25" s="28">
        <v>3</v>
      </c>
      <c r="E25" s="17">
        <f>LOOKUP('Activity C'!D25,Units!$A$26:$C$30)*C25</f>
        <v>0</v>
      </c>
      <c r="F25" s="23" t="s">
        <v>410</v>
      </c>
      <c r="G25" s="138">
        <f>LOOKUP(cfg!$B$7 &amp; "_garden",factors!$AJ$3:$AM$102)</f>
        <v>1.2</v>
      </c>
      <c r="H25" s="13" t="s">
        <v>412</v>
      </c>
      <c r="I25" s="4">
        <f t="shared" si="2"/>
        <v>0</v>
      </c>
      <c r="J25" s="26">
        <f t="shared" si="3"/>
        <v>0</v>
      </c>
      <c r="K25" s="140"/>
    </row>
    <row r="26" spans="2:11" ht="15.9" customHeight="1" x14ac:dyDescent="0.25">
      <c r="B26" s="42" t="s">
        <v>75</v>
      </c>
      <c r="C26" s="52"/>
      <c r="D26" s="28">
        <v>3</v>
      </c>
      <c r="E26" s="17">
        <f>LOOKUP('Activity C'!D26,Units!$A$26:$C$30)*C26</f>
        <v>0</v>
      </c>
      <c r="F26" s="9" t="s">
        <v>410</v>
      </c>
      <c r="G26" s="138">
        <f>LOOKUP(cfg!$B$7 &amp; "_food",factors!$AJ$3:$AM$102)</f>
        <v>1.5</v>
      </c>
      <c r="H26" s="13" t="s">
        <v>412</v>
      </c>
      <c r="I26" s="4">
        <f t="shared" si="2"/>
        <v>0</v>
      </c>
      <c r="J26" s="26">
        <f t="shared" si="3"/>
        <v>0</v>
      </c>
      <c r="K26" s="140"/>
    </row>
    <row r="27" spans="2:11" ht="15.9" customHeight="1" x14ac:dyDescent="0.25">
      <c r="B27" s="42" t="s">
        <v>74</v>
      </c>
      <c r="C27" s="52"/>
      <c r="D27" s="28">
        <v>3</v>
      </c>
      <c r="E27" s="17">
        <f>LOOKUP('Activity C'!D27,Units!$A$26:$C$30)*C27</f>
        <v>0</v>
      </c>
      <c r="F27" s="9" t="s">
        <v>410</v>
      </c>
      <c r="G27" s="138">
        <f>LOOKUP(cfg!$B$7 &amp; "_medical",factors!$AJ$3:$AM$102)</f>
        <v>0.5</v>
      </c>
      <c r="H27" s="13" t="s">
        <v>412</v>
      </c>
      <c r="I27" s="4">
        <f t="shared" si="2"/>
        <v>0</v>
      </c>
      <c r="J27" s="26">
        <f t="shared" si="3"/>
        <v>0</v>
      </c>
      <c r="K27" s="140"/>
    </row>
    <row r="28" spans="2:11" ht="15.9" customHeight="1" x14ac:dyDescent="0.25">
      <c r="B28" s="42" t="s">
        <v>73</v>
      </c>
      <c r="C28" s="52"/>
      <c r="D28" s="28">
        <v>3</v>
      </c>
      <c r="E28" s="17">
        <f>LOOKUP('Activity C'!D28,Units!$A$26:$C$30)*C28</f>
        <v>0</v>
      </c>
      <c r="F28" s="9" t="s">
        <v>410</v>
      </c>
      <c r="G28" s="223">
        <f>LOOKUP(cfg!$B$7 &amp; "_concrete metal",factors!$AJ$3:$AM$102)</f>
        <v>0</v>
      </c>
      <c r="H28" s="13" t="s">
        <v>412</v>
      </c>
      <c r="I28" s="4">
        <f t="shared" si="2"/>
        <v>0</v>
      </c>
      <c r="J28" s="26">
        <f t="shared" si="3"/>
        <v>0</v>
      </c>
      <c r="K28" s="140"/>
    </row>
    <row r="29" spans="2:11" ht="15.9" customHeight="1" x14ac:dyDescent="0.25">
      <c r="B29" s="192" t="s">
        <v>67</v>
      </c>
      <c r="C29" s="189"/>
      <c r="D29" s="190"/>
      <c r="E29" s="191"/>
      <c r="F29" s="189"/>
      <c r="G29" s="189"/>
      <c r="H29" s="189"/>
      <c r="I29" s="189"/>
      <c r="J29" s="194"/>
      <c r="K29" s="140"/>
    </row>
    <row r="30" spans="2:11" ht="15.9" customHeight="1" x14ac:dyDescent="0.35">
      <c r="B30" s="42" t="s">
        <v>68</v>
      </c>
      <c r="C30" s="29"/>
      <c r="D30" s="28">
        <v>3</v>
      </c>
      <c r="E30" s="17">
        <f>LOOKUP('Activity C'!D30,Units!$A$26:$C$30)*C30</f>
        <v>0</v>
      </c>
      <c r="F30" s="23" t="s">
        <v>410</v>
      </c>
      <c r="G30" s="155">
        <v>23900</v>
      </c>
      <c r="H30" s="15" t="s">
        <v>412</v>
      </c>
      <c r="I30" s="4">
        <f>noerror(E30*G30*1000)</f>
        <v>0</v>
      </c>
      <c r="J30" s="26">
        <f>noerror(I30/1000,0)</f>
        <v>0</v>
      </c>
      <c r="K30" s="140"/>
    </row>
    <row r="31" spans="2:11" ht="15.9" customHeight="1" x14ac:dyDescent="0.25">
      <c r="B31" s="42" t="s">
        <v>65</v>
      </c>
      <c r="C31" s="29"/>
      <c r="D31" s="28">
        <v>3</v>
      </c>
      <c r="E31" s="17">
        <f>LOOKUP('Activity C'!D31,Units!$A$26:$C$30)*C31</f>
        <v>0</v>
      </c>
      <c r="F31" s="23" t="s">
        <v>410</v>
      </c>
      <c r="G31" s="16"/>
      <c r="H31" s="15" t="s">
        <v>412</v>
      </c>
      <c r="I31" s="4">
        <f>noerror(E31*G31*1000)</f>
        <v>0</v>
      </c>
      <c r="J31" s="26">
        <f>noerror(I31/1000,0)</f>
        <v>0</v>
      </c>
      <c r="K31" s="140"/>
    </row>
    <row r="32" spans="2:11" ht="15.9" customHeight="1" x14ac:dyDescent="0.25">
      <c r="B32" s="192" t="s">
        <v>28</v>
      </c>
      <c r="C32" s="185"/>
      <c r="D32" s="201"/>
      <c r="E32" s="185"/>
      <c r="F32" s="185"/>
      <c r="G32" s="185"/>
      <c r="H32" s="185"/>
      <c r="I32" s="185"/>
      <c r="J32" s="193"/>
      <c r="K32" s="140"/>
    </row>
    <row r="33" spans="2:11" ht="15.9" customHeight="1" x14ac:dyDescent="0.25">
      <c r="B33" s="37" t="s">
        <v>28</v>
      </c>
      <c r="C33" s="49"/>
      <c r="D33" s="28"/>
      <c r="E33" s="226">
        <f>C33</f>
        <v>0</v>
      </c>
      <c r="F33" s="38"/>
      <c r="G33" s="39"/>
      <c r="H33" s="139" t="s">
        <v>412</v>
      </c>
      <c r="I33" s="40">
        <f>noerror(E33*G33*1000)</f>
        <v>0</v>
      </c>
      <c r="J33" s="287">
        <f>noerror(I33/1000,0)</f>
        <v>0</v>
      </c>
      <c r="K33" s="140"/>
    </row>
    <row r="34" spans="2:11" ht="15.9" customHeight="1" x14ac:dyDescent="0.25">
      <c r="B34" s="37" t="s">
        <v>28</v>
      </c>
      <c r="C34" s="49"/>
      <c r="D34" s="28"/>
      <c r="E34" s="226">
        <f>C34</f>
        <v>0</v>
      </c>
      <c r="F34" s="38"/>
      <c r="G34" s="39"/>
      <c r="H34" s="139" t="s">
        <v>412</v>
      </c>
      <c r="I34" s="40">
        <f>noerror(E34*G34*1000)</f>
        <v>0</v>
      </c>
      <c r="J34" s="287">
        <f>noerror(I34/1000,0)</f>
        <v>0</v>
      </c>
      <c r="K34" s="140"/>
    </row>
    <row r="35" spans="2:11" ht="15.9" customHeight="1" x14ac:dyDescent="0.25">
      <c r="B35" s="37" t="s">
        <v>28</v>
      </c>
      <c r="C35" s="49"/>
      <c r="D35" s="28"/>
      <c r="E35" s="226">
        <f>C35</f>
        <v>0</v>
      </c>
      <c r="F35" s="38"/>
      <c r="G35" s="39"/>
      <c r="H35" s="139" t="s">
        <v>412</v>
      </c>
      <c r="I35" s="40">
        <f>noerror(E35*G35*1000)</f>
        <v>0</v>
      </c>
      <c r="J35" s="287">
        <f>noerror(I35/1000,0)</f>
        <v>0</v>
      </c>
      <c r="K35" s="140"/>
    </row>
    <row r="36" spans="2:11" ht="15.9" customHeight="1" x14ac:dyDescent="0.25">
      <c r="B36" s="283" t="s">
        <v>398</v>
      </c>
      <c r="C36" s="284"/>
      <c r="D36" s="284"/>
      <c r="E36" s="284"/>
      <c r="F36" s="284"/>
      <c r="G36" s="284"/>
      <c r="H36" s="284"/>
      <c r="I36" s="284"/>
      <c r="J36" s="285">
        <f>SUM(J8:K35)</f>
        <v>0</v>
      </c>
      <c r="K36" s="140"/>
    </row>
    <row r="37" spans="2:11" ht="15.9" customHeight="1" x14ac:dyDescent="0.25">
      <c r="B37" s="204" t="s">
        <v>423</v>
      </c>
      <c r="C37" s="205"/>
      <c r="D37" s="206"/>
      <c r="E37" s="207"/>
      <c r="F37" s="207"/>
      <c r="G37" s="206"/>
      <c r="H37" s="206"/>
      <c r="I37" s="208"/>
      <c r="J37" s="209"/>
      <c r="K37" s="140"/>
    </row>
    <row r="38" spans="2:11" ht="15.9" customHeight="1" x14ac:dyDescent="0.25">
      <c r="B38" s="33"/>
      <c r="C38" s="28"/>
      <c r="D38" s="28"/>
      <c r="E38" s="34"/>
      <c r="F38" s="35"/>
      <c r="G38" s="34"/>
      <c r="H38" s="35"/>
      <c r="I38" s="28"/>
      <c r="J38" s="36"/>
      <c r="K38" s="140"/>
    </row>
    <row r="39" spans="2:11" ht="15.9" customHeight="1" x14ac:dyDescent="0.25">
      <c r="B39" s="174"/>
      <c r="C39" s="175"/>
      <c r="D39" s="175"/>
      <c r="E39" s="176"/>
      <c r="F39" s="177"/>
      <c r="G39" s="176"/>
      <c r="H39" s="177"/>
      <c r="I39" s="175"/>
      <c r="J39" s="178"/>
      <c r="K39" s="140"/>
    </row>
    <row r="40" spans="2:11" ht="15.9" customHeight="1" x14ac:dyDescent="0.25">
      <c r="B40" s="283" t="s">
        <v>400</v>
      </c>
      <c r="C40" s="284"/>
      <c r="D40" s="284"/>
      <c r="E40" s="284"/>
      <c r="F40" s="284"/>
      <c r="G40" s="284"/>
      <c r="H40" s="284"/>
      <c r="I40" s="284"/>
      <c r="J40" s="285">
        <f>SUM(J38:J39)</f>
        <v>0</v>
      </c>
      <c r="K40" s="140"/>
    </row>
    <row r="41" spans="2:11" ht="15.9" customHeight="1" thickBot="1" x14ac:dyDescent="0.3">
      <c r="B41" s="202" t="s">
        <v>399</v>
      </c>
      <c r="C41" s="203"/>
      <c r="D41" s="203"/>
      <c r="E41" s="203"/>
      <c r="F41" s="203"/>
      <c r="G41" s="203"/>
      <c r="H41" s="203"/>
      <c r="I41" s="203"/>
      <c r="J41" s="197">
        <f>SUM(J40,J36)</f>
        <v>0</v>
      </c>
      <c r="K41" s="140"/>
    </row>
    <row r="45" spans="2:11" x14ac:dyDescent="0.25">
      <c r="B45" s="1"/>
    </row>
  </sheetData>
  <sheetProtection sheet="1" objects="1" scenarios="1"/>
  <mergeCells count="1">
    <mergeCell ref="D2:G2"/>
  </mergeCells>
  <phoneticPr fontId="0" type="noConversion"/>
  <dataValidations xWindow="526" yWindow="503" count="4">
    <dataValidation allowBlank="1" showInputMessage="1" showErrorMessage="1" promptTitle="Offsets" prompt="Offsets should be entered as negative values." sqref="C38 J39"/>
    <dataValidation allowBlank="1" showInputMessage="1" showErrorMessage="1" promptTitle="Offsets" prompt="Offsets should be entered as negative values." sqref="J38"/>
    <dataValidation allowBlank="1" showInputMessage="1" showErrorMessage="1" promptTitle="Offsets" prompt="Offsets should be entered as negative values." sqref="C39"/>
    <dataValidation allowBlank="1" showInputMessage="1" showErrorMessage="1" promptTitle="HFC" prompt="Different factors exist depending on what HFC is used. See workbook." sqref="C31"/>
  </dataValidations>
  <pageMargins left="0.75" right="0.6" top="1" bottom="1" header="0.5" footer="0.5"/>
  <pageSetup paperSize="9" orientation="landscape"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1265" r:id="rId4" name="Drop Down 1">
              <controlPr defaultSize="0" autoLine="0" autoPict="0">
                <anchor moveWithCells="1">
                  <from>
                    <xdr:col>3</xdr:col>
                    <xdr:colOff>0</xdr:colOff>
                    <xdr:row>3</xdr:row>
                    <xdr:rowOff>0</xdr:rowOff>
                  </from>
                  <to>
                    <xdr:col>4</xdr:col>
                    <xdr:colOff>0</xdr:colOff>
                    <xdr:row>4</xdr:row>
                    <xdr:rowOff>0</xdr:rowOff>
                  </to>
                </anchor>
              </controlPr>
            </control>
          </mc:Choice>
        </mc:AlternateContent>
        <mc:AlternateContent xmlns:mc="http://schemas.openxmlformats.org/markup-compatibility/2006">
          <mc:Choice Requires="x14">
            <control shapeId="11266" r:id="rId5" name="Drop Down 2">
              <controlPr defaultSize="0" autoLine="0" autoPict="0">
                <anchor moveWithCells="1">
                  <from>
                    <xdr:col>3</xdr:col>
                    <xdr:colOff>0</xdr:colOff>
                    <xdr:row>7</xdr:row>
                    <xdr:rowOff>0</xdr:rowOff>
                  </from>
                  <to>
                    <xdr:col>4</xdr:col>
                    <xdr:colOff>0</xdr:colOff>
                    <xdr:row>8</xdr:row>
                    <xdr:rowOff>0</xdr:rowOff>
                  </to>
                </anchor>
              </controlPr>
            </control>
          </mc:Choice>
        </mc:AlternateContent>
        <mc:AlternateContent xmlns:mc="http://schemas.openxmlformats.org/markup-compatibility/2006">
          <mc:Choice Requires="x14">
            <control shapeId="11268" r:id="rId6" name="Drop Down 4">
              <controlPr defaultSize="0" autoLine="0" autoPict="0">
                <anchor moveWithCells="1">
                  <from>
                    <xdr:col>3</xdr:col>
                    <xdr:colOff>0</xdr:colOff>
                    <xdr:row>11</xdr:row>
                    <xdr:rowOff>0</xdr:rowOff>
                  </from>
                  <to>
                    <xdr:col>4</xdr:col>
                    <xdr:colOff>0</xdr:colOff>
                    <xdr:row>12</xdr:row>
                    <xdr:rowOff>0</xdr:rowOff>
                  </to>
                </anchor>
              </controlPr>
            </control>
          </mc:Choice>
        </mc:AlternateContent>
        <mc:AlternateContent xmlns:mc="http://schemas.openxmlformats.org/markup-compatibility/2006">
          <mc:Choice Requires="x14">
            <control shapeId="11269" r:id="rId7" name="Drop Down 5">
              <controlPr defaultSize="0" autoLine="0" autoPict="0">
                <anchor moveWithCells="1">
                  <from>
                    <xdr:col>3</xdr:col>
                    <xdr:colOff>0</xdr:colOff>
                    <xdr:row>12</xdr:row>
                    <xdr:rowOff>0</xdr:rowOff>
                  </from>
                  <to>
                    <xdr:col>4</xdr:col>
                    <xdr:colOff>0</xdr:colOff>
                    <xdr:row>13</xdr:row>
                    <xdr:rowOff>0</xdr:rowOff>
                  </to>
                </anchor>
              </controlPr>
            </control>
          </mc:Choice>
        </mc:AlternateContent>
        <mc:AlternateContent xmlns:mc="http://schemas.openxmlformats.org/markup-compatibility/2006">
          <mc:Choice Requires="x14">
            <control shapeId="11270" r:id="rId8" name="Drop Down 6">
              <controlPr defaultSize="0" autoLine="0" autoPict="0">
                <anchor moveWithCells="1">
                  <from>
                    <xdr:col>3</xdr:col>
                    <xdr:colOff>0</xdr:colOff>
                    <xdr:row>21</xdr:row>
                    <xdr:rowOff>0</xdr:rowOff>
                  </from>
                  <to>
                    <xdr:col>4</xdr:col>
                    <xdr:colOff>0</xdr:colOff>
                    <xdr:row>22</xdr:row>
                    <xdr:rowOff>0</xdr:rowOff>
                  </to>
                </anchor>
              </controlPr>
            </control>
          </mc:Choice>
        </mc:AlternateContent>
        <mc:AlternateContent xmlns:mc="http://schemas.openxmlformats.org/markup-compatibility/2006">
          <mc:Choice Requires="x14">
            <control shapeId="11271" r:id="rId9" name="Drop Down 7">
              <controlPr defaultSize="0" autoLine="0" autoPict="0">
                <anchor moveWithCells="1">
                  <from>
                    <xdr:col>3</xdr:col>
                    <xdr:colOff>0</xdr:colOff>
                    <xdr:row>8</xdr:row>
                    <xdr:rowOff>0</xdr:rowOff>
                  </from>
                  <to>
                    <xdr:col>4</xdr:col>
                    <xdr:colOff>0</xdr:colOff>
                    <xdr:row>9</xdr:row>
                    <xdr:rowOff>0</xdr:rowOff>
                  </to>
                </anchor>
              </controlPr>
            </control>
          </mc:Choice>
        </mc:AlternateContent>
        <mc:AlternateContent xmlns:mc="http://schemas.openxmlformats.org/markup-compatibility/2006">
          <mc:Choice Requires="x14">
            <control shapeId="11272" r:id="rId10" name="Drop Down 8">
              <controlPr defaultSize="0" autoLine="0" autoPict="0">
                <anchor moveWithCells="1">
                  <from>
                    <xdr:col>3</xdr:col>
                    <xdr:colOff>0</xdr:colOff>
                    <xdr:row>20</xdr:row>
                    <xdr:rowOff>0</xdr:rowOff>
                  </from>
                  <to>
                    <xdr:col>4</xdr:col>
                    <xdr:colOff>0</xdr:colOff>
                    <xdr:row>21</xdr:row>
                    <xdr:rowOff>0</xdr:rowOff>
                  </to>
                </anchor>
              </controlPr>
            </control>
          </mc:Choice>
        </mc:AlternateContent>
        <mc:AlternateContent xmlns:mc="http://schemas.openxmlformats.org/markup-compatibility/2006">
          <mc:Choice Requires="x14">
            <control shapeId="11274" r:id="rId11" name="Drop Down 10">
              <controlPr defaultSize="0" autoLine="0" autoPict="0">
                <anchor moveWithCells="1">
                  <from>
                    <xdr:col>3</xdr:col>
                    <xdr:colOff>0</xdr:colOff>
                    <xdr:row>9</xdr:row>
                    <xdr:rowOff>0</xdr:rowOff>
                  </from>
                  <to>
                    <xdr:col>4</xdr:col>
                    <xdr:colOff>0</xdr:colOff>
                    <xdr:row>10</xdr:row>
                    <xdr:rowOff>0</xdr:rowOff>
                  </to>
                </anchor>
              </controlPr>
            </control>
          </mc:Choice>
        </mc:AlternateContent>
        <mc:AlternateContent xmlns:mc="http://schemas.openxmlformats.org/markup-compatibility/2006">
          <mc:Choice Requires="x14">
            <control shapeId="11275" r:id="rId12" name="Drop Down 11">
              <controlPr defaultSize="0" autoLine="0" autoPict="0">
                <anchor moveWithCells="1">
                  <from>
                    <xdr:col>3</xdr:col>
                    <xdr:colOff>0</xdr:colOff>
                    <xdr:row>13</xdr:row>
                    <xdr:rowOff>0</xdr:rowOff>
                  </from>
                  <to>
                    <xdr:col>4</xdr:col>
                    <xdr:colOff>0</xdr:colOff>
                    <xdr:row>14</xdr:row>
                    <xdr:rowOff>0</xdr:rowOff>
                  </to>
                </anchor>
              </controlPr>
            </control>
          </mc:Choice>
        </mc:AlternateContent>
        <mc:AlternateContent xmlns:mc="http://schemas.openxmlformats.org/markup-compatibility/2006">
          <mc:Choice Requires="x14">
            <control shapeId="11276" r:id="rId13" name="Drop Down 12">
              <controlPr defaultSize="0" autoLine="0" autoPict="0">
                <anchor moveWithCells="1">
                  <from>
                    <xdr:col>3</xdr:col>
                    <xdr:colOff>0</xdr:colOff>
                    <xdr:row>14</xdr:row>
                    <xdr:rowOff>0</xdr:rowOff>
                  </from>
                  <to>
                    <xdr:col>4</xdr:col>
                    <xdr:colOff>0</xdr:colOff>
                    <xdr:row>15</xdr:row>
                    <xdr:rowOff>0</xdr:rowOff>
                  </to>
                </anchor>
              </controlPr>
            </control>
          </mc:Choice>
        </mc:AlternateContent>
        <mc:AlternateContent xmlns:mc="http://schemas.openxmlformats.org/markup-compatibility/2006">
          <mc:Choice Requires="x14">
            <control shapeId="11277" r:id="rId14" name="Drop Down 13">
              <controlPr defaultSize="0" autoLine="0" autoPict="0">
                <anchor moveWithCells="1">
                  <from>
                    <xdr:col>3</xdr:col>
                    <xdr:colOff>0</xdr:colOff>
                    <xdr:row>15</xdr:row>
                    <xdr:rowOff>0</xdr:rowOff>
                  </from>
                  <to>
                    <xdr:col>4</xdr:col>
                    <xdr:colOff>0</xdr:colOff>
                    <xdr:row>16</xdr:row>
                    <xdr:rowOff>0</xdr:rowOff>
                  </to>
                </anchor>
              </controlPr>
            </control>
          </mc:Choice>
        </mc:AlternateContent>
        <mc:AlternateContent xmlns:mc="http://schemas.openxmlformats.org/markup-compatibility/2006">
          <mc:Choice Requires="x14">
            <control shapeId="11281" r:id="rId15" name="Drop Down 17">
              <controlPr defaultSize="0" autoLine="0" autoPict="0">
                <anchor moveWithCells="1">
                  <from>
                    <xdr:col>3</xdr:col>
                    <xdr:colOff>0</xdr:colOff>
                    <xdr:row>16</xdr:row>
                    <xdr:rowOff>0</xdr:rowOff>
                  </from>
                  <to>
                    <xdr:col>4</xdr:col>
                    <xdr:colOff>0</xdr:colOff>
                    <xdr:row>17</xdr:row>
                    <xdr:rowOff>0</xdr:rowOff>
                  </to>
                </anchor>
              </controlPr>
            </control>
          </mc:Choice>
        </mc:AlternateContent>
        <mc:AlternateContent xmlns:mc="http://schemas.openxmlformats.org/markup-compatibility/2006">
          <mc:Choice Requires="x14">
            <control shapeId="11282" r:id="rId16" name="Drop Down 18">
              <controlPr defaultSize="0" autoLine="0" autoPict="0">
                <anchor moveWithCells="1">
                  <from>
                    <xdr:col>3</xdr:col>
                    <xdr:colOff>0</xdr:colOff>
                    <xdr:row>17</xdr:row>
                    <xdr:rowOff>0</xdr:rowOff>
                  </from>
                  <to>
                    <xdr:col>4</xdr:col>
                    <xdr:colOff>0</xdr:colOff>
                    <xdr:row>18</xdr:row>
                    <xdr:rowOff>0</xdr:rowOff>
                  </to>
                </anchor>
              </controlPr>
            </control>
          </mc:Choice>
        </mc:AlternateContent>
        <mc:AlternateContent xmlns:mc="http://schemas.openxmlformats.org/markup-compatibility/2006">
          <mc:Choice Requires="x14">
            <control shapeId="11283" r:id="rId17" name="Drop Down 19">
              <controlPr defaultSize="0" autoLine="0" autoPict="0">
                <anchor moveWithCells="1">
                  <from>
                    <xdr:col>3</xdr:col>
                    <xdr:colOff>0</xdr:colOff>
                    <xdr:row>18</xdr:row>
                    <xdr:rowOff>0</xdr:rowOff>
                  </from>
                  <to>
                    <xdr:col>4</xdr:col>
                    <xdr:colOff>0</xdr:colOff>
                    <xdr:row>19</xdr:row>
                    <xdr:rowOff>0</xdr:rowOff>
                  </to>
                </anchor>
              </controlPr>
            </control>
          </mc:Choice>
        </mc:AlternateContent>
        <mc:AlternateContent xmlns:mc="http://schemas.openxmlformats.org/markup-compatibility/2006">
          <mc:Choice Requires="x14">
            <control shapeId="11287" r:id="rId18" name="Drop Down 23">
              <controlPr defaultSize="0" autoLine="0" autoPict="0">
                <anchor moveWithCells="1">
                  <from>
                    <xdr:col>3</xdr:col>
                    <xdr:colOff>0</xdr:colOff>
                    <xdr:row>29</xdr:row>
                    <xdr:rowOff>0</xdr:rowOff>
                  </from>
                  <to>
                    <xdr:col>4</xdr:col>
                    <xdr:colOff>0</xdr:colOff>
                    <xdr:row>30</xdr:row>
                    <xdr:rowOff>0</xdr:rowOff>
                  </to>
                </anchor>
              </controlPr>
            </control>
          </mc:Choice>
        </mc:AlternateContent>
        <mc:AlternateContent xmlns:mc="http://schemas.openxmlformats.org/markup-compatibility/2006">
          <mc:Choice Requires="x14">
            <control shapeId="11288" r:id="rId19" name="Drop Down 24">
              <controlPr defaultSize="0" autoLine="0" autoPict="0">
                <anchor moveWithCells="1">
                  <from>
                    <xdr:col>3</xdr:col>
                    <xdr:colOff>0</xdr:colOff>
                    <xdr:row>30</xdr:row>
                    <xdr:rowOff>0</xdr:rowOff>
                  </from>
                  <to>
                    <xdr:col>4</xdr:col>
                    <xdr:colOff>0</xdr:colOff>
                    <xdr:row>31</xdr:row>
                    <xdr:rowOff>0</xdr:rowOff>
                  </to>
                </anchor>
              </controlPr>
            </control>
          </mc:Choice>
        </mc:AlternateContent>
        <mc:AlternateContent xmlns:mc="http://schemas.openxmlformats.org/markup-compatibility/2006">
          <mc:Choice Requires="x14">
            <control shapeId="11290" r:id="rId20" name="Drop Down 26">
              <controlPr defaultSize="0" autoLine="0" autoPict="0">
                <anchor moveWithCells="1">
                  <from>
                    <xdr:col>3</xdr:col>
                    <xdr:colOff>0</xdr:colOff>
                    <xdr:row>22</xdr:row>
                    <xdr:rowOff>0</xdr:rowOff>
                  </from>
                  <to>
                    <xdr:col>4</xdr:col>
                    <xdr:colOff>0</xdr:colOff>
                    <xdr:row>23</xdr:row>
                    <xdr:rowOff>0</xdr:rowOff>
                  </to>
                </anchor>
              </controlPr>
            </control>
          </mc:Choice>
        </mc:AlternateContent>
        <mc:AlternateContent xmlns:mc="http://schemas.openxmlformats.org/markup-compatibility/2006">
          <mc:Choice Requires="x14">
            <control shapeId="11291" r:id="rId21" name="Drop Down 27">
              <controlPr defaultSize="0" autoLine="0" autoPict="0">
                <anchor moveWithCells="1">
                  <from>
                    <xdr:col>3</xdr:col>
                    <xdr:colOff>0</xdr:colOff>
                    <xdr:row>23</xdr:row>
                    <xdr:rowOff>0</xdr:rowOff>
                  </from>
                  <to>
                    <xdr:col>4</xdr:col>
                    <xdr:colOff>0</xdr:colOff>
                    <xdr:row>24</xdr:row>
                    <xdr:rowOff>0</xdr:rowOff>
                  </to>
                </anchor>
              </controlPr>
            </control>
          </mc:Choice>
        </mc:AlternateContent>
        <mc:AlternateContent xmlns:mc="http://schemas.openxmlformats.org/markup-compatibility/2006">
          <mc:Choice Requires="x14">
            <control shapeId="11292" r:id="rId22" name="Drop Down 28">
              <controlPr defaultSize="0" autoLine="0" autoPict="0">
                <anchor moveWithCells="1">
                  <from>
                    <xdr:col>3</xdr:col>
                    <xdr:colOff>0</xdr:colOff>
                    <xdr:row>24</xdr:row>
                    <xdr:rowOff>0</xdr:rowOff>
                  </from>
                  <to>
                    <xdr:col>4</xdr:col>
                    <xdr:colOff>0</xdr:colOff>
                    <xdr:row>25</xdr:row>
                    <xdr:rowOff>0</xdr:rowOff>
                  </to>
                </anchor>
              </controlPr>
            </control>
          </mc:Choice>
        </mc:AlternateContent>
        <mc:AlternateContent xmlns:mc="http://schemas.openxmlformats.org/markup-compatibility/2006">
          <mc:Choice Requires="x14">
            <control shapeId="11293" r:id="rId23" name="Drop Down 29">
              <controlPr defaultSize="0" autoLine="0" autoPict="0">
                <anchor moveWithCells="1">
                  <from>
                    <xdr:col>3</xdr:col>
                    <xdr:colOff>0</xdr:colOff>
                    <xdr:row>25</xdr:row>
                    <xdr:rowOff>0</xdr:rowOff>
                  </from>
                  <to>
                    <xdr:col>4</xdr:col>
                    <xdr:colOff>0</xdr:colOff>
                    <xdr:row>26</xdr:row>
                    <xdr:rowOff>0</xdr:rowOff>
                  </to>
                </anchor>
              </controlPr>
            </control>
          </mc:Choice>
        </mc:AlternateContent>
        <mc:AlternateContent xmlns:mc="http://schemas.openxmlformats.org/markup-compatibility/2006">
          <mc:Choice Requires="x14">
            <control shapeId="11294" r:id="rId24" name="Drop Down 30">
              <controlPr defaultSize="0" autoLine="0" autoPict="0">
                <anchor moveWithCells="1">
                  <from>
                    <xdr:col>3</xdr:col>
                    <xdr:colOff>0</xdr:colOff>
                    <xdr:row>26</xdr:row>
                    <xdr:rowOff>0</xdr:rowOff>
                  </from>
                  <to>
                    <xdr:col>4</xdr:col>
                    <xdr:colOff>0</xdr:colOff>
                    <xdr:row>27</xdr:row>
                    <xdr:rowOff>0</xdr:rowOff>
                  </to>
                </anchor>
              </controlPr>
            </control>
          </mc:Choice>
        </mc:AlternateContent>
        <mc:AlternateContent xmlns:mc="http://schemas.openxmlformats.org/markup-compatibility/2006">
          <mc:Choice Requires="x14">
            <control shapeId="11295" r:id="rId25" name="Drop Down 31">
              <controlPr defaultSize="0" autoLine="0" autoPict="0">
                <anchor moveWithCells="1">
                  <from>
                    <xdr:col>3</xdr:col>
                    <xdr:colOff>0</xdr:colOff>
                    <xdr:row>27</xdr:row>
                    <xdr:rowOff>0</xdr:rowOff>
                  </from>
                  <to>
                    <xdr:col>4</xdr:col>
                    <xdr:colOff>0</xdr:colOff>
                    <xdr:row>28</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L45"/>
  <sheetViews>
    <sheetView workbookViewId="0">
      <selection activeCell="C8" sqref="C8"/>
    </sheetView>
  </sheetViews>
  <sheetFormatPr defaultColWidth="9.109375" defaultRowHeight="13.2" outlineLevelCol="1" x14ac:dyDescent="0.25"/>
  <cols>
    <col min="1" max="1" width="1" style="93" customWidth="1"/>
    <col min="2" max="2" width="26" customWidth="1"/>
    <col min="3" max="3" width="18" bestFit="1" customWidth="1"/>
    <col min="4" max="4" width="18.109375" customWidth="1"/>
    <col min="5" max="5" width="13.88671875" customWidth="1"/>
    <col min="6" max="6" width="7.44140625" customWidth="1"/>
    <col min="7" max="7" width="11.44140625" customWidth="1"/>
    <col min="8" max="8" width="13.5546875" customWidth="1"/>
    <col min="9" max="9" width="10.88671875" customWidth="1"/>
    <col min="10" max="10" width="15.44140625" customWidth="1"/>
    <col min="11" max="11" width="9.109375" style="141" hidden="1" customWidth="1" outlineLevel="1"/>
    <col min="12" max="12" width="9.109375" style="93" collapsed="1"/>
    <col min="13" max="16384" width="9.109375" style="93"/>
  </cols>
  <sheetData>
    <row r="1" spans="1:12" s="6" customFormat="1" ht="6" customHeight="1" x14ac:dyDescent="0.25">
      <c r="A1" s="92"/>
      <c r="B1" s="55"/>
      <c r="C1" s="55"/>
      <c r="D1" s="55"/>
      <c r="E1" s="55"/>
      <c r="F1" s="55"/>
      <c r="G1" s="55"/>
      <c r="H1" s="55"/>
      <c r="I1" s="55"/>
      <c r="J1" s="55"/>
      <c r="K1" s="102"/>
    </row>
    <row r="2" spans="1:12" s="6" customFormat="1" ht="15.6" x14ac:dyDescent="0.3">
      <c r="A2" s="92"/>
      <c r="B2" s="86" t="s">
        <v>358</v>
      </c>
      <c r="C2" s="55" t="s">
        <v>311</v>
      </c>
      <c r="D2" s="294" t="s">
        <v>360</v>
      </c>
      <c r="E2" s="295"/>
      <c r="F2" s="296"/>
      <c r="G2" s="297"/>
      <c r="H2" s="55"/>
      <c r="I2" s="55"/>
      <c r="J2" s="55"/>
      <c r="K2" s="102"/>
    </row>
    <row r="3" spans="1:12" s="6" customFormat="1" ht="4.5" customHeight="1" x14ac:dyDescent="0.3">
      <c r="A3" s="92"/>
      <c r="B3" s="86"/>
      <c r="C3" s="55"/>
      <c r="D3" s="89"/>
      <c r="E3" s="90"/>
      <c r="F3" s="90"/>
      <c r="G3" s="90"/>
      <c r="H3" s="55"/>
      <c r="I3" s="55"/>
      <c r="J3" s="55"/>
      <c r="K3" s="102"/>
    </row>
    <row r="4" spans="1:12" s="6" customFormat="1" ht="15.9" customHeight="1" x14ac:dyDescent="0.25">
      <c r="A4" s="92"/>
      <c r="B4" s="55"/>
      <c r="C4" s="87" t="s">
        <v>81</v>
      </c>
      <c r="D4" s="88">
        <v>8</v>
      </c>
      <c r="E4" s="55"/>
      <c r="F4" s="55"/>
      <c r="G4" s="55"/>
      <c r="H4" s="55"/>
      <c r="I4" s="55"/>
      <c r="J4" s="55"/>
      <c r="K4" s="102"/>
    </row>
    <row r="5" spans="1:12" ht="4.5" customHeight="1" thickBot="1" x14ac:dyDescent="0.3">
      <c r="A5" s="91"/>
      <c r="B5" s="55"/>
      <c r="C5" s="87"/>
      <c r="D5" s="88"/>
      <c r="E5" s="55"/>
      <c r="F5" s="55"/>
      <c r="G5" s="55"/>
      <c r="H5" s="55"/>
      <c r="I5" s="55"/>
      <c r="J5" s="55"/>
    </row>
    <row r="6" spans="1:12" ht="13.8" x14ac:dyDescent="0.25">
      <c r="B6" s="277" t="s">
        <v>32</v>
      </c>
      <c r="C6" s="278"/>
      <c r="D6" s="278"/>
      <c r="E6" s="278"/>
      <c r="F6" s="278"/>
      <c r="G6" s="278"/>
      <c r="H6" s="278"/>
      <c r="I6" s="278"/>
      <c r="J6" s="279"/>
    </row>
    <row r="7" spans="1:12" ht="15.6" x14ac:dyDescent="0.35">
      <c r="B7" s="118" t="s">
        <v>11</v>
      </c>
      <c r="C7" s="119" t="s">
        <v>26</v>
      </c>
      <c r="D7" s="119" t="s">
        <v>12</v>
      </c>
      <c r="E7" s="120" t="s">
        <v>64</v>
      </c>
      <c r="F7" s="121"/>
      <c r="G7" s="120" t="s">
        <v>9</v>
      </c>
      <c r="H7" s="121"/>
      <c r="I7" s="119" t="s">
        <v>70</v>
      </c>
      <c r="J7" s="122" t="s">
        <v>69</v>
      </c>
      <c r="K7" s="135" t="s">
        <v>340</v>
      </c>
    </row>
    <row r="8" spans="1:12" ht="15.9" customHeight="1" x14ac:dyDescent="0.35">
      <c r="B8" s="42" t="s">
        <v>10</v>
      </c>
      <c r="C8" s="49"/>
      <c r="D8" s="28">
        <v>3</v>
      </c>
      <c r="E8" s="47">
        <f>LOOKUP('Activity D'!D8,Units!A3:C8)*C8</f>
        <v>0</v>
      </c>
      <c r="F8" s="18" t="s">
        <v>0</v>
      </c>
      <c r="G8" s="50">
        <f>LOOKUP(cfg!B5 &amp; "_" &amp; D4,factors!C4:E43)</f>
        <v>1.1140000000000001</v>
      </c>
      <c r="H8" s="11" t="s">
        <v>71</v>
      </c>
      <c r="I8" s="4">
        <f>noerror(E8*G8)</f>
        <v>0</v>
      </c>
      <c r="J8" s="26">
        <f>noerror(I8/1000,0)</f>
        <v>0</v>
      </c>
      <c r="K8" s="140" t="s">
        <v>122</v>
      </c>
    </row>
    <row r="9" spans="1:12" ht="15.9" customHeight="1" x14ac:dyDescent="0.35">
      <c r="B9" s="42" t="s">
        <v>354</v>
      </c>
      <c r="C9" s="49"/>
      <c r="D9" s="30">
        <v>3</v>
      </c>
      <c r="E9" s="47">
        <f>LOOKUP('Activity D'!D9,Units!A40:C46)*C9</f>
        <v>0</v>
      </c>
      <c r="F9" s="19" t="s">
        <v>22</v>
      </c>
      <c r="G9" s="154">
        <f>LOOKUP(cfg!B5 &amp; "_" &amp; D4,factors!I4:K43)</f>
        <v>53.2</v>
      </c>
      <c r="H9" s="10" t="s">
        <v>72</v>
      </c>
      <c r="I9" s="4">
        <f>noerror(E9*G9)</f>
        <v>0</v>
      </c>
      <c r="J9" s="26">
        <f>noerror(I9/1000,0)</f>
        <v>0</v>
      </c>
      <c r="K9" s="140" t="str">
        <f>LOOKUP(cfg!B5 &amp; "_" &amp; D4,factors!I4:L43)</f>
        <v>PS</v>
      </c>
    </row>
    <row r="10" spans="1:12" ht="15.9" customHeight="1" x14ac:dyDescent="0.25">
      <c r="B10" s="42" t="s">
        <v>353</v>
      </c>
      <c r="C10" s="49"/>
      <c r="D10" s="30">
        <v>3</v>
      </c>
      <c r="E10" s="17">
        <f>LOOKUP('Activity D'!D10,Units!$A$26:$C$30)*C10</f>
        <v>0</v>
      </c>
      <c r="F10" s="20" t="s">
        <v>410</v>
      </c>
      <c r="G10" s="130">
        <f>LOOKUP(cfg!B7 &amp; "_LPG - non-transport",factors!AA1:AE40)</f>
        <v>2.9</v>
      </c>
      <c r="H10" s="14" t="s">
        <v>413</v>
      </c>
      <c r="I10" s="4">
        <f>noerror(E10*G10*1000)</f>
        <v>0</v>
      </c>
      <c r="J10" s="26">
        <f>noerror(I10/1000,0)</f>
        <v>0</v>
      </c>
      <c r="K10" s="140" t="str">
        <f>LOOKUP(cfg!B7 &amp; "_LPG - non-transport",factors!AA1:AD12)</f>
        <v>PS</v>
      </c>
    </row>
    <row r="11" spans="1:12" ht="15.9" customHeight="1" x14ac:dyDescent="0.25">
      <c r="B11" s="192" t="s">
        <v>66</v>
      </c>
      <c r="C11" s="198"/>
      <c r="D11" s="180"/>
      <c r="E11" s="181"/>
      <c r="F11" s="182"/>
      <c r="G11" s="183"/>
      <c r="H11" s="183"/>
      <c r="I11" s="184"/>
      <c r="J11" s="193"/>
      <c r="K11" s="140"/>
    </row>
    <row r="12" spans="1:12" ht="15.9" customHeight="1" x14ac:dyDescent="0.25">
      <c r="B12" s="42" t="s">
        <v>79</v>
      </c>
      <c r="C12" s="49"/>
      <c r="D12" s="28">
        <v>1</v>
      </c>
      <c r="E12" s="17">
        <f>LOOKUP('Activity D'!D12,Units!A19:C23)*C12</f>
        <v>0</v>
      </c>
      <c r="F12" s="21" t="s">
        <v>18</v>
      </c>
      <c r="G12" s="136">
        <f>LOOKUP(cfg!B7 &amp; "_Automotive Gasoline",factors!R3:V130)</f>
        <v>2.5</v>
      </c>
      <c r="H12" s="14" t="s">
        <v>411</v>
      </c>
      <c r="I12" s="4">
        <f t="shared" ref="I12:I19" si="0">noerror(E12*G12*1000)</f>
        <v>0</v>
      </c>
      <c r="J12" s="26">
        <f t="shared" ref="J12:J19" si="1">noerror(I12/1000,0)</f>
        <v>0</v>
      </c>
      <c r="K12" s="140" t="str">
        <f>LOOKUP(cfg!B7 &amp; "_Automotive Gasoline",factors!R3:U130) &amp; " "</f>
        <v xml:space="preserve">PS </v>
      </c>
    </row>
    <row r="13" spans="1:12" ht="15.9" customHeight="1" x14ac:dyDescent="0.25">
      <c r="B13" s="42" t="s">
        <v>21</v>
      </c>
      <c r="C13" s="49"/>
      <c r="D13" s="28">
        <v>1</v>
      </c>
      <c r="E13" s="17">
        <f>LOOKUP('Activity D'!D13,Units!$A$19:$C$23)*C13</f>
        <v>0</v>
      </c>
      <c r="F13" s="22" t="s">
        <v>18</v>
      </c>
      <c r="G13" s="136">
        <f>LOOKUP(cfg!B7 &amp; "_ADO(current fuel)",factors!R3:V130)</f>
        <v>2.7</v>
      </c>
      <c r="H13" s="14" t="s">
        <v>411</v>
      </c>
      <c r="I13" s="4">
        <f t="shared" si="0"/>
        <v>0</v>
      </c>
      <c r="J13" s="26">
        <f t="shared" si="1"/>
        <v>0</v>
      </c>
      <c r="K13" s="140" t="str">
        <f>LOOKUP(cfg!B7 &amp; "_ADO(current fuel)",factors!R3:U130)</f>
        <v>PS</v>
      </c>
      <c r="L13" s="131"/>
    </row>
    <row r="14" spans="1:12" ht="15.9" customHeight="1" x14ac:dyDescent="0.25">
      <c r="B14" s="42" t="s">
        <v>33</v>
      </c>
      <c r="C14" s="49"/>
      <c r="D14" s="28">
        <v>1</v>
      </c>
      <c r="E14" s="17">
        <f>LOOKUP('Activity D'!D14,Units!$A$19:$C$23)*C14</f>
        <v>0</v>
      </c>
      <c r="F14" s="22" t="s">
        <v>18</v>
      </c>
      <c r="G14" s="136">
        <f>LOOKUP(cfg!B7 &amp; "_LPG",factors!R3:V130)</f>
        <v>1.6</v>
      </c>
      <c r="H14" s="14" t="s">
        <v>411</v>
      </c>
      <c r="I14" s="4">
        <f t="shared" si="0"/>
        <v>0</v>
      </c>
      <c r="J14" s="26">
        <f t="shared" si="1"/>
        <v>0</v>
      </c>
      <c r="K14" s="140" t="str">
        <f>LOOKUP(cfg!B7 &amp; "_LPG",factors!R3:U130)</f>
        <v>PS</v>
      </c>
    </row>
    <row r="15" spans="1:12" ht="15.9" customHeight="1" x14ac:dyDescent="0.35">
      <c r="B15" s="42" t="s">
        <v>55</v>
      </c>
      <c r="C15" s="49"/>
      <c r="D15" s="28">
        <v>3</v>
      </c>
      <c r="E15" s="17">
        <f>LOOKUP('Activity A'!D15,Units!$A$34:$C$36)*C15</f>
        <v>0</v>
      </c>
      <c r="F15" s="160" t="s">
        <v>138</v>
      </c>
      <c r="G15" s="136">
        <f>LOOKUP(cfg!B7 &amp; "_Natural Gas LDV",factors!R3:V130)</f>
        <v>2.4</v>
      </c>
      <c r="H15" s="14" t="s">
        <v>355</v>
      </c>
      <c r="I15" s="4">
        <f>noerror(E15*G15)</f>
        <v>0</v>
      </c>
      <c r="J15" s="26">
        <f t="shared" si="1"/>
        <v>0</v>
      </c>
      <c r="K15" s="140" t="str">
        <f>LOOKUP(cfg!B7 &amp; "_Natural Gas LDV",factors!R3:U130)</f>
        <v>PS</v>
      </c>
    </row>
    <row r="16" spans="1:12" ht="15.9" customHeight="1" x14ac:dyDescent="0.35">
      <c r="B16" s="43" t="s">
        <v>56</v>
      </c>
      <c r="C16" s="49"/>
      <c r="D16" s="28">
        <v>3</v>
      </c>
      <c r="E16" s="17">
        <f>LOOKUP('Activity A'!D16,Units!$A$34:$C$36)*C16</f>
        <v>0</v>
      </c>
      <c r="F16" s="160" t="s">
        <v>138</v>
      </c>
      <c r="G16" s="136">
        <f>LOOKUP(cfg!B7 &amp; "_Natural Gas HDV",factors!R3:V130)</f>
        <v>2.2000000000000002</v>
      </c>
      <c r="H16" s="14" t="s">
        <v>355</v>
      </c>
      <c r="I16" s="4">
        <f>noerror(E16*G16)</f>
        <v>0</v>
      </c>
      <c r="J16" s="26">
        <f t="shared" si="1"/>
        <v>0</v>
      </c>
      <c r="K16" s="140" t="str">
        <f>LOOKUP(cfg!B7 &amp; "_Natural Gas HDV",factors!R3:U130)</f>
        <v>PS</v>
      </c>
    </row>
    <row r="17" spans="2:11" ht="15.9" customHeight="1" x14ac:dyDescent="0.25">
      <c r="B17" s="42" t="s">
        <v>57</v>
      </c>
      <c r="C17" s="49"/>
      <c r="D17" s="28">
        <v>1</v>
      </c>
      <c r="E17" s="17">
        <f>LOOKUP('Activity D'!D17,Units!$A$19:$C$23)*C17</f>
        <v>0</v>
      </c>
      <c r="F17" s="22" t="s">
        <v>18</v>
      </c>
      <c r="G17" s="136">
        <f>LOOKUP(cfg!B7 &amp; "_Industrial/Marine diesel fuel",factors!AA1:AE40)</f>
        <v>2.8</v>
      </c>
      <c r="H17" s="14" t="s">
        <v>411</v>
      </c>
      <c r="I17" s="4">
        <f t="shared" si="0"/>
        <v>0</v>
      </c>
      <c r="J17" s="26">
        <f t="shared" si="1"/>
        <v>0</v>
      </c>
      <c r="K17" s="140" t="str">
        <f>LOOKUP(cfg!B7 &amp; "_Industrial/Marine diesel fuel",factors!AA1:AD40)</f>
        <v>PS</v>
      </c>
    </row>
    <row r="18" spans="2:11" ht="15.9" customHeight="1" x14ac:dyDescent="0.25">
      <c r="B18" s="42" t="s">
        <v>34</v>
      </c>
      <c r="C18" s="49"/>
      <c r="D18" s="28">
        <v>1</v>
      </c>
      <c r="E18" s="17">
        <f>LOOKUP('Activity D'!D18,Units!$A$19:$C$23)*C18</f>
        <v>0</v>
      </c>
      <c r="F18" s="22" t="s">
        <v>18</v>
      </c>
      <c r="G18" s="136">
        <f>LOOKUP(cfg!B7 &amp; "_Aviation Gasoline",factors!R3:V130)</f>
        <v>2.2999999999999998</v>
      </c>
      <c r="H18" s="14" t="s">
        <v>411</v>
      </c>
      <c r="I18" s="4">
        <f t="shared" si="0"/>
        <v>0</v>
      </c>
      <c r="J18" s="26">
        <f t="shared" si="1"/>
        <v>0</v>
      </c>
      <c r="K18" s="140" t="str">
        <f>LOOKUP(cfg!B7 &amp; "_Aviation Gasoline",factors!R3:U130)</f>
        <v>PS</v>
      </c>
    </row>
    <row r="19" spans="2:11" ht="15.9" customHeight="1" x14ac:dyDescent="0.25">
      <c r="B19" s="42" t="s">
        <v>35</v>
      </c>
      <c r="C19" s="49"/>
      <c r="D19" s="28">
        <v>1</v>
      </c>
      <c r="E19" s="17">
        <f>LOOKUP('Activity D'!D19,Units!$A$19:$C$23)*C19</f>
        <v>0</v>
      </c>
      <c r="F19" s="22" t="s">
        <v>18</v>
      </c>
      <c r="G19" s="136">
        <f>LOOKUP(cfg!B7 &amp; "_Aviation turbine",factors!R3:V130)</f>
        <v>2.6</v>
      </c>
      <c r="H19" s="14" t="s">
        <v>411</v>
      </c>
      <c r="I19" s="4">
        <f t="shared" si="0"/>
        <v>0</v>
      </c>
      <c r="J19" s="26">
        <f t="shared" si="1"/>
        <v>0</v>
      </c>
      <c r="K19" s="140" t="str">
        <f>LOOKUP(cfg!B7 &amp; "_Aviation Turbine",factors!R3:U130)</f>
        <v>PS</v>
      </c>
    </row>
    <row r="20" spans="2:11" ht="15.9" customHeight="1" x14ac:dyDescent="0.25">
      <c r="B20" s="192" t="s">
        <v>142</v>
      </c>
      <c r="C20" s="185"/>
      <c r="D20" s="199"/>
      <c r="E20" s="181"/>
      <c r="F20" s="187"/>
      <c r="G20" s="200"/>
      <c r="H20" s="185"/>
      <c r="I20" s="184"/>
      <c r="J20" s="193"/>
      <c r="K20" s="140"/>
    </row>
    <row r="21" spans="2:11" ht="15.9" customHeight="1" x14ac:dyDescent="0.25">
      <c r="B21" s="42" t="s">
        <v>78</v>
      </c>
      <c r="C21" s="51"/>
      <c r="D21" s="28">
        <v>3</v>
      </c>
      <c r="E21" s="17">
        <f>LOOKUP('Activity D'!D21,Units!$A$26:$C$30)*C21</f>
        <v>0</v>
      </c>
      <c r="F21" s="23" t="s">
        <v>410</v>
      </c>
      <c r="G21" s="138">
        <f>LOOKUP(cfg!$B$7 &amp; "_comingled",factors!$AJ$3:$AM$102)</f>
        <v>1.2</v>
      </c>
      <c r="H21" s="13" t="s">
        <v>412</v>
      </c>
      <c r="I21" s="4">
        <f t="shared" ref="I21:I28" si="2">noerror(E21*G21*1000)</f>
        <v>0</v>
      </c>
      <c r="J21" s="26">
        <f t="shared" ref="J21:J28" si="3">noerror(I21/1000,0)</f>
        <v>0</v>
      </c>
      <c r="K21" s="140"/>
    </row>
    <row r="22" spans="2:11" ht="15.9" customHeight="1" x14ac:dyDescent="0.25">
      <c r="B22" s="42" t="s">
        <v>83</v>
      </c>
      <c r="C22" s="51"/>
      <c r="D22" s="28">
        <v>3</v>
      </c>
      <c r="E22" s="17">
        <f>LOOKUP('Activity D'!D22,Units!$A$26:$C$30)*C22</f>
        <v>0</v>
      </c>
      <c r="F22" s="23" t="s">
        <v>410</v>
      </c>
      <c r="G22" s="138">
        <f>LOOKUP(cfg!$B$7 &amp; "_paper",factors!$AJ$3:$AM$102)</f>
        <v>2.8</v>
      </c>
      <c r="H22" s="13" t="s">
        <v>412</v>
      </c>
      <c r="I22" s="4">
        <f t="shared" si="2"/>
        <v>0</v>
      </c>
      <c r="J22" s="26">
        <f t="shared" si="3"/>
        <v>0</v>
      </c>
      <c r="K22" s="140"/>
    </row>
    <row r="23" spans="2:11" ht="15.9" customHeight="1" x14ac:dyDescent="0.25">
      <c r="B23" s="42" t="s">
        <v>84</v>
      </c>
      <c r="C23" s="52"/>
      <c r="D23" s="28">
        <v>3</v>
      </c>
      <c r="E23" s="17">
        <f>LOOKUP('Activity D'!D23,Units!$A$26:$C$30)*C23</f>
        <v>0</v>
      </c>
      <c r="F23" s="23" t="s">
        <v>410</v>
      </c>
      <c r="G23" s="138">
        <f>LOOKUP(cfg!$B$7 &amp; "_textiles",factors!$AJ$3:$AM$102)</f>
        <v>3.9</v>
      </c>
      <c r="H23" s="13" t="s">
        <v>412</v>
      </c>
      <c r="I23" s="4">
        <f t="shared" si="2"/>
        <v>0</v>
      </c>
      <c r="J23" s="26">
        <f t="shared" si="3"/>
        <v>0</v>
      </c>
      <c r="K23" s="140"/>
    </row>
    <row r="24" spans="2:11" ht="15.9" customHeight="1" x14ac:dyDescent="0.25">
      <c r="B24" s="42" t="s">
        <v>77</v>
      </c>
      <c r="C24" s="52"/>
      <c r="D24" s="28">
        <v>3</v>
      </c>
      <c r="E24" s="17">
        <f>LOOKUP('Activity D'!D24,Units!$A$26:$C$30)*C24</f>
        <v>0</v>
      </c>
      <c r="F24" s="23" t="s">
        <v>410</v>
      </c>
      <c r="G24" s="138">
        <f>LOOKUP(cfg!$B$7 &amp; "_wood",factors!$AJ$3:$AM$102)</f>
        <v>2.1</v>
      </c>
      <c r="H24" s="13" t="s">
        <v>412</v>
      </c>
      <c r="I24" s="4">
        <f t="shared" si="2"/>
        <v>0</v>
      </c>
      <c r="J24" s="26">
        <f t="shared" si="3"/>
        <v>0</v>
      </c>
      <c r="K24" s="140"/>
    </row>
    <row r="25" spans="2:11" ht="15.9" customHeight="1" x14ac:dyDescent="0.25">
      <c r="B25" s="42" t="s">
        <v>76</v>
      </c>
      <c r="C25" s="52"/>
      <c r="D25" s="28">
        <v>3</v>
      </c>
      <c r="E25" s="17">
        <f>LOOKUP('Activity D'!D25,Units!$A$26:$C$30)*C25</f>
        <v>0</v>
      </c>
      <c r="F25" s="23" t="s">
        <v>410</v>
      </c>
      <c r="G25" s="138">
        <f>LOOKUP(cfg!$B$7 &amp; "_garden",factors!$AJ$3:$AM$102)</f>
        <v>1.2</v>
      </c>
      <c r="H25" s="13" t="s">
        <v>412</v>
      </c>
      <c r="I25" s="4">
        <f t="shared" si="2"/>
        <v>0</v>
      </c>
      <c r="J25" s="26">
        <f t="shared" si="3"/>
        <v>0</v>
      </c>
      <c r="K25" s="140"/>
    </row>
    <row r="26" spans="2:11" ht="15.9" customHeight="1" x14ac:dyDescent="0.25">
      <c r="B26" s="42" t="s">
        <v>75</v>
      </c>
      <c r="C26" s="52"/>
      <c r="D26" s="28">
        <v>3</v>
      </c>
      <c r="E26" s="17">
        <f>LOOKUP('Activity D'!D26,Units!$A$26:$C$30)*C26</f>
        <v>0</v>
      </c>
      <c r="F26" s="9" t="s">
        <v>410</v>
      </c>
      <c r="G26" s="138">
        <f>LOOKUP(cfg!$B$7 &amp; "_food",factors!$AJ$3:$AM$102)</f>
        <v>1.5</v>
      </c>
      <c r="H26" s="13" t="s">
        <v>412</v>
      </c>
      <c r="I26" s="4">
        <f t="shared" si="2"/>
        <v>0</v>
      </c>
      <c r="J26" s="26">
        <f t="shared" si="3"/>
        <v>0</v>
      </c>
      <c r="K26" s="140"/>
    </row>
    <row r="27" spans="2:11" ht="15.9" customHeight="1" x14ac:dyDescent="0.25">
      <c r="B27" s="42" t="s">
        <v>74</v>
      </c>
      <c r="C27" s="52"/>
      <c r="D27" s="28">
        <v>3</v>
      </c>
      <c r="E27" s="17">
        <f>LOOKUP('Activity D'!D27,Units!$A$26:$C$30)*C27</f>
        <v>0</v>
      </c>
      <c r="F27" s="9" t="s">
        <v>410</v>
      </c>
      <c r="G27" s="138">
        <f>LOOKUP(cfg!$B$7 &amp; "_medical",factors!$AJ$3:$AM$102)</f>
        <v>0.5</v>
      </c>
      <c r="H27" s="13" t="s">
        <v>412</v>
      </c>
      <c r="I27" s="4">
        <f t="shared" si="2"/>
        <v>0</v>
      </c>
      <c r="J27" s="26">
        <f t="shared" si="3"/>
        <v>0</v>
      </c>
      <c r="K27" s="140"/>
    </row>
    <row r="28" spans="2:11" ht="15.9" customHeight="1" x14ac:dyDescent="0.25">
      <c r="B28" s="42" t="s">
        <v>73</v>
      </c>
      <c r="C28" s="52"/>
      <c r="D28" s="28">
        <v>3</v>
      </c>
      <c r="E28" s="17">
        <f>LOOKUP('Activity D'!D28,Units!$A$26:$C$30)*C28</f>
        <v>0</v>
      </c>
      <c r="F28" s="9" t="s">
        <v>410</v>
      </c>
      <c r="G28" s="223">
        <f>LOOKUP(cfg!$B$7 &amp; "_concrete metal",factors!$AJ$3:$AM$102)</f>
        <v>0</v>
      </c>
      <c r="H28" s="13" t="s">
        <v>412</v>
      </c>
      <c r="I28" s="4">
        <f t="shared" si="2"/>
        <v>0</v>
      </c>
      <c r="J28" s="26">
        <f t="shared" si="3"/>
        <v>0</v>
      </c>
      <c r="K28" s="140"/>
    </row>
    <row r="29" spans="2:11" ht="15.9" customHeight="1" x14ac:dyDescent="0.25">
      <c r="B29" s="192" t="s">
        <v>67</v>
      </c>
      <c r="C29" s="189"/>
      <c r="D29" s="190"/>
      <c r="E29" s="191"/>
      <c r="F29" s="189"/>
      <c r="G29" s="189"/>
      <c r="H29" s="189"/>
      <c r="I29" s="189"/>
      <c r="J29" s="194"/>
      <c r="K29" s="140"/>
    </row>
    <row r="30" spans="2:11" ht="15.9" customHeight="1" x14ac:dyDescent="0.35">
      <c r="B30" s="42" t="s">
        <v>68</v>
      </c>
      <c r="C30" s="29"/>
      <c r="D30" s="28">
        <v>3</v>
      </c>
      <c r="E30" s="17">
        <f>LOOKUP('Activity D'!D30,Units!$A$26:$C$30)*C30</f>
        <v>0</v>
      </c>
      <c r="F30" s="23" t="s">
        <v>410</v>
      </c>
      <c r="G30" s="155">
        <v>23900</v>
      </c>
      <c r="H30" s="15" t="s">
        <v>412</v>
      </c>
      <c r="I30" s="4">
        <f>noerror(E30*G30*1000)</f>
        <v>0</v>
      </c>
      <c r="J30" s="26">
        <f>noerror(I30/1000,0)</f>
        <v>0</v>
      </c>
      <c r="K30" s="140"/>
    </row>
    <row r="31" spans="2:11" ht="15.9" customHeight="1" x14ac:dyDescent="0.25">
      <c r="B31" s="42" t="s">
        <v>65</v>
      </c>
      <c r="C31" s="29"/>
      <c r="D31" s="28">
        <v>3</v>
      </c>
      <c r="E31" s="17">
        <f>LOOKUP('Activity D'!D31,Units!$A$26:$C$30)*C31</f>
        <v>0</v>
      </c>
      <c r="F31" s="23" t="s">
        <v>410</v>
      </c>
      <c r="G31" s="16"/>
      <c r="H31" s="15" t="s">
        <v>412</v>
      </c>
      <c r="I31" s="4">
        <f>noerror(E31*G31*1000)</f>
        <v>0</v>
      </c>
      <c r="J31" s="26">
        <f>noerror(I31/1000,0)</f>
        <v>0</v>
      </c>
      <c r="K31" s="140"/>
    </row>
    <row r="32" spans="2:11" ht="15.9" customHeight="1" x14ac:dyDescent="0.25">
      <c r="B32" s="192" t="s">
        <v>28</v>
      </c>
      <c r="C32" s="185"/>
      <c r="D32" s="185"/>
      <c r="E32" s="185"/>
      <c r="F32" s="185"/>
      <c r="G32" s="185"/>
      <c r="H32" s="185"/>
      <c r="I32" s="185"/>
      <c r="J32" s="193"/>
      <c r="K32" s="140"/>
    </row>
    <row r="33" spans="2:11" ht="15.9" customHeight="1" x14ac:dyDescent="0.25">
      <c r="B33" s="37" t="s">
        <v>28</v>
      </c>
      <c r="C33" s="49"/>
      <c r="D33" s="28"/>
      <c r="E33" s="226">
        <f>C33</f>
        <v>0</v>
      </c>
      <c r="F33" s="38"/>
      <c r="G33" s="39"/>
      <c r="H33" s="139" t="s">
        <v>412</v>
      </c>
      <c r="I33" s="40">
        <f>noerror(E33*G33*1000)</f>
        <v>0</v>
      </c>
      <c r="J33" s="287">
        <f>noerror(I33/1000,0)</f>
        <v>0</v>
      </c>
      <c r="K33" s="140"/>
    </row>
    <row r="34" spans="2:11" ht="15.9" customHeight="1" x14ac:dyDescent="0.25">
      <c r="B34" s="37" t="s">
        <v>28</v>
      </c>
      <c r="C34" s="49"/>
      <c r="D34" s="28"/>
      <c r="E34" s="226">
        <f>C34</f>
        <v>0</v>
      </c>
      <c r="F34" s="38"/>
      <c r="G34" s="39"/>
      <c r="H34" s="139" t="s">
        <v>412</v>
      </c>
      <c r="I34" s="40">
        <f>noerror(E34*G34*1000)</f>
        <v>0</v>
      </c>
      <c r="J34" s="287">
        <f>noerror(I34/1000,0)</f>
        <v>0</v>
      </c>
      <c r="K34" s="140"/>
    </row>
    <row r="35" spans="2:11" ht="15.9" customHeight="1" x14ac:dyDescent="0.25">
      <c r="B35" s="37" t="s">
        <v>28</v>
      </c>
      <c r="C35" s="49"/>
      <c r="D35" s="28"/>
      <c r="E35" s="226">
        <f>C35</f>
        <v>0</v>
      </c>
      <c r="F35" s="38"/>
      <c r="G35" s="39"/>
      <c r="H35" s="139" t="s">
        <v>412</v>
      </c>
      <c r="I35" s="40">
        <f>noerror(E35*G35*1000)</f>
        <v>0</v>
      </c>
      <c r="J35" s="287">
        <f>noerror(I35/1000,0)</f>
        <v>0</v>
      </c>
      <c r="K35" s="140"/>
    </row>
    <row r="36" spans="2:11" ht="15.9" customHeight="1" x14ac:dyDescent="0.25">
      <c r="B36" s="283" t="s">
        <v>398</v>
      </c>
      <c r="C36" s="284"/>
      <c r="D36" s="284"/>
      <c r="E36" s="284"/>
      <c r="F36" s="284"/>
      <c r="G36" s="284"/>
      <c r="H36" s="284"/>
      <c r="I36" s="284"/>
      <c r="J36" s="285">
        <f>SUM(J8:K35)</f>
        <v>0</v>
      </c>
      <c r="K36" s="140"/>
    </row>
    <row r="37" spans="2:11" ht="15.9" customHeight="1" x14ac:dyDescent="0.25">
      <c r="B37" s="204" t="s">
        <v>423</v>
      </c>
      <c r="C37" s="205"/>
      <c r="D37" s="206"/>
      <c r="E37" s="207"/>
      <c r="F37" s="207"/>
      <c r="G37" s="206"/>
      <c r="H37" s="206"/>
      <c r="I37" s="208"/>
      <c r="J37" s="209"/>
      <c r="K37" s="140"/>
    </row>
    <row r="38" spans="2:11" ht="15.9" customHeight="1" x14ac:dyDescent="0.25">
      <c r="B38" s="33"/>
      <c r="C38" s="28"/>
      <c r="D38" s="28"/>
      <c r="E38" s="34"/>
      <c r="F38" s="35"/>
      <c r="G38" s="34"/>
      <c r="H38" s="35"/>
      <c r="I38" s="28"/>
      <c r="J38" s="36"/>
      <c r="K38" s="140"/>
    </row>
    <row r="39" spans="2:11" ht="15.9" customHeight="1" x14ac:dyDescent="0.25">
      <c r="B39" s="174"/>
      <c r="C39" s="175"/>
      <c r="D39" s="175"/>
      <c r="E39" s="176"/>
      <c r="F39" s="177"/>
      <c r="G39" s="176"/>
      <c r="H39" s="177"/>
      <c r="I39" s="175"/>
      <c r="J39" s="178"/>
      <c r="K39" s="140"/>
    </row>
    <row r="40" spans="2:11" ht="15.9" customHeight="1" x14ac:dyDescent="0.25">
      <c r="B40" s="283" t="s">
        <v>400</v>
      </c>
      <c r="C40" s="284"/>
      <c r="D40" s="284"/>
      <c r="E40" s="284"/>
      <c r="F40" s="284"/>
      <c r="G40" s="284"/>
      <c r="H40" s="284"/>
      <c r="I40" s="284"/>
      <c r="J40" s="285">
        <f>SUM(J38:J39)</f>
        <v>0</v>
      </c>
      <c r="K40" s="140"/>
    </row>
    <row r="41" spans="2:11" ht="15.9" customHeight="1" thickBot="1" x14ac:dyDescent="0.3">
      <c r="B41" s="202" t="s">
        <v>399</v>
      </c>
      <c r="C41" s="203"/>
      <c r="D41" s="203"/>
      <c r="E41" s="203"/>
      <c r="F41" s="203"/>
      <c r="G41" s="203"/>
      <c r="H41" s="203"/>
      <c r="I41" s="203"/>
      <c r="J41" s="197">
        <f>SUM(J40,J36)</f>
        <v>0</v>
      </c>
      <c r="K41" s="140"/>
    </row>
    <row r="45" spans="2:11" x14ac:dyDescent="0.25">
      <c r="B45" s="1"/>
    </row>
  </sheetData>
  <sheetProtection sheet="1" objects="1" scenarios="1"/>
  <mergeCells count="1">
    <mergeCell ref="D2:G2"/>
  </mergeCells>
  <phoneticPr fontId="0" type="noConversion"/>
  <dataValidations xWindow="508" yWindow="430" count="2">
    <dataValidation allowBlank="1" showInputMessage="1" showErrorMessage="1" promptTitle="Offsets" prompt="Offsets should be entered as negative values." sqref="C38:C39 J38:J39"/>
    <dataValidation allowBlank="1" showInputMessage="1" showErrorMessage="1" promptTitle="HFC" prompt="Different factors exist depending on what HFC is used. See workbook." sqref="C31"/>
  </dataValidations>
  <pageMargins left="0.75" right="0.6" top="1" bottom="1" header="0.5" footer="0.5"/>
  <pageSetup paperSize="9" orientation="landscape"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2289" r:id="rId4" name="Drop Down 1">
              <controlPr defaultSize="0" autoLine="0" autoPict="0">
                <anchor moveWithCells="1">
                  <from>
                    <xdr:col>3</xdr:col>
                    <xdr:colOff>0</xdr:colOff>
                    <xdr:row>3</xdr:row>
                    <xdr:rowOff>0</xdr:rowOff>
                  </from>
                  <to>
                    <xdr:col>4</xdr:col>
                    <xdr:colOff>0</xdr:colOff>
                    <xdr:row>4</xdr:row>
                    <xdr:rowOff>0</xdr:rowOff>
                  </to>
                </anchor>
              </controlPr>
            </control>
          </mc:Choice>
        </mc:AlternateContent>
        <mc:AlternateContent xmlns:mc="http://schemas.openxmlformats.org/markup-compatibility/2006">
          <mc:Choice Requires="x14">
            <control shapeId="12290" r:id="rId5" name="Drop Down 2">
              <controlPr defaultSize="0" autoLine="0" autoPict="0">
                <anchor moveWithCells="1">
                  <from>
                    <xdr:col>3</xdr:col>
                    <xdr:colOff>0</xdr:colOff>
                    <xdr:row>7</xdr:row>
                    <xdr:rowOff>0</xdr:rowOff>
                  </from>
                  <to>
                    <xdr:col>4</xdr:col>
                    <xdr:colOff>0</xdr:colOff>
                    <xdr:row>8</xdr:row>
                    <xdr:rowOff>0</xdr:rowOff>
                  </to>
                </anchor>
              </controlPr>
            </control>
          </mc:Choice>
        </mc:AlternateContent>
        <mc:AlternateContent xmlns:mc="http://schemas.openxmlformats.org/markup-compatibility/2006">
          <mc:Choice Requires="x14">
            <control shapeId="12292" r:id="rId6" name="Drop Down 4">
              <controlPr defaultSize="0" autoLine="0" autoPict="0">
                <anchor moveWithCells="1">
                  <from>
                    <xdr:col>3</xdr:col>
                    <xdr:colOff>0</xdr:colOff>
                    <xdr:row>11</xdr:row>
                    <xdr:rowOff>0</xdr:rowOff>
                  </from>
                  <to>
                    <xdr:col>4</xdr:col>
                    <xdr:colOff>0</xdr:colOff>
                    <xdr:row>12</xdr:row>
                    <xdr:rowOff>0</xdr:rowOff>
                  </to>
                </anchor>
              </controlPr>
            </control>
          </mc:Choice>
        </mc:AlternateContent>
        <mc:AlternateContent xmlns:mc="http://schemas.openxmlformats.org/markup-compatibility/2006">
          <mc:Choice Requires="x14">
            <control shapeId="12293" r:id="rId7" name="Drop Down 5">
              <controlPr defaultSize="0" autoLine="0" autoPict="0">
                <anchor moveWithCells="1">
                  <from>
                    <xdr:col>3</xdr:col>
                    <xdr:colOff>0</xdr:colOff>
                    <xdr:row>12</xdr:row>
                    <xdr:rowOff>0</xdr:rowOff>
                  </from>
                  <to>
                    <xdr:col>4</xdr:col>
                    <xdr:colOff>0</xdr:colOff>
                    <xdr:row>13</xdr:row>
                    <xdr:rowOff>0</xdr:rowOff>
                  </to>
                </anchor>
              </controlPr>
            </control>
          </mc:Choice>
        </mc:AlternateContent>
        <mc:AlternateContent xmlns:mc="http://schemas.openxmlformats.org/markup-compatibility/2006">
          <mc:Choice Requires="x14">
            <control shapeId="12294" r:id="rId8" name="Drop Down 6">
              <controlPr defaultSize="0" autoLine="0" autoPict="0">
                <anchor moveWithCells="1">
                  <from>
                    <xdr:col>3</xdr:col>
                    <xdr:colOff>0</xdr:colOff>
                    <xdr:row>21</xdr:row>
                    <xdr:rowOff>0</xdr:rowOff>
                  </from>
                  <to>
                    <xdr:col>4</xdr:col>
                    <xdr:colOff>0</xdr:colOff>
                    <xdr:row>22</xdr:row>
                    <xdr:rowOff>0</xdr:rowOff>
                  </to>
                </anchor>
              </controlPr>
            </control>
          </mc:Choice>
        </mc:AlternateContent>
        <mc:AlternateContent xmlns:mc="http://schemas.openxmlformats.org/markup-compatibility/2006">
          <mc:Choice Requires="x14">
            <control shapeId="12295" r:id="rId9" name="Drop Down 7">
              <controlPr defaultSize="0" autoLine="0" autoPict="0">
                <anchor moveWithCells="1">
                  <from>
                    <xdr:col>3</xdr:col>
                    <xdr:colOff>0</xdr:colOff>
                    <xdr:row>8</xdr:row>
                    <xdr:rowOff>0</xdr:rowOff>
                  </from>
                  <to>
                    <xdr:col>4</xdr:col>
                    <xdr:colOff>0</xdr:colOff>
                    <xdr:row>9</xdr:row>
                    <xdr:rowOff>0</xdr:rowOff>
                  </to>
                </anchor>
              </controlPr>
            </control>
          </mc:Choice>
        </mc:AlternateContent>
        <mc:AlternateContent xmlns:mc="http://schemas.openxmlformats.org/markup-compatibility/2006">
          <mc:Choice Requires="x14">
            <control shapeId="12296" r:id="rId10" name="Drop Down 8">
              <controlPr defaultSize="0" autoLine="0" autoPict="0">
                <anchor moveWithCells="1">
                  <from>
                    <xdr:col>3</xdr:col>
                    <xdr:colOff>0</xdr:colOff>
                    <xdr:row>20</xdr:row>
                    <xdr:rowOff>0</xdr:rowOff>
                  </from>
                  <to>
                    <xdr:col>4</xdr:col>
                    <xdr:colOff>0</xdr:colOff>
                    <xdr:row>21</xdr:row>
                    <xdr:rowOff>0</xdr:rowOff>
                  </to>
                </anchor>
              </controlPr>
            </control>
          </mc:Choice>
        </mc:AlternateContent>
        <mc:AlternateContent xmlns:mc="http://schemas.openxmlformats.org/markup-compatibility/2006">
          <mc:Choice Requires="x14">
            <control shapeId="12298" r:id="rId11" name="Drop Down 10">
              <controlPr defaultSize="0" autoLine="0" autoPict="0">
                <anchor moveWithCells="1">
                  <from>
                    <xdr:col>3</xdr:col>
                    <xdr:colOff>0</xdr:colOff>
                    <xdr:row>9</xdr:row>
                    <xdr:rowOff>0</xdr:rowOff>
                  </from>
                  <to>
                    <xdr:col>4</xdr:col>
                    <xdr:colOff>0</xdr:colOff>
                    <xdr:row>10</xdr:row>
                    <xdr:rowOff>0</xdr:rowOff>
                  </to>
                </anchor>
              </controlPr>
            </control>
          </mc:Choice>
        </mc:AlternateContent>
        <mc:AlternateContent xmlns:mc="http://schemas.openxmlformats.org/markup-compatibility/2006">
          <mc:Choice Requires="x14">
            <control shapeId="12299" r:id="rId12" name="Drop Down 11">
              <controlPr defaultSize="0" autoLine="0" autoPict="0">
                <anchor moveWithCells="1">
                  <from>
                    <xdr:col>3</xdr:col>
                    <xdr:colOff>0</xdr:colOff>
                    <xdr:row>13</xdr:row>
                    <xdr:rowOff>0</xdr:rowOff>
                  </from>
                  <to>
                    <xdr:col>4</xdr:col>
                    <xdr:colOff>0</xdr:colOff>
                    <xdr:row>14</xdr:row>
                    <xdr:rowOff>0</xdr:rowOff>
                  </to>
                </anchor>
              </controlPr>
            </control>
          </mc:Choice>
        </mc:AlternateContent>
        <mc:AlternateContent xmlns:mc="http://schemas.openxmlformats.org/markup-compatibility/2006">
          <mc:Choice Requires="x14">
            <control shapeId="12300" r:id="rId13" name="Drop Down 12">
              <controlPr defaultSize="0" autoLine="0" autoPict="0">
                <anchor moveWithCells="1">
                  <from>
                    <xdr:col>3</xdr:col>
                    <xdr:colOff>0</xdr:colOff>
                    <xdr:row>14</xdr:row>
                    <xdr:rowOff>0</xdr:rowOff>
                  </from>
                  <to>
                    <xdr:col>4</xdr:col>
                    <xdr:colOff>0</xdr:colOff>
                    <xdr:row>15</xdr:row>
                    <xdr:rowOff>0</xdr:rowOff>
                  </to>
                </anchor>
              </controlPr>
            </control>
          </mc:Choice>
        </mc:AlternateContent>
        <mc:AlternateContent xmlns:mc="http://schemas.openxmlformats.org/markup-compatibility/2006">
          <mc:Choice Requires="x14">
            <control shapeId="12301" r:id="rId14" name="Drop Down 13">
              <controlPr defaultSize="0" autoLine="0" autoPict="0">
                <anchor moveWithCells="1">
                  <from>
                    <xdr:col>3</xdr:col>
                    <xdr:colOff>0</xdr:colOff>
                    <xdr:row>15</xdr:row>
                    <xdr:rowOff>0</xdr:rowOff>
                  </from>
                  <to>
                    <xdr:col>4</xdr:col>
                    <xdr:colOff>0</xdr:colOff>
                    <xdr:row>16</xdr:row>
                    <xdr:rowOff>0</xdr:rowOff>
                  </to>
                </anchor>
              </controlPr>
            </control>
          </mc:Choice>
        </mc:AlternateContent>
        <mc:AlternateContent xmlns:mc="http://schemas.openxmlformats.org/markup-compatibility/2006">
          <mc:Choice Requires="x14">
            <control shapeId="12305" r:id="rId15" name="Drop Down 17">
              <controlPr defaultSize="0" autoLine="0" autoPict="0">
                <anchor moveWithCells="1">
                  <from>
                    <xdr:col>3</xdr:col>
                    <xdr:colOff>0</xdr:colOff>
                    <xdr:row>16</xdr:row>
                    <xdr:rowOff>0</xdr:rowOff>
                  </from>
                  <to>
                    <xdr:col>4</xdr:col>
                    <xdr:colOff>0</xdr:colOff>
                    <xdr:row>17</xdr:row>
                    <xdr:rowOff>0</xdr:rowOff>
                  </to>
                </anchor>
              </controlPr>
            </control>
          </mc:Choice>
        </mc:AlternateContent>
        <mc:AlternateContent xmlns:mc="http://schemas.openxmlformats.org/markup-compatibility/2006">
          <mc:Choice Requires="x14">
            <control shapeId="12306" r:id="rId16" name="Drop Down 18">
              <controlPr defaultSize="0" autoLine="0" autoPict="0">
                <anchor moveWithCells="1">
                  <from>
                    <xdr:col>3</xdr:col>
                    <xdr:colOff>0</xdr:colOff>
                    <xdr:row>17</xdr:row>
                    <xdr:rowOff>0</xdr:rowOff>
                  </from>
                  <to>
                    <xdr:col>4</xdr:col>
                    <xdr:colOff>0</xdr:colOff>
                    <xdr:row>18</xdr:row>
                    <xdr:rowOff>0</xdr:rowOff>
                  </to>
                </anchor>
              </controlPr>
            </control>
          </mc:Choice>
        </mc:AlternateContent>
        <mc:AlternateContent xmlns:mc="http://schemas.openxmlformats.org/markup-compatibility/2006">
          <mc:Choice Requires="x14">
            <control shapeId="12307" r:id="rId17" name="Drop Down 19">
              <controlPr defaultSize="0" autoLine="0" autoPict="0">
                <anchor moveWithCells="1">
                  <from>
                    <xdr:col>3</xdr:col>
                    <xdr:colOff>0</xdr:colOff>
                    <xdr:row>18</xdr:row>
                    <xdr:rowOff>0</xdr:rowOff>
                  </from>
                  <to>
                    <xdr:col>4</xdr:col>
                    <xdr:colOff>0</xdr:colOff>
                    <xdr:row>19</xdr:row>
                    <xdr:rowOff>0</xdr:rowOff>
                  </to>
                </anchor>
              </controlPr>
            </control>
          </mc:Choice>
        </mc:AlternateContent>
        <mc:AlternateContent xmlns:mc="http://schemas.openxmlformats.org/markup-compatibility/2006">
          <mc:Choice Requires="x14">
            <control shapeId="12311" r:id="rId18" name="Drop Down 23">
              <controlPr defaultSize="0" autoLine="0" autoPict="0">
                <anchor moveWithCells="1">
                  <from>
                    <xdr:col>3</xdr:col>
                    <xdr:colOff>0</xdr:colOff>
                    <xdr:row>29</xdr:row>
                    <xdr:rowOff>0</xdr:rowOff>
                  </from>
                  <to>
                    <xdr:col>4</xdr:col>
                    <xdr:colOff>0</xdr:colOff>
                    <xdr:row>30</xdr:row>
                    <xdr:rowOff>0</xdr:rowOff>
                  </to>
                </anchor>
              </controlPr>
            </control>
          </mc:Choice>
        </mc:AlternateContent>
        <mc:AlternateContent xmlns:mc="http://schemas.openxmlformats.org/markup-compatibility/2006">
          <mc:Choice Requires="x14">
            <control shapeId="12312" r:id="rId19" name="Drop Down 24">
              <controlPr defaultSize="0" autoLine="0" autoPict="0">
                <anchor moveWithCells="1">
                  <from>
                    <xdr:col>3</xdr:col>
                    <xdr:colOff>0</xdr:colOff>
                    <xdr:row>30</xdr:row>
                    <xdr:rowOff>0</xdr:rowOff>
                  </from>
                  <to>
                    <xdr:col>4</xdr:col>
                    <xdr:colOff>0</xdr:colOff>
                    <xdr:row>31</xdr:row>
                    <xdr:rowOff>0</xdr:rowOff>
                  </to>
                </anchor>
              </controlPr>
            </control>
          </mc:Choice>
        </mc:AlternateContent>
        <mc:AlternateContent xmlns:mc="http://schemas.openxmlformats.org/markup-compatibility/2006">
          <mc:Choice Requires="x14">
            <control shapeId="12314" r:id="rId20" name="Drop Down 26">
              <controlPr defaultSize="0" autoLine="0" autoPict="0">
                <anchor moveWithCells="1">
                  <from>
                    <xdr:col>3</xdr:col>
                    <xdr:colOff>0</xdr:colOff>
                    <xdr:row>22</xdr:row>
                    <xdr:rowOff>0</xdr:rowOff>
                  </from>
                  <to>
                    <xdr:col>4</xdr:col>
                    <xdr:colOff>0</xdr:colOff>
                    <xdr:row>23</xdr:row>
                    <xdr:rowOff>0</xdr:rowOff>
                  </to>
                </anchor>
              </controlPr>
            </control>
          </mc:Choice>
        </mc:AlternateContent>
        <mc:AlternateContent xmlns:mc="http://schemas.openxmlformats.org/markup-compatibility/2006">
          <mc:Choice Requires="x14">
            <control shapeId="12315" r:id="rId21" name="Drop Down 27">
              <controlPr defaultSize="0" autoLine="0" autoPict="0">
                <anchor moveWithCells="1">
                  <from>
                    <xdr:col>3</xdr:col>
                    <xdr:colOff>0</xdr:colOff>
                    <xdr:row>23</xdr:row>
                    <xdr:rowOff>0</xdr:rowOff>
                  </from>
                  <to>
                    <xdr:col>4</xdr:col>
                    <xdr:colOff>0</xdr:colOff>
                    <xdr:row>24</xdr:row>
                    <xdr:rowOff>0</xdr:rowOff>
                  </to>
                </anchor>
              </controlPr>
            </control>
          </mc:Choice>
        </mc:AlternateContent>
        <mc:AlternateContent xmlns:mc="http://schemas.openxmlformats.org/markup-compatibility/2006">
          <mc:Choice Requires="x14">
            <control shapeId="12316" r:id="rId22" name="Drop Down 28">
              <controlPr defaultSize="0" autoLine="0" autoPict="0">
                <anchor moveWithCells="1">
                  <from>
                    <xdr:col>3</xdr:col>
                    <xdr:colOff>0</xdr:colOff>
                    <xdr:row>24</xdr:row>
                    <xdr:rowOff>0</xdr:rowOff>
                  </from>
                  <to>
                    <xdr:col>4</xdr:col>
                    <xdr:colOff>0</xdr:colOff>
                    <xdr:row>25</xdr:row>
                    <xdr:rowOff>0</xdr:rowOff>
                  </to>
                </anchor>
              </controlPr>
            </control>
          </mc:Choice>
        </mc:AlternateContent>
        <mc:AlternateContent xmlns:mc="http://schemas.openxmlformats.org/markup-compatibility/2006">
          <mc:Choice Requires="x14">
            <control shapeId="12317" r:id="rId23" name="Drop Down 29">
              <controlPr defaultSize="0" autoLine="0" autoPict="0">
                <anchor moveWithCells="1">
                  <from>
                    <xdr:col>3</xdr:col>
                    <xdr:colOff>0</xdr:colOff>
                    <xdr:row>25</xdr:row>
                    <xdr:rowOff>0</xdr:rowOff>
                  </from>
                  <to>
                    <xdr:col>4</xdr:col>
                    <xdr:colOff>0</xdr:colOff>
                    <xdr:row>26</xdr:row>
                    <xdr:rowOff>0</xdr:rowOff>
                  </to>
                </anchor>
              </controlPr>
            </control>
          </mc:Choice>
        </mc:AlternateContent>
        <mc:AlternateContent xmlns:mc="http://schemas.openxmlformats.org/markup-compatibility/2006">
          <mc:Choice Requires="x14">
            <control shapeId="12318" r:id="rId24" name="Drop Down 30">
              <controlPr defaultSize="0" autoLine="0" autoPict="0">
                <anchor moveWithCells="1">
                  <from>
                    <xdr:col>3</xdr:col>
                    <xdr:colOff>0</xdr:colOff>
                    <xdr:row>26</xdr:row>
                    <xdr:rowOff>0</xdr:rowOff>
                  </from>
                  <to>
                    <xdr:col>4</xdr:col>
                    <xdr:colOff>0</xdr:colOff>
                    <xdr:row>27</xdr:row>
                    <xdr:rowOff>0</xdr:rowOff>
                  </to>
                </anchor>
              </controlPr>
            </control>
          </mc:Choice>
        </mc:AlternateContent>
        <mc:AlternateContent xmlns:mc="http://schemas.openxmlformats.org/markup-compatibility/2006">
          <mc:Choice Requires="x14">
            <control shapeId="12319" r:id="rId25" name="Drop Down 31">
              <controlPr defaultSize="0" autoLine="0" autoPict="0">
                <anchor moveWithCells="1">
                  <from>
                    <xdr:col>3</xdr:col>
                    <xdr:colOff>0</xdr:colOff>
                    <xdr:row>27</xdr:row>
                    <xdr:rowOff>0</xdr:rowOff>
                  </from>
                  <to>
                    <xdr:col>4</xdr:col>
                    <xdr:colOff>0</xdr:colOff>
                    <xdr:row>28</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pageSetUpPr fitToPage="1"/>
  </sheetPr>
  <dimension ref="B1:I15"/>
  <sheetViews>
    <sheetView workbookViewId="0"/>
  </sheetViews>
  <sheetFormatPr defaultRowHeight="13.2" x14ac:dyDescent="0.25"/>
  <cols>
    <col min="1" max="1" width="1.88671875" customWidth="1"/>
    <col min="2" max="2" width="15.88671875" customWidth="1"/>
    <col min="3" max="3" width="36" customWidth="1"/>
    <col min="4" max="4" width="28.44140625" customWidth="1"/>
    <col min="5" max="5" width="20" customWidth="1"/>
    <col min="6" max="8" width="22.5546875" customWidth="1"/>
    <col min="9" max="9" width="13.6640625" customWidth="1"/>
  </cols>
  <sheetData>
    <row r="1" spans="2:9" ht="15.6" x14ac:dyDescent="0.3">
      <c r="C1" s="5" t="s">
        <v>313</v>
      </c>
    </row>
    <row r="7" spans="2:9" x14ac:dyDescent="0.25">
      <c r="D7" s="56"/>
    </row>
    <row r="8" spans="2:9" ht="13.8" thickBot="1" x14ac:dyDescent="0.3">
      <c r="D8" s="56"/>
    </row>
    <row r="9" spans="2:9" x14ac:dyDescent="0.25">
      <c r="B9" s="66" t="s">
        <v>331</v>
      </c>
      <c r="C9" s="57"/>
      <c r="D9" s="57" t="s">
        <v>330</v>
      </c>
      <c r="E9" s="116" t="str">
        <f>'Activity A'!$D$2 &amp; ""</f>
        <v>Testco Pty South</v>
      </c>
      <c r="F9" s="116" t="str">
        <f>'Activity B'!$D$2 &amp; ""</f>
        <v>Testco Pty North</v>
      </c>
      <c r="G9" s="116" t="str">
        <f>'Activity C'!$D$2 &amp; ""</f>
        <v>Testco Pty East</v>
      </c>
      <c r="H9" s="116" t="str">
        <f>'Activity D'!$D$2 &amp; ""</f>
        <v>Testco Pty West</v>
      </c>
      <c r="I9" s="67" t="s">
        <v>27</v>
      </c>
    </row>
    <row r="10" spans="2:9" ht="15.6" x14ac:dyDescent="0.35">
      <c r="B10" s="42"/>
      <c r="C10" s="54" t="s">
        <v>314</v>
      </c>
      <c r="D10" s="123" t="s">
        <v>337</v>
      </c>
      <c r="E10" s="63">
        <f>'Activity A'!J41</f>
        <v>0</v>
      </c>
      <c r="F10" s="63">
        <f>'Activity B'!J41</f>
        <v>0</v>
      </c>
      <c r="G10" s="156">
        <f>'Activity C'!J41</f>
        <v>0</v>
      </c>
      <c r="H10" s="156">
        <f>'Activity D'!J41</f>
        <v>0</v>
      </c>
      <c r="I10" s="64">
        <f>E10+F10+G10+H10</f>
        <v>0</v>
      </c>
    </row>
    <row r="11" spans="2:9" ht="15.9" customHeight="1" x14ac:dyDescent="0.25">
      <c r="B11" s="42" t="s">
        <v>326</v>
      </c>
      <c r="C11" s="29">
        <v>15</v>
      </c>
      <c r="D11" s="123" t="str">
        <f>LOOKUP($C$11,Units!$F$3:$J$32) &amp; ":"</f>
        <v>:</v>
      </c>
      <c r="E11" s="48"/>
      <c r="F11" s="48"/>
      <c r="G11" s="39"/>
      <c r="H11" s="39"/>
      <c r="I11" s="58">
        <f>E11+F11+G11+H11</f>
        <v>0</v>
      </c>
    </row>
    <row r="12" spans="2:9" ht="15.9" customHeight="1" thickBot="1" x14ac:dyDescent="0.3">
      <c r="B12" s="59"/>
      <c r="C12" s="60" t="s">
        <v>327</v>
      </c>
      <c r="D12" s="61" t="str">
        <f>LOOKUP($C$11,Units!$F$3:$H$32) &amp; "/" &amp; LOOKUP($C$11,Units!$F$3:$K$32) &amp;":"</f>
        <v>/:</v>
      </c>
      <c r="E12" s="62" t="str">
        <f>noerror(LOOKUP($C$11,Units!$F$3:$I$32)*E10/(LOOKUP($C$11,Units!$F$3:$L$32)*E11))</f>
        <v/>
      </c>
      <c r="F12" s="62" t="str">
        <f>noerror(LOOKUP($C$11,Units!$F$3:$I$32)*F10/(LOOKUP($C$11,Units!$F$3:$L$32)*F11))</f>
        <v/>
      </c>
      <c r="G12" s="62" t="str">
        <f>noerror(LOOKUP($C$11,Units!$F$3:$I$32)*G10/(LOOKUP($C$11,Units!$F$3:$L$32)*G11))</f>
        <v/>
      </c>
      <c r="H12" s="62" t="str">
        <f>noerror(LOOKUP($C$11,Units!$F$3:$I$32)*H10/(LOOKUP($C$11,Units!$F$3:$L$32)*H11))</f>
        <v/>
      </c>
      <c r="I12" s="65" t="str">
        <f>noerror(LOOKUP($C$11,Units!$F$3:$I$32)*I10/(LOOKUP($C$11,Units!$F$3:$L$32)*I11))</f>
        <v/>
      </c>
    </row>
    <row r="14" spans="2:9" x14ac:dyDescent="0.25">
      <c r="C14" t="str">
        <f>LOOKUP($C$11,Units!$F$3:$M$32) &amp; " "</f>
        <v xml:space="preserve"> </v>
      </c>
    </row>
    <row r="15" spans="2:9" x14ac:dyDescent="0.25">
      <c r="C15" s="117"/>
    </row>
  </sheetData>
  <sheetProtection sheet="1" objects="1" scenarios="1"/>
  <phoneticPr fontId="0" type="noConversion"/>
  <pageMargins left="0.75" right="0.75" top="1" bottom="1" header="0.5" footer="0.5"/>
  <pageSetup paperSize="9" scale="97" orientation="landscape"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6146" r:id="rId4" name="Drop Down 2">
              <controlPr defaultSize="0" autoLine="0" autoPict="0">
                <anchor moveWithCells="1">
                  <from>
                    <xdr:col>2</xdr:col>
                    <xdr:colOff>0</xdr:colOff>
                    <xdr:row>10</xdr:row>
                    <xdr:rowOff>0</xdr:rowOff>
                  </from>
                  <to>
                    <xdr:col>3</xdr:col>
                    <xdr:colOff>0</xdr:colOff>
                    <xdr:row>11</xdr:row>
                    <xdr:rowOff>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P203"/>
  <sheetViews>
    <sheetView zoomScaleNormal="100" workbookViewId="0"/>
  </sheetViews>
  <sheetFormatPr defaultColWidth="9.109375" defaultRowHeight="13.2" x14ac:dyDescent="0.25"/>
  <cols>
    <col min="1" max="1" width="1" style="70" customWidth="1"/>
    <col min="2" max="2" width="25.33203125" style="70" customWidth="1"/>
    <col min="3" max="3" width="12.6640625" style="70" customWidth="1"/>
    <col min="4" max="4" width="7.88671875" style="70" customWidth="1"/>
    <col min="5" max="5" width="12.33203125" style="70" customWidth="1"/>
    <col min="6" max="6" width="15.33203125" style="70" customWidth="1"/>
    <col min="7" max="7" width="12.109375" style="70" customWidth="1"/>
    <col min="8" max="8" width="0.109375" style="70" hidden="1" customWidth="1"/>
    <col min="9" max="9" width="9.109375" style="70" hidden="1" customWidth="1"/>
    <col min="10" max="10" width="7.109375" style="70" hidden="1" customWidth="1"/>
    <col min="11" max="16" width="9.109375" style="70" hidden="1" customWidth="1"/>
    <col min="17" max="16384" width="9.109375" style="70"/>
  </cols>
  <sheetData>
    <row r="1" spans="2:15" x14ac:dyDescent="0.25">
      <c r="B1" s="70" t="s">
        <v>408</v>
      </c>
    </row>
    <row r="3" spans="2:15" x14ac:dyDescent="0.25">
      <c r="B3" s="71"/>
    </row>
    <row r="4" spans="2:15" ht="13.8" thickBot="1" x14ac:dyDescent="0.3">
      <c r="B4" s="71"/>
    </row>
    <row r="5" spans="2:15" ht="16.2" thickBot="1" x14ac:dyDescent="0.35">
      <c r="B5" s="214" t="s">
        <v>409</v>
      </c>
      <c r="C5" s="213"/>
      <c r="D5" s="211"/>
      <c r="E5" s="211"/>
      <c r="F5" s="211"/>
      <c r="G5" s="212"/>
    </row>
    <row r="6" spans="2:15" ht="30.75" customHeight="1" x14ac:dyDescent="0.25">
      <c r="B6" s="72" t="s">
        <v>11</v>
      </c>
      <c r="C6" s="73" t="s">
        <v>24</v>
      </c>
      <c r="D6" s="74"/>
      <c r="E6" s="299" t="s">
        <v>25</v>
      </c>
      <c r="F6" s="301"/>
      <c r="G6" s="75" t="s">
        <v>82</v>
      </c>
    </row>
    <row r="7" spans="2:15" ht="15" customHeight="1" x14ac:dyDescent="0.35">
      <c r="B7" s="76" t="str">
        <f>"  " &amp; 'Activity A'!B8</f>
        <v xml:space="preserve">  Electricity</v>
      </c>
      <c r="C7" s="224">
        <f>'Activity A'!E8+'Activity B'!E8+'Activity C'!E8+'Activity D'!E8</f>
        <v>0</v>
      </c>
      <c r="D7" s="78" t="str">
        <f>'Activity A'!F8</f>
        <v>kWh</v>
      </c>
      <c r="E7" s="172">
        <f>IF($O$13=0,'Activity A'!G8,"various")</f>
        <v>1.012</v>
      </c>
      <c r="F7" s="255" t="s">
        <v>71</v>
      </c>
      <c r="G7" s="215">
        <f>'Activity A'!J8+'Activity B'!J8+'Activity C'!J8+'Activity D'!J8</f>
        <v>0</v>
      </c>
    </row>
    <row r="8" spans="2:15" ht="15" customHeight="1" x14ac:dyDescent="0.35">
      <c r="B8" s="76" t="str">
        <f>"  " &amp; 'Activity A'!B9</f>
        <v xml:space="preserve">  Natural Gas (non-transport)</v>
      </c>
      <c r="C8" s="224">
        <f>'Activity A'!E9+'Activity B'!E9+'Activity C'!E9+'Activity D'!E9</f>
        <v>0</v>
      </c>
      <c r="D8" s="78" t="str">
        <f>'Activity A'!F9</f>
        <v>GJ</v>
      </c>
      <c r="E8" s="172">
        <f>IF($O$13=0,'Activity A'!G9,"various")</f>
        <v>51.7</v>
      </c>
      <c r="F8" s="256" t="s">
        <v>72</v>
      </c>
      <c r="G8" s="215">
        <f>noerror('Activity A'!J9,0)+noerror('Activity B'!J9,0)+noerror('Activity C'!J9,0)+noerror('Activity D'!J9,0)</f>
        <v>0</v>
      </c>
      <c r="K8" s="70" t="s">
        <v>394</v>
      </c>
    </row>
    <row r="9" spans="2:15" ht="15" customHeight="1" x14ac:dyDescent="0.25">
      <c r="B9" s="76" t="str">
        <f>"  " &amp; 'Activity A'!B10</f>
        <v xml:space="preserve">  LPG - (non-transport)</v>
      </c>
      <c r="C9" s="224">
        <f>'Activity A'!E10+'Activity B'!E10+'Activity C'!E10+'Activity D'!E10</f>
        <v>0</v>
      </c>
      <c r="D9" s="78" t="s">
        <v>410</v>
      </c>
      <c r="E9" s="152">
        <f>'Activity A'!G10</f>
        <v>2.9</v>
      </c>
      <c r="F9" s="257" t="s">
        <v>413</v>
      </c>
      <c r="G9" s="215">
        <f>noerror('Activity A'!J10,0)+noerror('Activity B'!J10,0)+noerror('Activity C'!J10,0)+noerror('Activity D'!J10,0)</f>
        <v>0</v>
      </c>
      <c r="K9" s="94" t="s">
        <v>390</v>
      </c>
      <c r="L9" s="94" t="b">
        <f>'Activity A'!J41&gt;0</f>
        <v>0</v>
      </c>
      <c r="M9" s="94">
        <f>'Activity A'!D4</f>
        <v>1</v>
      </c>
      <c r="N9" s="94">
        <f>M9*L9</f>
        <v>0</v>
      </c>
      <c r="O9" s="94" t="str">
        <f>NONULL(N9)</f>
        <v/>
      </c>
    </row>
    <row r="10" spans="2:15" ht="15" customHeight="1" x14ac:dyDescent="0.25">
      <c r="B10" s="79" t="str">
        <f>'Activity A'!B11</f>
        <v>Petroleum Products</v>
      </c>
      <c r="C10" s="224"/>
      <c r="D10" s="78"/>
      <c r="E10" s="77"/>
      <c r="F10" s="258"/>
      <c r="G10" s="215"/>
      <c r="K10" s="94" t="s">
        <v>391</v>
      </c>
      <c r="L10" s="94" t="b">
        <f>'Activity B'!J41&gt;0</f>
        <v>0</v>
      </c>
      <c r="M10" s="94">
        <f>'Activity B'!D4</f>
        <v>3</v>
      </c>
      <c r="N10" s="94">
        <f>M10*L10</f>
        <v>0</v>
      </c>
      <c r="O10" s="94" t="str">
        <f>NONULL(N10)</f>
        <v/>
      </c>
    </row>
    <row r="11" spans="2:15" ht="15" customHeight="1" x14ac:dyDescent="0.25">
      <c r="B11" s="76" t="str">
        <f>"  " &amp; 'Activity A'!B12</f>
        <v xml:space="preserve">  Petrol/Gasoline</v>
      </c>
      <c r="C11" s="224">
        <f>'Activity A'!E12+'Activity B'!E12+'Activity C'!E12+'Activity D'!E12</f>
        <v>0</v>
      </c>
      <c r="D11" s="78" t="str">
        <f>'Activity A'!F12</f>
        <v>kL</v>
      </c>
      <c r="E11" s="152">
        <f>'Activity A'!G12</f>
        <v>2.5</v>
      </c>
      <c r="F11" s="257" t="s">
        <v>411</v>
      </c>
      <c r="G11" s="215">
        <f>noerror('Activity A'!J12,0)+noerror('Activity B'!J12,0)+noerror('Activity C'!J12,0)+noerror('Activity D'!J12,0)</f>
        <v>0</v>
      </c>
      <c r="K11" s="94" t="s">
        <v>392</v>
      </c>
      <c r="L11" s="171" t="b">
        <f>'Activity C'!J41&gt;0</f>
        <v>0</v>
      </c>
      <c r="M11" s="94">
        <f>'Activity C'!D4</f>
        <v>2</v>
      </c>
      <c r="N11" s="94">
        <f>M11*L11</f>
        <v>0</v>
      </c>
      <c r="O11" s="94" t="str">
        <f>NONULL(N11)</f>
        <v/>
      </c>
    </row>
    <row r="12" spans="2:15" ht="15" customHeight="1" x14ac:dyDescent="0.25">
      <c r="B12" s="76" t="str">
        <f>"  " &amp; 'Activity A'!B13</f>
        <v xml:space="preserve">  Automotive Diesel Oil</v>
      </c>
      <c r="C12" s="224">
        <f>'Activity A'!E13+'Activity B'!E13+'Activity C'!E13+'Activity D'!E13</f>
        <v>0</v>
      </c>
      <c r="D12" s="78" t="str">
        <f>'Activity A'!F13</f>
        <v>kL</v>
      </c>
      <c r="E12" s="152">
        <f>'Activity A'!G13</f>
        <v>2.7</v>
      </c>
      <c r="F12" s="257" t="s">
        <v>411</v>
      </c>
      <c r="G12" s="215">
        <f>noerror('Activity A'!J13,0)+noerror('Activity B'!J13,0)+noerror('Activity C'!J13,0)+noerror('Activity D'!J13,0)</f>
        <v>0</v>
      </c>
      <c r="K12" s="94" t="s">
        <v>393</v>
      </c>
      <c r="L12" s="171" t="b">
        <f>'Activity D'!J41&gt;0</f>
        <v>0</v>
      </c>
      <c r="M12" s="94">
        <f>'Activity D'!D4</f>
        <v>8</v>
      </c>
      <c r="N12" s="94">
        <f>M12*L12</f>
        <v>0</v>
      </c>
      <c r="O12" s="94" t="str">
        <f>NONULL(N12)</f>
        <v/>
      </c>
    </row>
    <row r="13" spans="2:15" ht="15" customHeight="1" x14ac:dyDescent="0.25">
      <c r="B13" s="76" t="str">
        <f>"  " &amp; 'Activity A'!B14</f>
        <v xml:space="preserve">  LPG - transport</v>
      </c>
      <c r="C13" s="224">
        <f>'Activity A'!E14+'Activity B'!E14+'Activity C'!E14+'Activity D'!E14</f>
        <v>0</v>
      </c>
      <c r="D13" s="78" t="str">
        <f>'Activity A'!F14</f>
        <v>kL</v>
      </c>
      <c r="E13" s="152">
        <f>'Activity A'!G14</f>
        <v>1.6</v>
      </c>
      <c r="F13" s="257" t="s">
        <v>411</v>
      </c>
      <c r="G13" s="215">
        <f>noerror('Activity A'!J14,0)+noerror('Activity B'!J14,0)+noerror('Activity C'!J14,0)+noerror('Activity D'!J14,0)</f>
        <v>0</v>
      </c>
      <c r="K13" s="94" t="s">
        <v>397</v>
      </c>
      <c r="L13" s="94"/>
      <c r="M13" s="94"/>
      <c r="N13" s="94"/>
      <c r="O13" s="94">
        <f>noerror(AVEDEV(O9:O12),0)</f>
        <v>0</v>
      </c>
    </row>
    <row r="14" spans="2:15" ht="15" customHeight="1" x14ac:dyDescent="0.35">
      <c r="B14" s="76" t="str">
        <f>"  " &amp; 'Activity A'!B15</f>
        <v xml:space="preserve">  Natural Gas/CNG LDV</v>
      </c>
      <c r="C14" s="224">
        <f>'Activity A'!E15+'Activity B'!E15+'Activity C'!E15+'Activity D'!E15</f>
        <v>0</v>
      </c>
      <c r="D14" s="159" t="s">
        <v>138</v>
      </c>
      <c r="E14" s="152">
        <f>'Activity A'!G15</f>
        <v>2.4</v>
      </c>
      <c r="F14" s="257" t="s">
        <v>355</v>
      </c>
      <c r="G14" s="215">
        <f>noerror('Activity A'!J15,0)+noerror('Activity B'!J15,0)+noerror('Activity C'!J15,0)+noerror('Activity D'!J15,0)</f>
        <v>0</v>
      </c>
    </row>
    <row r="15" spans="2:15" ht="15" customHeight="1" x14ac:dyDescent="0.35">
      <c r="B15" s="76" t="str">
        <f>"  " &amp; 'Activity A'!B16</f>
        <v xml:space="preserve">  Natural Gas/CNG HDV</v>
      </c>
      <c r="C15" s="224">
        <f>'Activity A'!E16+'Activity B'!E16+'Activity C'!E16+'Activity D'!E16</f>
        <v>0</v>
      </c>
      <c r="D15" s="159" t="s">
        <v>138</v>
      </c>
      <c r="E15" s="152">
        <f>'Activity A'!G16</f>
        <v>2.2000000000000002</v>
      </c>
      <c r="F15" s="257" t="s">
        <v>355</v>
      </c>
      <c r="G15" s="215">
        <f>noerror('Activity A'!J16,0)+noerror('Activity B'!J16,0)+noerror('Activity C'!J16,0)+noerror('Activity D'!J16,0)</f>
        <v>0</v>
      </c>
    </row>
    <row r="16" spans="2:15" ht="15" customHeight="1" x14ac:dyDescent="0.25">
      <c r="B16" s="76" t="str">
        <f>"  " &amp; 'Activity A'!B17</f>
        <v xml:space="preserve">  Marine/Industrial diesel fuel</v>
      </c>
      <c r="C16" s="224">
        <f>'Activity A'!E17+'Activity B'!E17+'Activity C'!E17+'Activity D'!E17</f>
        <v>0</v>
      </c>
      <c r="D16" s="78" t="str">
        <f>'Activity A'!F17</f>
        <v>kL</v>
      </c>
      <c r="E16" s="152">
        <f>'Activity A'!G17</f>
        <v>2.8</v>
      </c>
      <c r="F16" s="257" t="s">
        <v>411</v>
      </c>
      <c r="G16" s="215">
        <f>noerror('Activity A'!J17,0)+noerror('Activity B'!J17,0)+noerror('Activity C'!J17,0)+noerror('Activity D'!J17,0)</f>
        <v>0</v>
      </c>
    </row>
    <row r="17" spans="2:7" ht="15" customHeight="1" x14ac:dyDescent="0.25">
      <c r="B17" s="76" t="str">
        <f>"  " &amp; 'Activity A'!B18</f>
        <v xml:space="preserve">  Aviation Gasoline</v>
      </c>
      <c r="C17" s="224">
        <f>'Activity A'!E18+'Activity B'!E18+'Activity C'!E18+'Activity D'!E18</f>
        <v>0</v>
      </c>
      <c r="D17" s="78" t="str">
        <f>'Activity A'!F18</f>
        <v>kL</v>
      </c>
      <c r="E17" s="152">
        <f>'Activity A'!G18</f>
        <v>2.2999999999999998</v>
      </c>
      <c r="F17" s="257" t="s">
        <v>411</v>
      </c>
      <c r="G17" s="215">
        <f>noerror('Activity A'!J18,0)+noerror('Activity B'!J18,0)+noerror('Activity C'!J18,0)+noerror('Activity D'!J18,0)</f>
        <v>0</v>
      </c>
    </row>
    <row r="18" spans="2:7" ht="15" customHeight="1" x14ac:dyDescent="0.25">
      <c r="B18" s="76" t="str">
        <f>"  " &amp; 'Activity A'!B19</f>
        <v xml:space="preserve">  Aviation Turbine</v>
      </c>
      <c r="C18" s="224">
        <f>'Activity A'!E19+'Activity B'!E19+'Activity C'!E19+'Activity D'!E19</f>
        <v>0</v>
      </c>
      <c r="D18" s="78" t="str">
        <f>'Activity A'!F19</f>
        <v>kL</v>
      </c>
      <c r="E18" s="152">
        <f>'Activity A'!G19</f>
        <v>2.6</v>
      </c>
      <c r="F18" s="257" t="s">
        <v>411</v>
      </c>
      <c r="G18" s="215">
        <f>noerror('Activity A'!J19,0)+noerror('Activity B'!J19,0)+noerror('Activity C'!J19,0)+noerror('Activity D'!J19,0)</f>
        <v>0</v>
      </c>
    </row>
    <row r="19" spans="2:7" ht="15" customHeight="1" x14ac:dyDescent="0.25">
      <c r="B19" s="79" t="str">
        <f>'Activity A'!B20</f>
        <v>Waste</v>
      </c>
      <c r="C19" s="224"/>
      <c r="D19" s="78"/>
      <c r="E19" s="152"/>
      <c r="F19" s="81"/>
      <c r="G19" s="215"/>
    </row>
    <row r="20" spans="2:7" ht="15" customHeight="1" x14ac:dyDescent="0.25">
      <c r="B20" s="76" t="str">
        <f>"  " &amp; 'Activity A'!B21</f>
        <v xml:space="preserve">  Co-mingled</v>
      </c>
      <c r="C20" s="224">
        <f>'Activity A'!E21+'Activity B'!E21+'Activity C'!E21+'Activity D'!E21</f>
        <v>0</v>
      </c>
      <c r="D20" s="78" t="str">
        <f>'Activity A'!F21</f>
        <v>t</v>
      </c>
      <c r="E20" s="152">
        <f>'Activity A'!G21</f>
        <v>1.2</v>
      </c>
      <c r="F20" s="259" t="s">
        <v>412</v>
      </c>
      <c r="G20" s="215">
        <f>noerror('Activity A'!J21,0)+noerror('Activity B'!J21,0)+noerror('Activity C'!J21,0)+noerror('Activity D'!J21,0)</f>
        <v>0</v>
      </c>
    </row>
    <row r="21" spans="2:7" ht="15" customHeight="1" x14ac:dyDescent="0.25">
      <c r="B21" s="76" t="str">
        <f>"  " &amp; 'Activity A'!B22</f>
        <v xml:space="preserve">  Paper and paper board</v>
      </c>
      <c r="C21" s="224">
        <f>'Activity A'!E22+'Activity B'!E22+'Activity C'!E22+'Activity D'!E22</f>
        <v>0</v>
      </c>
      <c r="D21" s="78" t="str">
        <f>'Activity A'!F22</f>
        <v>t</v>
      </c>
      <c r="E21" s="152">
        <f>'Activity A'!G22</f>
        <v>2.8</v>
      </c>
      <c r="F21" s="259" t="s">
        <v>412</v>
      </c>
      <c r="G21" s="215">
        <f>noerror('Activity A'!J22,0)+noerror('Activity B'!J22,0)+noerror('Activity C'!J22,0)+noerror('Activity D'!J22,0)</f>
        <v>0</v>
      </c>
    </row>
    <row r="22" spans="2:7" ht="15" customHeight="1" x14ac:dyDescent="0.25">
      <c r="B22" s="76" t="str">
        <f>"  " &amp; 'Activity A'!B23</f>
        <v xml:space="preserve">  Textiles (excluding synthetics)</v>
      </c>
      <c r="C22" s="224">
        <f>'Activity A'!E23+'Activity B'!E23+'Activity C'!E23+'Activity D'!E23</f>
        <v>0</v>
      </c>
      <c r="D22" s="78" t="str">
        <f>'Activity A'!F23</f>
        <v>t</v>
      </c>
      <c r="E22" s="152">
        <f>'Activity A'!G23</f>
        <v>3.9</v>
      </c>
      <c r="F22" s="259" t="s">
        <v>412</v>
      </c>
      <c r="G22" s="215">
        <f>noerror('Activity A'!J23,0)+noerror('Activity B'!J23,0)+noerror('Activity C'!J23,0)+noerror('Activity D'!J23,0)</f>
        <v>0</v>
      </c>
    </row>
    <row r="23" spans="2:7" ht="15" customHeight="1" x14ac:dyDescent="0.25">
      <c r="B23" s="76" t="str">
        <f>"  " &amp; 'Activity A'!B24</f>
        <v xml:space="preserve">  Wood/straw</v>
      </c>
      <c r="C23" s="224">
        <f>'Activity A'!E24+'Activity B'!E24+'Activity C'!E24+'Activity D'!E24</f>
        <v>0</v>
      </c>
      <c r="D23" s="78" t="str">
        <f>'Activity A'!F24</f>
        <v>t</v>
      </c>
      <c r="E23" s="152">
        <f>'Activity A'!G24</f>
        <v>2.1</v>
      </c>
      <c r="F23" s="259" t="s">
        <v>412</v>
      </c>
      <c r="G23" s="215">
        <f>noerror('Activity A'!J24,0)+noerror('Activity B'!J24,0)+noerror('Activity C'!J24,0)+noerror('Activity D'!J24,0)</f>
        <v>0</v>
      </c>
    </row>
    <row r="24" spans="2:7" ht="15" customHeight="1" x14ac:dyDescent="0.25">
      <c r="B24" s="76" t="str">
        <f>"  " &amp; 'Activity A'!B25</f>
        <v xml:space="preserve">  Garden</v>
      </c>
      <c r="C24" s="224">
        <f>'Activity A'!E25+'Activity B'!E25+'Activity C'!E25+'Activity D'!E25</f>
        <v>0</v>
      </c>
      <c r="D24" s="78" t="str">
        <f>'Activity A'!F25</f>
        <v>t</v>
      </c>
      <c r="E24" s="152">
        <f>'Activity A'!G25</f>
        <v>1.2</v>
      </c>
      <c r="F24" s="259" t="s">
        <v>412</v>
      </c>
      <c r="G24" s="215">
        <f>noerror('Activity A'!J25,0)+noerror('Activity B'!J25,0)+noerror('Activity C'!J25,0)+noerror('Activity D'!J25,0)</f>
        <v>0</v>
      </c>
    </row>
    <row r="25" spans="2:7" ht="15" customHeight="1" x14ac:dyDescent="0.25">
      <c r="B25" s="76" t="str">
        <f>"  " &amp; 'Activity A'!B26</f>
        <v xml:space="preserve">  Food/Garden</v>
      </c>
      <c r="C25" s="224">
        <f>'Activity A'!E26+'Activity B'!E26+'Activity C'!E26+'Activity D'!E26</f>
        <v>0</v>
      </c>
      <c r="D25" s="78" t="str">
        <f>'Activity A'!F26</f>
        <v>t</v>
      </c>
      <c r="E25" s="152">
        <f>'Activity A'!G26</f>
        <v>1.5</v>
      </c>
      <c r="F25" s="259" t="s">
        <v>412</v>
      </c>
      <c r="G25" s="215">
        <f>noerror('Activity A'!J26,0)+noerror('Activity B'!J26,0)+noerror('Activity C'!J26,0)+noerror('Activity D'!J26,0)</f>
        <v>0</v>
      </c>
    </row>
    <row r="26" spans="2:7" ht="15" customHeight="1" x14ac:dyDescent="0.25">
      <c r="B26" s="76" t="str">
        <f>"  " &amp; 'Activity A'!B27</f>
        <v xml:space="preserve">  Medical</v>
      </c>
      <c r="C26" s="224">
        <f>'Activity A'!E27+'Activity B'!E27+'Activity C'!E27+'Activity D'!E27</f>
        <v>0</v>
      </c>
      <c r="D26" s="78" t="str">
        <f>'Activity A'!F27</f>
        <v>t</v>
      </c>
      <c r="E26" s="152">
        <f>'Activity A'!G27</f>
        <v>0.5</v>
      </c>
      <c r="F26" s="259" t="s">
        <v>412</v>
      </c>
      <c r="G26" s="215">
        <f>noerror('Activity A'!J27,0)+noerror('Activity B'!J27,0)+noerror('Activity C'!J27,0)+noerror('Activity D'!J27,0)</f>
        <v>0</v>
      </c>
    </row>
    <row r="27" spans="2:7" ht="15" customHeight="1" x14ac:dyDescent="0.25">
      <c r="B27" s="76" t="str">
        <f>"  " &amp; 'Activity A'!B28</f>
        <v xml:space="preserve">  Concrete/metal/plastic/glass</v>
      </c>
      <c r="C27" s="224">
        <f>'Activity A'!E28+'Activity B'!E28+'Activity C'!E28+'Activity D'!E28</f>
        <v>0</v>
      </c>
      <c r="D27" s="78" t="str">
        <f>'Activity A'!F28</f>
        <v>t</v>
      </c>
      <c r="E27" s="152">
        <f>'Activity A'!G28</f>
        <v>0</v>
      </c>
      <c r="F27" s="259" t="s">
        <v>412</v>
      </c>
      <c r="G27" s="215">
        <f>noerror('Activity A'!J28,0)+noerror('Activity B'!J28,0)+noerror('Activity C'!J28,0)+noerror('Activity D'!J28,0)</f>
        <v>0</v>
      </c>
    </row>
    <row r="28" spans="2:7" ht="15" customHeight="1" x14ac:dyDescent="0.25">
      <c r="B28" s="79" t="str">
        <f>'Activity A'!B29</f>
        <v>Synthetic gases</v>
      </c>
      <c r="C28" s="224"/>
      <c r="D28" s="78"/>
      <c r="E28" s="152"/>
      <c r="F28" s="260"/>
      <c r="G28" s="215"/>
    </row>
    <row r="29" spans="2:7" ht="15" customHeight="1" x14ac:dyDescent="0.25">
      <c r="B29" s="76" t="str">
        <f>"  " &amp; 'Activity A'!B30</f>
        <v xml:space="preserve">  SF6</v>
      </c>
      <c r="C29" s="224">
        <f>'Activity A'!E30+'Activity B'!E30+'Activity C'!E30+'Activity D'!E30</f>
        <v>0</v>
      </c>
      <c r="D29" s="80" t="str">
        <f>'Activity A'!F30</f>
        <v>t</v>
      </c>
      <c r="E29" s="152">
        <f>'Activity A'!G30</f>
        <v>23900</v>
      </c>
      <c r="F29" s="261" t="s">
        <v>412</v>
      </c>
      <c r="G29" s="215">
        <f>noerror('Activity A'!J30,0)+noerror('Activity B'!J30,0)+noerror('Activity C'!J30,0)+noerror('Activity D'!J30,0)</f>
        <v>0</v>
      </c>
    </row>
    <row r="30" spans="2:7" ht="15" customHeight="1" x14ac:dyDescent="0.25">
      <c r="B30" s="76" t="str">
        <f>"  " &amp; 'Activity A'!B31</f>
        <v xml:space="preserve">  HFC's</v>
      </c>
      <c r="C30" s="224">
        <f>'Activity A'!E31+'Activity B'!E31+'Activity C'!E31+'Activity D'!E31</f>
        <v>0</v>
      </c>
      <c r="D30" s="80" t="str">
        <f>'Activity A'!F31</f>
        <v>t</v>
      </c>
      <c r="E30" s="152" t="str">
        <f>NONULL('Activity A'!G31)</f>
        <v/>
      </c>
      <c r="F30" s="261" t="s">
        <v>412</v>
      </c>
      <c r="G30" s="215">
        <f>noerror('Activity A'!J31,0)+noerror('Activity B'!J31,0)+noerror('Activity C'!J31,0)+noerror('Activity D'!J31,0)</f>
        <v>0</v>
      </c>
    </row>
    <row r="31" spans="2:7" ht="15" customHeight="1" x14ac:dyDescent="0.25">
      <c r="B31" s="79" t="str">
        <f>'Activity A'!B32</f>
        <v>Other</v>
      </c>
      <c r="C31" s="224"/>
      <c r="D31" s="80">
        <f>'Activity A'!F32</f>
        <v>0</v>
      </c>
      <c r="E31" s="152"/>
      <c r="F31" s="81"/>
      <c r="G31" s="215"/>
    </row>
    <row r="32" spans="2:7" ht="15" customHeight="1" x14ac:dyDescent="0.25">
      <c r="B32" s="76" t="str">
        <f>"  " &amp; 'Activity A'!B33</f>
        <v xml:space="preserve">  Other</v>
      </c>
      <c r="C32" s="224">
        <f>'Activity A'!E33+'Activity B'!E33+'Activity C'!E33+'Activity D'!E33</f>
        <v>0</v>
      </c>
      <c r="D32" s="80">
        <f>'Activity A'!F33</f>
        <v>0</v>
      </c>
      <c r="E32" s="224">
        <f>'Activity A'!G33</f>
        <v>0</v>
      </c>
      <c r="F32" s="261" t="s">
        <v>412</v>
      </c>
      <c r="G32" s="215">
        <f>noerror('Activity A'!J33,0)+noerror('Activity B'!J33,0)+noerror('Activity C'!J33,0)+noerror('Activity D'!J33,0)</f>
        <v>0</v>
      </c>
    </row>
    <row r="33" spans="2:7" ht="15" customHeight="1" x14ac:dyDescent="0.25">
      <c r="B33" s="76" t="str">
        <f>"  " &amp; 'Activity A'!B34</f>
        <v xml:space="preserve">  Other</v>
      </c>
      <c r="C33" s="224">
        <f>'Activity A'!E34+'Activity B'!E34+'Activity C'!E34+'Activity D'!E34</f>
        <v>0</v>
      </c>
      <c r="D33" s="80">
        <f>'Activity A'!F34</f>
        <v>0</v>
      </c>
      <c r="E33" s="224">
        <f>'Activity A'!G34</f>
        <v>0</v>
      </c>
      <c r="F33" s="261" t="s">
        <v>412</v>
      </c>
      <c r="G33" s="215">
        <f>noerror('Activity A'!J34,0)+noerror('Activity B'!J34,0)+noerror('Activity C'!J34,0)+noerror('Activity D'!J34,0)</f>
        <v>0</v>
      </c>
    </row>
    <row r="34" spans="2:7" ht="15" customHeight="1" thickBot="1" x14ac:dyDescent="0.3">
      <c r="B34" s="262" t="str">
        <f>"  " &amp; 'Activity A'!B35</f>
        <v xml:space="preserve">  Other</v>
      </c>
      <c r="C34" s="239">
        <f>'Activity A'!E35+'Activity B'!E35+'Activity C'!E35+'Activity D'!E35</f>
        <v>0</v>
      </c>
      <c r="D34" s="216">
        <f>'Activity A'!F35</f>
        <v>0</v>
      </c>
      <c r="E34" s="239">
        <f>'Activity A'!G35</f>
        <v>0</v>
      </c>
      <c r="F34" s="263" t="s">
        <v>412</v>
      </c>
      <c r="G34" s="264">
        <f>noerror('Activity A'!J35,0)+noerror('Activity B'!J35,0)+noerror('Activity C'!J35,0)+noerror('Activity D'!J35,0)</f>
        <v>0</v>
      </c>
    </row>
    <row r="35" spans="2:7" ht="15" customHeight="1" thickBot="1" x14ac:dyDescent="0.3">
      <c r="B35" s="233" t="s">
        <v>404</v>
      </c>
      <c r="C35" s="247"/>
      <c r="D35" s="235"/>
      <c r="E35" s="236"/>
      <c r="F35" s="265"/>
      <c r="G35" s="266">
        <f>SUM(G7:G34)</f>
        <v>0</v>
      </c>
    </row>
    <row r="36" spans="2:7" ht="15" customHeight="1" x14ac:dyDescent="0.25">
      <c r="B36" s="228" t="s">
        <v>424</v>
      </c>
      <c r="C36" s="248"/>
      <c r="D36" s="249"/>
      <c r="E36" s="250"/>
      <c r="F36" s="251"/>
      <c r="G36" s="252"/>
    </row>
    <row r="37" spans="2:7" ht="15" customHeight="1" x14ac:dyDescent="0.25">
      <c r="B37" s="241" t="str">
        <f>" " &amp; 'Activity A'!B38</f>
        <v xml:space="preserve"> </v>
      </c>
      <c r="C37" s="242">
        <f>'Activity A'!E38+'Activity B'!E38+'Activity C'!E38+'Activity D'!E38</f>
        <v>0</v>
      </c>
      <c r="D37" s="243"/>
      <c r="E37" s="244"/>
      <c r="F37" s="245"/>
      <c r="G37" s="267">
        <f>noerror('Activity A'!J38,0)+noerror('Activity B'!J38,0)+noerror('Activity C'!J38,0)+noerror('Activity D'!J38,0)</f>
        <v>0</v>
      </c>
    </row>
    <row r="38" spans="2:7" ht="15" customHeight="1" thickBot="1" x14ac:dyDescent="0.3">
      <c r="B38" s="238" t="str">
        <f>" " &amp; 'Activity A'!B39</f>
        <v xml:space="preserve"> </v>
      </c>
      <c r="C38" s="239">
        <f>'Activity A'!E39+'Activity B'!E39+'Activity C'!E39+'Activity D'!E39</f>
        <v>0</v>
      </c>
      <c r="D38" s="216"/>
      <c r="E38" s="217"/>
      <c r="F38" s="218"/>
      <c r="G38" s="264">
        <f>noerror('Activity A'!J39,0)+noerror('Activity B'!J39,0)+noerror('Activity C'!J39,0)+noerror('Activity D'!J39,0)</f>
        <v>0</v>
      </c>
    </row>
    <row r="39" spans="2:7" ht="15" customHeight="1" thickBot="1" x14ac:dyDescent="0.3">
      <c r="B39" s="233" t="s">
        <v>407</v>
      </c>
      <c r="C39" s="240"/>
      <c r="D39" s="235"/>
      <c r="E39" s="236"/>
      <c r="F39" s="237"/>
      <c r="G39" s="268">
        <f>SUM(G37:G38)</f>
        <v>0</v>
      </c>
    </row>
    <row r="40" spans="2:7" ht="15" customHeight="1" thickBot="1" x14ac:dyDescent="0.3">
      <c r="B40" s="229" t="str">
        <f>'Activity A'!B41</f>
        <v>Net Emissions</v>
      </c>
      <c r="C40" s="230"/>
      <c r="D40" s="231"/>
      <c r="E40" s="230"/>
      <c r="F40" s="231"/>
      <c r="G40" s="232">
        <f>SUM(G39,G35)</f>
        <v>0</v>
      </c>
    </row>
    <row r="42" spans="2:7" ht="14.4" thickBot="1" x14ac:dyDescent="0.3">
      <c r="B42" s="82" t="s">
        <v>308</v>
      </c>
    </row>
    <row r="43" spans="2:7" x14ac:dyDescent="0.25">
      <c r="B43" s="253" t="s">
        <v>310</v>
      </c>
      <c r="C43" s="254" t="s">
        <v>309</v>
      </c>
    </row>
    <row r="44" spans="2:7" x14ac:dyDescent="0.25">
      <c r="B44" s="83" t="str">
        <f>'Activity A'!D2 &amp; " "</f>
        <v xml:space="preserve">Testco Pty South </v>
      </c>
      <c r="C44" s="84">
        <f>'Activity A'!J41</f>
        <v>0</v>
      </c>
    </row>
    <row r="45" spans="2:7" x14ac:dyDescent="0.25">
      <c r="B45" s="95" t="str">
        <f>'Activity B'!D2 &amp; " "</f>
        <v xml:space="preserve">Testco Pty North </v>
      </c>
      <c r="C45" s="84">
        <f>'Activity B'!J41</f>
        <v>0</v>
      </c>
    </row>
    <row r="46" spans="2:7" x14ac:dyDescent="0.25">
      <c r="B46" s="83" t="str">
        <f>'Activity C'!D2 &amp; " "</f>
        <v xml:space="preserve">Testco Pty East </v>
      </c>
      <c r="C46" s="84">
        <f>'Activity C'!J41</f>
        <v>0</v>
      </c>
    </row>
    <row r="47" spans="2:7" x14ac:dyDescent="0.25">
      <c r="B47" s="157" t="str">
        <f>'Activity D'!D2 &amp; " "</f>
        <v xml:space="preserve">Testco Pty West </v>
      </c>
      <c r="C47" s="84">
        <f>'Activity D'!J41</f>
        <v>0</v>
      </c>
    </row>
    <row r="48" spans="2:7" ht="13.8" thickBot="1" x14ac:dyDescent="0.3">
      <c r="B48" s="225" t="s">
        <v>27</v>
      </c>
      <c r="C48" s="85">
        <f>SUM(C44:C47)</f>
        <v>0</v>
      </c>
    </row>
    <row r="50" spans="2:7" ht="13.8" thickBot="1" x14ac:dyDescent="0.3">
      <c r="B50" s="71" t="s">
        <v>30</v>
      </c>
    </row>
    <row r="51" spans="2:7" ht="16.2" thickBot="1" x14ac:dyDescent="0.35">
      <c r="B51" s="214" t="s">
        <v>310</v>
      </c>
      <c r="C51" s="213" t="str">
        <f>'Activity A'!D2</f>
        <v>Testco Pty South</v>
      </c>
      <c r="D51" s="211"/>
      <c r="E51" s="211"/>
      <c r="F51" s="211"/>
      <c r="G51" s="212"/>
    </row>
    <row r="52" spans="2:7" ht="28.8" x14ac:dyDescent="0.25">
      <c r="B52" s="72" t="s">
        <v>11</v>
      </c>
      <c r="C52" s="73" t="s">
        <v>24</v>
      </c>
      <c r="D52" s="74"/>
      <c r="E52" s="299" t="s">
        <v>25</v>
      </c>
      <c r="F52" s="300"/>
      <c r="G52" s="75" t="s">
        <v>82</v>
      </c>
    </row>
    <row r="53" spans="2:7" ht="15.6" x14ac:dyDescent="0.35">
      <c r="B53" s="76" t="str">
        <f>"  " &amp; 'Activity A'!B8</f>
        <v xml:space="preserve">  Electricity</v>
      </c>
      <c r="C53" s="219">
        <f>'Activity A'!E8</f>
        <v>0</v>
      </c>
      <c r="D53" s="78" t="str">
        <f>'Activity A'!F8</f>
        <v>kWh</v>
      </c>
      <c r="E53" s="172">
        <f>'Activity A'!G8</f>
        <v>1.012</v>
      </c>
      <c r="F53" s="255" t="s">
        <v>71</v>
      </c>
      <c r="G53" s="215">
        <f>'Activity A'!J8</f>
        <v>0</v>
      </c>
    </row>
    <row r="54" spans="2:7" ht="15.6" x14ac:dyDescent="0.35">
      <c r="B54" s="76" t="str">
        <f>"  " &amp; 'Activity A'!B9</f>
        <v xml:space="preserve">  Natural Gas (non-transport)</v>
      </c>
      <c r="C54" s="219">
        <f>'Activity A'!E9</f>
        <v>0</v>
      </c>
      <c r="D54" s="78" t="str">
        <f>'Activity A'!F9</f>
        <v>GJ</v>
      </c>
      <c r="E54" s="172">
        <f>'Activity A'!G9</f>
        <v>51.7</v>
      </c>
      <c r="F54" s="256" t="s">
        <v>72</v>
      </c>
      <c r="G54" s="215">
        <f>noerror('Activity A'!J9,0)</f>
        <v>0</v>
      </c>
    </row>
    <row r="55" spans="2:7" x14ac:dyDescent="0.25">
      <c r="B55" s="76" t="str">
        <f>"  " &amp; 'Activity A'!B10</f>
        <v xml:space="preserve">  LPG - (non-transport)</v>
      </c>
      <c r="C55" s="219">
        <f>'Activity A'!E10</f>
        <v>0</v>
      </c>
      <c r="D55" s="78" t="str">
        <f>'Activity A'!F10</f>
        <v>t</v>
      </c>
      <c r="E55" s="152">
        <f>'Activity A'!G10</f>
        <v>2.9</v>
      </c>
      <c r="F55" s="257" t="s">
        <v>413</v>
      </c>
      <c r="G55" s="215">
        <f>noerror('Activity A'!J10,0)</f>
        <v>0</v>
      </c>
    </row>
    <row r="56" spans="2:7" x14ac:dyDescent="0.25">
      <c r="B56" s="79" t="str">
        <f>'Activity A'!B11</f>
        <v>Petroleum Products</v>
      </c>
      <c r="C56" s="219"/>
      <c r="D56" s="78"/>
      <c r="E56" s="77"/>
      <c r="F56" s="258"/>
      <c r="G56" s="215"/>
    </row>
    <row r="57" spans="2:7" x14ac:dyDescent="0.25">
      <c r="B57" s="76" t="str">
        <f>"  " &amp; 'Activity A'!B12</f>
        <v xml:space="preserve">  Petrol/Gasoline</v>
      </c>
      <c r="C57" s="219">
        <f>'Activity A'!E12</f>
        <v>0</v>
      </c>
      <c r="D57" s="78" t="str">
        <f>'Activity A'!F12</f>
        <v>kL</v>
      </c>
      <c r="E57" s="152">
        <f>'Activity A'!G12</f>
        <v>2.5</v>
      </c>
      <c r="F57" s="257" t="s">
        <v>411</v>
      </c>
      <c r="G57" s="215">
        <f>noerror('Activity A'!J12,0)</f>
        <v>0</v>
      </c>
    </row>
    <row r="58" spans="2:7" x14ac:dyDescent="0.25">
      <c r="B58" s="76" t="str">
        <f>"  " &amp; 'Activity A'!B13</f>
        <v xml:space="preserve">  Automotive Diesel Oil</v>
      </c>
      <c r="C58" s="219">
        <f>'Activity A'!E13</f>
        <v>0</v>
      </c>
      <c r="D58" s="78" t="str">
        <f>'Activity A'!F13</f>
        <v>kL</v>
      </c>
      <c r="E58" s="152">
        <f>'Activity A'!G13</f>
        <v>2.7</v>
      </c>
      <c r="F58" s="257" t="s">
        <v>411</v>
      </c>
      <c r="G58" s="215">
        <f>noerror('Activity A'!J13,0)</f>
        <v>0</v>
      </c>
    </row>
    <row r="59" spans="2:7" x14ac:dyDescent="0.25">
      <c r="B59" s="76" t="str">
        <f>"  " &amp; 'Activity A'!B14</f>
        <v xml:space="preserve">  LPG - transport</v>
      </c>
      <c r="C59" s="219">
        <f>'Activity A'!E14</f>
        <v>0</v>
      </c>
      <c r="D59" s="78" t="str">
        <f>'Activity A'!F14</f>
        <v>kL</v>
      </c>
      <c r="E59" s="152">
        <f>'Activity A'!G14</f>
        <v>1.6</v>
      </c>
      <c r="F59" s="257" t="s">
        <v>411</v>
      </c>
      <c r="G59" s="215">
        <f>noerror('Activity A'!J14,0)</f>
        <v>0</v>
      </c>
    </row>
    <row r="60" spans="2:7" ht="16.8" x14ac:dyDescent="0.35">
      <c r="B60" s="76" t="str">
        <f>"  " &amp; 'Activity A'!B15</f>
        <v xml:space="preserve">  Natural Gas/CNG LDV</v>
      </c>
      <c r="C60" s="219">
        <f>'Activity A'!E15</f>
        <v>0</v>
      </c>
      <c r="D60" s="159" t="s">
        <v>138</v>
      </c>
      <c r="E60" s="152">
        <f>'Activity A'!G15</f>
        <v>2.4</v>
      </c>
      <c r="F60" s="257" t="s">
        <v>355</v>
      </c>
      <c r="G60" s="215">
        <f>noerror('Activity A'!J15,0)</f>
        <v>0</v>
      </c>
    </row>
    <row r="61" spans="2:7" ht="16.8" x14ac:dyDescent="0.35">
      <c r="B61" s="76" t="str">
        <f>"  " &amp; 'Activity A'!B16</f>
        <v xml:space="preserve">  Natural Gas/CNG HDV</v>
      </c>
      <c r="C61" s="219">
        <f>'Activity A'!E16</f>
        <v>0</v>
      </c>
      <c r="D61" s="159" t="s">
        <v>138</v>
      </c>
      <c r="E61" s="152">
        <f>'Activity A'!G16</f>
        <v>2.2000000000000002</v>
      </c>
      <c r="F61" s="257" t="s">
        <v>355</v>
      </c>
      <c r="G61" s="215">
        <f>noerror('Activity A'!J16,0)</f>
        <v>0</v>
      </c>
    </row>
    <row r="62" spans="2:7" x14ac:dyDescent="0.25">
      <c r="B62" s="76" t="str">
        <f>"  " &amp; 'Activity A'!B17</f>
        <v xml:space="preserve">  Marine/Industrial diesel fuel</v>
      </c>
      <c r="C62" s="219">
        <f>'Activity A'!E17</f>
        <v>0</v>
      </c>
      <c r="D62" s="78" t="str">
        <f>'Activity A'!F17</f>
        <v>kL</v>
      </c>
      <c r="E62" s="152">
        <f>'Activity A'!G17</f>
        <v>2.8</v>
      </c>
      <c r="F62" s="257" t="s">
        <v>411</v>
      </c>
      <c r="G62" s="215">
        <f>noerror('Activity A'!J17,0)</f>
        <v>0</v>
      </c>
    </row>
    <row r="63" spans="2:7" x14ac:dyDescent="0.25">
      <c r="B63" s="76" t="str">
        <f>"  " &amp; 'Activity A'!B18</f>
        <v xml:space="preserve">  Aviation Gasoline</v>
      </c>
      <c r="C63" s="219">
        <f>'Activity A'!E18</f>
        <v>0</v>
      </c>
      <c r="D63" s="78" t="str">
        <f>'Activity A'!F18</f>
        <v>kL</v>
      </c>
      <c r="E63" s="152">
        <f>'Activity A'!G18</f>
        <v>2.2999999999999998</v>
      </c>
      <c r="F63" s="257" t="s">
        <v>411</v>
      </c>
      <c r="G63" s="215">
        <f>noerror('Activity A'!J18,0)</f>
        <v>0</v>
      </c>
    </row>
    <row r="64" spans="2:7" x14ac:dyDescent="0.25">
      <c r="B64" s="76" t="str">
        <f>"  " &amp; 'Activity A'!B19</f>
        <v xml:space="preserve">  Aviation Turbine</v>
      </c>
      <c r="C64" s="219">
        <f>'Activity A'!E19</f>
        <v>0</v>
      </c>
      <c r="D64" s="78" t="str">
        <f>'Activity A'!F19</f>
        <v>kL</v>
      </c>
      <c r="E64" s="152">
        <f>'Activity A'!G19</f>
        <v>2.6</v>
      </c>
      <c r="F64" s="257" t="s">
        <v>411</v>
      </c>
      <c r="G64" s="215">
        <f>noerror('Activity A'!J19,0)</f>
        <v>0</v>
      </c>
    </row>
    <row r="65" spans="2:7" x14ac:dyDescent="0.25">
      <c r="B65" s="79" t="str">
        <f>'Activity A'!B20</f>
        <v>Waste</v>
      </c>
      <c r="C65" s="219"/>
      <c r="D65" s="78"/>
      <c r="E65" s="152"/>
      <c r="F65" s="81"/>
      <c r="G65" s="215"/>
    </row>
    <row r="66" spans="2:7" x14ac:dyDescent="0.25">
      <c r="B66" s="76" t="str">
        <f>"  " &amp; 'Activity A'!B21</f>
        <v xml:space="preserve">  Co-mingled</v>
      </c>
      <c r="C66" s="219">
        <f>'Activity A'!E21</f>
        <v>0</v>
      </c>
      <c r="D66" s="78" t="str">
        <f>'Activity A'!F21</f>
        <v>t</v>
      </c>
      <c r="E66" s="152">
        <f>'Activity A'!G21</f>
        <v>1.2</v>
      </c>
      <c r="F66" s="259" t="s">
        <v>412</v>
      </c>
      <c r="G66" s="215">
        <f>noerror('Activity A'!J21,0)</f>
        <v>0</v>
      </c>
    </row>
    <row r="67" spans="2:7" x14ac:dyDescent="0.25">
      <c r="B67" s="76" t="str">
        <f>"  " &amp; 'Activity A'!B22</f>
        <v xml:space="preserve">  Paper and paper board</v>
      </c>
      <c r="C67" s="219">
        <f>'Activity A'!E22</f>
        <v>0</v>
      </c>
      <c r="D67" s="78" t="str">
        <f>'Activity A'!F22</f>
        <v>t</v>
      </c>
      <c r="E67" s="152">
        <f>'Activity A'!G22</f>
        <v>2.8</v>
      </c>
      <c r="F67" s="259" t="s">
        <v>412</v>
      </c>
      <c r="G67" s="215">
        <f>noerror('Activity A'!J22,0)</f>
        <v>0</v>
      </c>
    </row>
    <row r="68" spans="2:7" x14ac:dyDescent="0.25">
      <c r="B68" s="76" t="str">
        <f>"  " &amp; 'Activity A'!B23</f>
        <v xml:space="preserve">  Textiles (excluding synthetics)</v>
      </c>
      <c r="C68" s="219">
        <f>'Activity A'!E23</f>
        <v>0</v>
      </c>
      <c r="D68" s="78" t="str">
        <f>'Activity A'!F23</f>
        <v>t</v>
      </c>
      <c r="E68" s="152">
        <f>'Activity A'!G23</f>
        <v>3.9</v>
      </c>
      <c r="F68" s="259" t="s">
        <v>412</v>
      </c>
      <c r="G68" s="215">
        <f>noerror('Activity A'!J23,0)</f>
        <v>0</v>
      </c>
    </row>
    <row r="69" spans="2:7" x14ac:dyDescent="0.25">
      <c r="B69" s="76" t="str">
        <f>"  " &amp; 'Activity A'!B24</f>
        <v xml:space="preserve">  Wood/straw</v>
      </c>
      <c r="C69" s="219">
        <f>'Activity A'!E24</f>
        <v>0</v>
      </c>
      <c r="D69" s="78" t="str">
        <f>'Activity A'!F24</f>
        <v>t</v>
      </c>
      <c r="E69" s="152">
        <f>'Activity A'!G24</f>
        <v>2.1</v>
      </c>
      <c r="F69" s="259" t="s">
        <v>412</v>
      </c>
      <c r="G69" s="215">
        <f>noerror('Activity A'!J24,0)</f>
        <v>0</v>
      </c>
    </row>
    <row r="70" spans="2:7" x14ac:dyDescent="0.25">
      <c r="B70" s="76" t="str">
        <f>"  " &amp; 'Activity A'!B25</f>
        <v xml:space="preserve">  Garden</v>
      </c>
      <c r="C70" s="219">
        <f>'Activity A'!E25</f>
        <v>0</v>
      </c>
      <c r="D70" s="78" t="str">
        <f>'Activity A'!F25</f>
        <v>t</v>
      </c>
      <c r="E70" s="152">
        <f>'Activity A'!G25</f>
        <v>1.2</v>
      </c>
      <c r="F70" s="259" t="s">
        <v>412</v>
      </c>
      <c r="G70" s="215">
        <f>noerror('Activity A'!J25,0)+noerror('Activity B'!J25,0)+noerror('Activity C'!J25,0)+noerror('Activity D'!J25,0)</f>
        <v>0</v>
      </c>
    </row>
    <row r="71" spans="2:7" x14ac:dyDescent="0.25">
      <c r="B71" s="76" t="str">
        <f>"  " &amp; 'Activity A'!B26</f>
        <v xml:space="preserve">  Food/Garden</v>
      </c>
      <c r="C71" s="219">
        <f>'Activity A'!E26</f>
        <v>0</v>
      </c>
      <c r="D71" s="78" t="str">
        <f>'Activity A'!F26</f>
        <v>t</v>
      </c>
      <c r="E71" s="152">
        <f>'Activity A'!G26</f>
        <v>1.5</v>
      </c>
      <c r="F71" s="259" t="s">
        <v>412</v>
      </c>
      <c r="G71" s="215">
        <f>noerror('Activity A'!J26,0)</f>
        <v>0</v>
      </c>
    </row>
    <row r="72" spans="2:7" x14ac:dyDescent="0.25">
      <c r="B72" s="76" t="str">
        <f>"  " &amp; 'Activity A'!B27</f>
        <v xml:space="preserve">  Medical</v>
      </c>
      <c r="C72" s="219">
        <f>'Activity A'!E27</f>
        <v>0</v>
      </c>
      <c r="D72" s="78" t="str">
        <f>'Activity A'!F27</f>
        <v>t</v>
      </c>
      <c r="E72" s="152">
        <f>'Activity A'!G27</f>
        <v>0.5</v>
      </c>
      <c r="F72" s="259" t="s">
        <v>412</v>
      </c>
      <c r="G72" s="215">
        <f>noerror('Activity A'!J27,0)+noerror('Activity B'!J27,0)+noerror('Activity C'!J27,0)+noerror('Activity D'!J27,0)</f>
        <v>0</v>
      </c>
    </row>
    <row r="73" spans="2:7" x14ac:dyDescent="0.25">
      <c r="B73" s="76" t="str">
        <f>"  " &amp; 'Activity A'!B28</f>
        <v xml:space="preserve">  Concrete/metal/plastic/glass</v>
      </c>
      <c r="C73" s="219">
        <f>'Activity A'!E28</f>
        <v>0</v>
      </c>
      <c r="D73" s="78" t="str">
        <f>'Activity A'!F28</f>
        <v>t</v>
      </c>
      <c r="E73" s="221">
        <f>'Activity A'!G28</f>
        <v>0</v>
      </c>
      <c r="F73" s="259" t="s">
        <v>412</v>
      </c>
      <c r="G73" s="215">
        <f>noerror('Activity A'!J28,0)+noerror('Activity B'!J28,0)+noerror('Activity C'!J28,0)+noerror('Activity D'!J28,0)</f>
        <v>0</v>
      </c>
    </row>
    <row r="74" spans="2:7" x14ac:dyDescent="0.25">
      <c r="B74" s="79" t="str">
        <f>'Activity A'!B29</f>
        <v>Synthetic gases</v>
      </c>
      <c r="C74" s="219"/>
      <c r="D74" s="78"/>
      <c r="E74" s="152"/>
      <c r="F74" s="260"/>
      <c r="G74" s="215"/>
    </row>
    <row r="75" spans="2:7" x14ac:dyDescent="0.25">
      <c r="B75" s="76" t="str">
        <f>"  " &amp; 'Activity A'!B30</f>
        <v xml:space="preserve">  SF6</v>
      </c>
      <c r="C75" s="219">
        <f>'Activity A'!E30</f>
        <v>0</v>
      </c>
      <c r="D75" s="80" t="str">
        <f>'Activity A'!F30</f>
        <v>t</v>
      </c>
      <c r="E75" s="152">
        <f>'Activity A'!G30</f>
        <v>23900</v>
      </c>
      <c r="F75" s="261" t="s">
        <v>412</v>
      </c>
      <c r="G75" s="215">
        <f>noerror('Activity A'!J30,0)+noerror('Activity B'!J30,0)+noerror('Activity C'!J30,0)+noerror('Activity D'!J30,0)</f>
        <v>0</v>
      </c>
    </row>
    <row r="76" spans="2:7" x14ac:dyDescent="0.25">
      <c r="B76" s="76" t="str">
        <f>"  " &amp; 'Activity A'!B31</f>
        <v xml:space="preserve">  HFC's</v>
      </c>
      <c r="C76" s="219">
        <f>'Activity A'!E31</f>
        <v>0</v>
      </c>
      <c r="D76" s="80" t="str">
        <f>'Activity A'!F31</f>
        <v>t</v>
      </c>
      <c r="E76" s="152" t="str">
        <f>NONULL('Activity A'!G31)</f>
        <v/>
      </c>
      <c r="F76" s="261" t="s">
        <v>412</v>
      </c>
      <c r="G76" s="215">
        <f>noerror('Activity A'!J31,0)</f>
        <v>0</v>
      </c>
    </row>
    <row r="77" spans="2:7" x14ac:dyDescent="0.25">
      <c r="B77" s="79" t="str">
        <f>'Activity A'!B32</f>
        <v>Other</v>
      </c>
      <c r="C77" s="219"/>
      <c r="D77" s="80">
        <f>'Activity A'!F32</f>
        <v>0</v>
      </c>
      <c r="E77" s="152"/>
      <c r="F77" s="81"/>
      <c r="G77" s="215"/>
    </row>
    <row r="78" spans="2:7" x14ac:dyDescent="0.25">
      <c r="B78" s="76" t="str">
        <f>"  " &amp; 'Activity A'!B33</f>
        <v xml:space="preserve">  Other</v>
      </c>
      <c r="C78" s="219">
        <f>'Activity A'!E33</f>
        <v>0</v>
      </c>
      <c r="D78" s="80">
        <f>'Activity A'!F33</f>
        <v>0</v>
      </c>
      <c r="E78" s="224">
        <f>'Activity A'!G33</f>
        <v>0</v>
      </c>
      <c r="F78" s="261" t="s">
        <v>412</v>
      </c>
      <c r="G78" s="215">
        <f>noerror('Activity A'!J33,0)</f>
        <v>0</v>
      </c>
    </row>
    <row r="79" spans="2:7" x14ac:dyDescent="0.25">
      <c r="B79" s="76" t="str">
        <f>"  " &amp; 'Activity A'!B34</f>
        <v xml:space="preserve">  Other</v>
      </c>
      <c r="C79" s="219">
        <f>'Activity A'!E34</f>
        <v>0</v>
      </c>
      <c r="D79" s="80">
        <f>'Activity A'!F34</f>
        <v>0</v>
      </c>
      <c r="E79" s="224">
        <f>'Activity A'!G34</f>
        <v>0</v>
      </c>
      <c r="F79" s="261" t="s">
        <v>412</v>
      </c>
      <c r="G79" s="215">
        <f>noerror('Activity A'!J34,0)</f>
        <v>0</v>
      </c>
    </row>
    <row r="80" spans="2:7" ht="13.8" thickBot="1" x14ac:dyDescent="0.3">
      <c r="B80" s="262" t="str">
        <f>"  " &amp; 'Activity A'!B35</f>
        <v xml:space="preserve">  Other</v>
      </c>
      <c r="C80" s="220">
        <f>'Activity A'!E35</f>
        <v>0</v>
      </c>
      <c r="D80" s="216">
        <f>'Activity A'!F35</f>
        <v>0</v>
      </c>
      <c r="E80" s="239">
        <f>'Activity A'!G35</f>
        <v>0</v>
      </c>
      <c r="F80" s="263" t="s">
        <v>412</v>
      </c>
      <c r="G80" s="264">
        <f>noerror('Activity A'!J35,0)</f>
        <v>0</v>
      </c>
    </row>
    <row r="81" spans="2:7" ht="13.8" thickBot="1" x14ac:dyDescent="0.3">
      <c r="B81" s="233" t="s">
        <v>404</v>
      </c>
      <c r="C81" s="234"/>
      <c r="D81" s="235"/>
      <c r="E81" s="247"/>
      <c r="F81" s="265"/>
      <c r="G81" s="266">
        <f>SUM(G53:G80)</f>
        <v>0</v>
      </c>
    </row>
    <row r="82" spans="2:7" x14ac:dyDescent="0.25">
      <c r="B82" s="228" t="s">
        <v>424</v>
      </c>
      <c r="C82" s="248"/>
      <c r="D82" s="249"/>
      <c r="E82" s="250"/>
      <c r="F82" s="251"/>
      <c r="G82" s="252"/>
    </row>
    <row r="83" spans="2:7" x14ac:dyDescent="0.25">
      <c r="B83" s="241" t="str">
        <f>"  " &amp; 'Activity A'!B38</f>
        <v xml:space="preserve">  </v>
      </c>
      <c r="C83" s="246">
        <f>'Activity A'!E38</f>
        <v>0</v>
      </c>
      <c r="D83" s="243">
        <f>'Activity A'!F38</f>
        <v>0</v>
      </c>
      <c r="E83" s="242">
        <f>'Activity A'!G38</f>
        <v>0</v>
      </c>
      <c r="F83" s="269" t="str">
        <f>'Activity A'!H38 &amp; " "</f>
        <v xml:space="preserve"> </v>
      </c>
      <c r="G83" s="267">
        <f>noerror('Activity A'!J38,0)</f>
        <v>0</v>
      </c>
    </row>
    <row r="84" spans="2:7" ht="13.8" thickBot="1" x14ac:dyDescent="0.3">
      <c r="B84" s="238" t="str">
        <f>"  " &amp; 'Activity A'!B39</f>
        <v xml:space="preserve">  </v>
      </c>
      <c r="C84" s="220">
        <f>'Activity A'!E39</f>
        <v>0</v>
      </c>
      <c r="D84" s="216">
        <f>'Activity A'!F39</f>
        <v>0</v>
      </c>
      <c r="E84" s="239">
        <f>'Activity A'!G39</f>
        <v>0</v>
      </c>
      <c r="F84" s="270" t="str">
        <f>'Activity A'!H39 &amp; " "</f>
        <v xml:space="preserve"> </v>
      </c>
      <c r="G84" s="264">
        <f>noerror('Activity A'!J39,0)</f>
        <v>0</v>
      </c>
    </row>
    <row r="85" spans="2:7" ht="13.8" thickBot="1" x14ac:dyDescent="0.3">
      <c r="B85" s="233" t="s">
        <v>405</v>
      </c>
      <c r="C85" s="234"/>
      <c r="D85" s="235"/>
      <c r="E85" s="236"/>
      <c r="F85" s="237"/>
      <c r="G85" s="268">
        <f>SUM(G83:G84)</f>
        <v>0</v>
      </c>
    </row>
    <row r="86" spans="2:7" ht="14.4" thickBot="1" x14ac:dyDescent="0.3">
      <c r="B86" s="229" t="s">
        <v>406</v>
      </c>
      <c r="C86" s="230"/>
      <c r="D86" s="231"/>
      <c r="E86" s="230"/>
      <c r="F86" s="231"/>
      <c r="G86" s="232">
        <f>SUM(G85,G81)</f>
        <v>0</v>
      </c>
    </row>
    <row r="89" spans="2:7" ht="13.8" thickBot="1" x14ac:dyDescent="0.3">
      <c r="B89" s="71" t="s">
        <v>356</v>
      </c>
    </row>
    <row r="90" spans="2:7" ht="16.2" thickBot="1" x14ac:dyDescent="0.35">
      <c r="B90" s="214" t="s">
        <v>310</v>
      </c>
      <c r="C90" s="213" t="str">
        <f>'Activity B'!D2</f>
        <v>Testco Pty North</v>
      </c>
      <c r="D90" s="211"/>
      <c r="E90" s="211"/>
      <c r="F90" s="211"/>
      <c r="G90" s="212"/>
    </row>
    <row r="91" spans="2:7" ht="28.8" x14ac:dyDescent="0.25">
      <c r="B91" s="72" t="s">
        <v>11</v>
      </c>
      <c r="C91" s="73" t="s">
        <v>24</v>
      </c>
      <c r="D91" s="74"/>
      <c r="E91" s="299" t="s">
        <v>25</v>
      </c>
      <c r="F91" s="300"/>
      <c r="G91" s="75" t="s">
        <v>82</v>
      </c>
    </row>
    <row r="92" spans="2:7" ht="15.6" x14ac:dyDescent="0.35">
      <c r="B92" s="76" t="str">
        <f>"  " &amp; 'Activity B'!B8</f>
        <v xml:space="preserve">  Electricity</v>
      </c>
      <c r="C92" s="219">
        <f>'Activity B'!E8</f>
        <v>0</v>
      </c>
      <c r="D92" s="78" t="str">
        <f>'Activity B'!F8</f>
        <v>kWh</v>
      </c>
      <c r="E92" s="172">
        <f>'Activity B'!G8</f>
        <v>0.65400000000000003</v>
      </c>
      <c r="F92" s="255" t="s">
        <v>71</v>
      </c>
      <c r="G92" s="215">
        <f>'Activity B'!J8</f>
        <v>0</v>
      </c>
    </row>
    <row r="93" spans="2:7" ht="15.6" x14ac:dyDescent="0.35">
      <c r="B93" s="76" t="str">
        <f>"  " &amp; 'Activity B'!B9</f>
        <v xml:space="preserve">  Natural Gas (non transport)</v>
      </c>
      <c r="C93" s="219">
        <f>'Activity B'!E9</f>
        <v>0</v>
      </c>
      <c r="D93" s="78" t="str">
        <f>'Activity B'!F9</f>
        <v>GJ</v>
      </c>
      <c r="E93" s="172">
        <f>'Activity B'!G9</f>
        <v>51.8</v>
      </c>
      <c r="F93" s="256" t="s">
        <v>72</v>
      </c>
      <c r="G93" s="215">
        <f>noerror('Activity B'!J9,0)</f>
        <v>0</v>
      </c>
    </row>
    <row r="94" spans="2:7" x14ac:dyDescent="0.25">
      <c r="B94" s="76" t="str">
        <f>"  " &amp; 'Activity B'!B10</f>
        <v xml:space="preserve">  LPG - (non-transport)</v>
      </c>
      <c r="C94" s="219">
        <f>'Activity B'!E10</f>
        <v>0</v>
      </c>
      <c r="D94" s="78" t="str">
        <f>'Activity B'!F10</f>
        <v>t</v>
      </c>
      <c r="E94" s="152">
        <f>'Activity B'!G10</f>
        <v>2.9</v>
      </c>
      <c r="F94" s="257" t="s">
        <v>413</v>
      </c>
      <c r="G94" s="215">
        <f>noerror('Activity B'!J10,0)</f>
        <v>0</v>
      </c>
    </row>
    <row r="95" spans="2:7" x14ac:dyDescent="0.25">
      <c r="B95" s="79" t="str">
        <f>'Activity B'!B11</f>
        <v>Petroleum Products</v>
      </c>
      <c r="C95" s="219"/>
      <c r="D95" s="78"/>
      <c r="E95" s="77"/>
      <c r="F95" s="258"/>
      <c r="G95" s="215"/>
    </row>
    <row r="96" spans="2:7" x14ac:dyDescent="0.25">
      <c r="B96" s="76" t="str">
        <f>"  " &amp; 'Activity B'!B12</f>
        <v xml:space="preserve">  Petrol/Gasoline</v>
      </c>
      <c r="C96" s="219">
        <f>'Activity B'!E12</f>
        <v>0</v>
      </c>
      <c r="D96" s="78" t="str">
        <f>'Activity B'!F12</f>
        <v>kL</v>
      </c>
      <c r="E96" s="152">
        <f>'Activity B'!G12</f>
        <v>2.5</v>
      </c>
      <c r="F96" s="257" t="s">
        <v>411</v>
      </c>
      <c r="G96" s="215">
        <f>noerror('Activity B'!J12,0)</f>
        <v>0</v>
      </c>
    </row>
    <row r="97" spans="2:7" x14ac:dyDescent="0.25">
      <c r="B97" s="76" t="str">
        <f>"  " &amp; 'Activity B'!B13</f>
        <v xml:space="preserve">  Automotive Diesel Oil</v>
      </c>
      <c r="C97" s="219">
        <f>'Activity B'!E13</f>
        <v>0</v>
      </c>
      <c r="D97" s="78" t="str">
        <f>'Activity B'!F13</f>
        <v>kL</v>
      </c>
      <c r="E97" s="152">
        <f>'Activity B'!G13</f>
        <v>2.7</v>
      </c>
      <c r="F97" s="257" t="s">
        <v>411</v>
      </c>
      <c r="G97" s="215">
        <f>noerror('Activity B'!J13,0)</f>
        <v>0</v>
      </c>
    </row>
    <row r="98" spans="2:7" x14ac:dyDescent="0.25">
      <c r="B98" s="76" t="str">
        <f>"  " &amp; 'Activity B'!B14</f>
        <v xml:space="preserve">  LPG - transport</v>
      </c>
      <c r="C98" s="219">
        <f>'Activity B'!E14</f>
        <v>0</v>
      </c>
      <c r="D98" s="78" t="str">
        <f>'Activity B'!F14</f>
        <v>kL</v>
      </c>
      <c r="E98" s="152">
        <f>'Activity B'!G14</f>
        <v>1.6</v>
      </c>
      <c r="F98" s="257" t="s">
        <v>411</v>
      </c>
      <c r="G98" s="215">
        <f>noerror('Activity B'!J14,0)</f>
        <v>0</v>
      </c>
    </row>
    <row r="99" spans="2:7" ht="16.8" x14ac:dyDescent="0.35">
      <c r="B99" s="76" t="str">
        <f>"  " &amp; 'Activity B'!B15</f>
        <v xml:space="preserve">  Natural Gas/CNG LDV</v>
      </c>
      <c r="C99" s="219">
        <f>'Activity B'!E15</f>
        <v>0</v>
      </c>
      <c r="D99" s="159" t="s">
        <v>138</v>
      </c>
      <c r="E99" s="152">
        <f>'Activity B'!G15</f>
        <v>2.4</v>
      </c>
      <c r="F99" s="257" t="s">
        <v>355</v>
      </c>
      <c r="G99" s="215">
        <f>noerror('Activity B'!J15,0)</f>
        <v>0</v>
      </c>
    </row>
    <row r="100" spans="2:7" ht="16.8" x14ac:dyDescent="0.35">
      <c r="B100" s="76" t="str">
        <f>"  " &amp; 'Activity B'!B16</f>
        <v xml:space="preserve">  Natural Gas/CNG HDV</v>
      </c>
      <c r="C100" s="219">
        <f>'Activity B'!E16</f>
        <v>0</v>
      </c>
      <c r="D100" s="159" t="s">
        <v>138</v>
      </c>
      <c r="E100" s="152">
        <f>'Activity B'!G16</f>
        <v>2.2000000000000002</v>
      </c>
      <c r="F100" s="257" t="s">
        <v>355</v>
      </c>
      <c r="G100" s="215">
        <f>noerror('Activity B'!J16,0)</f>
        <v>0</v>
      </c>
    </row>
    <row r="101" spans="2:7" x14ac:dyDescent="0.25">
      <c r="B101" s="76" t="str">
        <f>"  " &amp; 'Activity B'!B17</f>
        <v xml:space="preserve">  Marine/Industrial diesel fuel</v>
      </c>
      <c r="C101" s="219">
        <f>'Activity B'!E17</f>
        <v>0</v>
      </c>
      <c r="D101" s="78" t="str">
        <f>'Activity B'!F17</f>
        <v>kL</v>
      </c>
      <c r="E101" s="152">
        <f>'Activity B'!G17</f>
        <v>2.8</v>
      </c>
      <c r="F101" s="257" t="s">
        <v>411</v>
      </c>
      <c r="G101" s="215">
        <f>noerror('Activity B'!J17,0)</f>
        <v>0</v>
      </c>
    </row>
    <row r="102" spans="2:7" x14ac:dyDescent="0.25">
      <c r="B102" s="76" t="str">
        <f>"  " &amp; 'Activity B'!B18</f>
        <v xml:space="preserve">  Aviation Gasoline</v>
      </c>
      <c r="C102" s="219">
        <f>'Activity B'!E18</f>
        <v>0</v>
      </c>
      <c r="D102" s="78" t="str">
        <f>'Activity B'!F18</f>
        <v>kL</v>
      </c>
      <c r="E102" s="152">
        <f>'Activity B'!G18</f>
        <v>2.2999999999999998</v>
      </c>
      <c r="F102" s="257" t="s">
        <v>411</v>
      </c>
      <c r="G102" s="215">
        <f>noerror('Activity B'!J18,0)</f>
        <v>0</v>
      </c>
    </row>
    <row r="103" spans="2:7" x14ac:dyDescent="0.25">
      <c r="B103" s="76" t="str">
        <f>"  " &amp; 'Activity B'!B19</f>
        <v xml:space="preserve">  Aviation Turbine</v>
      </c>
      <c r="C103" s="219">
        <f>'Activity B'!E19</f>
        <v>0</v>
      </c>
      <c r="D103" s="78" t="str">
        <f>'Activity B'!F19</f>
        <v>kL</v>
      </c>
      <c r="E103" s="152">
        <f>'Activity B'!G19</f>
        <v>2.6</v>
      </c>
      <c r="F103" s="257" t="s">
        <v>411</v>
      </c>
      <c r="G103" s="215">
        <f>noerror('Activity B'!J19,0)</f>
        <v>0</v>
      </c>
    </row>
    <row r="104" spans="2:7" x14ac:dyDescent="0.25">
      <c r="B104" s="79" t="str">
        <f>'Activity B'!B20</f>
        <v>Waste</v>
      </c>
      <c r="C104" s="219"/>
      <c r="D104" s="78"/>
      <c r="E104" s="152"/>
      <c r="F104" s="81"/>
      <c r="G104" s="215"/>
    </row>
    <row r="105" spans="2:7" x14ac:dyDescent="0.25">
      <c r="B105" s="76" t="str">
        <f>"  " &amp; 'Activity B'!B21</f>
        <v xml:space="preserve">  Co-mingled</v>
      </c>
      <c r="C105" s="219">
        <f>'Activity B'!E21</f>
        <v>0</v>
      </c>
      <c r="D105" s="78" t="str">
        <f>'Activity B'!F21</f>
        <v>t</v>
      </c>
      <c r="E105" s="152">
        <f>'Activity B'!G21</f>
        <v>1.2</v>
      </c>
      <c r="F105" s="259" t="s">
        <v>412</v>
      </c>
      <c r="G105" s="215">
        <f>noerror('Activity B'!J21,0)</f>
        <v>0</v>
      </c>
    </row>
    <row r="106" spans="2:7" x14ac:dyDescent="0.25">
      <c r="B106" s="76" t="str">
        <f>"  " &amp; 'Activity B'!B22</f>
        <v xml:space="preserve">  Paper and paper board</v>
      </c>
      <c r="C106" s="219">
        <f>'Activity B'!E22</f>
        <v>0</v>
      </c>
      <c r="D106" s="78" t="str">
        <f>'Activity B'!F22</f>
        <v>t</v>
      </c>
      <c r="E106" s="152">
        <f>'Activity B'!G22</f>
        <v>2.8</v>
      </c>
      <c r="F106" s="259" t="s">
        <v>412</v>
      </c>
      <c r="G106" s="215">
        <f>noerror('Activity B'!J22,0)</f>
        <v>0</v>
      </c>
    </row>
    <row r="107" spans="2:7" x14ac:dyDescent="0.25">
      <c r="B107" s="76" t="str">
        <f>"  " &amp; 'Activity B'!B23</f>
        <v xml:space="preserve">  Textiles (excluding synthetics)</v>
      </c>
      <c r="C107" s="219">
        <f>'Activity B'!E23</f>
        <v>0</v>
      </c>
      <c r="D107" s="78" t="str">
        <f>'Activity B'!F23</f>
        <v>t</v>
      </c>
      <c r="E107" s="152">
        <f>'Activity B'!G23</f>
        <v>3.9</v>
      </c>
      <c r="F107" s="259" t="s">
        <v>412</v>
      </c>
      <c r="G107" s="215">
        <f>noerror('Activity B'!J23,0)</f>
        <v>0</v>
      </c>
    </row>
    <row r="108" spans="2:7" x14ac:dyDescent="0.25">
      <c r="B108" s="76" t="str">
        <f>"  " &amp; 'Activity B'!B24</f>
        <v xml:space="preserve">  Wood/straw</v>
      </c>
      <c r="C108" s="219">
        <f>'Activity B'!E24</f>
        <v>0</v>
      </c>
      <c r="D108" s="78" t="str">
        <f>'Activity B'!F24</f>
        <v>t</v>
      </c>
      <c r="E108" s="152">
        <f>'Activity B'!G24</f>
        <v>2.1</v>
      </c>
      <c r="F108" s="259" t="s">
        <v>412</v>
      </c>
      <c r="G108" s="215">
        <f>noerror('Activity B'!J24,0)</f>
        <v>0</v>
      </c>
    </row>
    <row r="109" spans="2:7" x14ac:dyDescent="0.25">
      <c r="B109" s="76" t="str">
        <f>"  " &amp; 'Activity B'!B25</f>
        <v xml:space="preserve">  Garden</v>
      </c>
      <c r="C109" s="219">
        <f>'Activity B'!E25</f>
        <v>0</v>
      </c>
      <c r="D109" s="78" t="str">
        <f>'Activity B'!F25</f>
        <v>t</v>
      </c>
      <c r="E109" s="152">
        <f>'Activity B'!G25</f>
        <v>1.2</v>
      </c>
      <c r="F109" s="259" t="s">
        <v>412</v>
      </c>
      <c r="G109" s="215">
        <f>noerror('Activity B'!J25,0)+noerror('Activity B'!J25,0)+noerror('Activity C'!J25,0)+noerror('Activity D'!J25,0)</f>
        <v>0</v>
      </c>
    </row>
    <row r="110" spans="2:7" x14ac:dyDescent="0.25">
      <c r="B110" s="76" t="str">
        <f>"  " &amp; 'Activity B'!B26</f>
        <v xml:space="preserve">  Food/Garden</v>
      </c>
      <c r="C110" s="219">
        <f>'Activity B'!E26</f>
        <v>0</v>
      </c>
      <c r="D110" s="78" t="str">
        <f>'Activity B'!F26</f>
        <v>t</v>
      </c>
      <c r="E110" s="152">
        <f>'Activity B'!G26</f>
        <v>1.5</v>
      </c>
      <c r="F110" s="259" t="s">
        <v>412</v>
      </c>
      <c r="G110" s="215">
        <f>noerror('Activity B'!J26,0)</f>
        <v>0</v>
      </c>
    </row>
    <row r="111" spans="2:7" x14ac:dyDescent="0.25">
      <c r="B111" s="76" t="str">
        <f>"  " &amp; 'Activity B'!B27</f>
        <v xml:space="preserve">  Medical</v>
      </c>
      <c r="C111" s="219">
        <f>'Activity B'!E27</f>
        <v>0</v>
      </c>
      <c r="D111" s="78" t="str">
        <f>'Activity B'!F27</f>
        <v>t</v>
      </c>
      <c r="E111" s="152">
        <f>'Activity B'!G27</f>
        <v>0.5</v>
      </c>
      <c r="F111" s="259" t="s">
        <v>412</v>
      </c>
      <c r="G111" s="215">
        <f>noerror('Activity B'!J27,0)+noerror('Activity B'!J27,0)+noerror('Activity C'!J27,0)+noerror('Activity D'!J27,0)</f>
        <v>0</v>
      </c>
    </row>
    <row r="112" spans="2:7" x14ac:dyDescent="0.25">
      <c r="B112" s="76" t="str">
        <f>"  " &amp; 'Activity B'!B28</f>
        <v xml:space="preserve">  Concrete/metal/plastic/glass</v>
      </c>
      <c r="C112" s="219">
        <f>'Activity B'!E28</f>
        <v>0</v>
      </c>
      <c r="D112" s="78" t="str">
        <f>'Activity B'!F28</f>
        <v>t</v>
      </c>
      <c r="E112" s="221">
        <f>'Activity B'!G28</f>
        <v>0</v>
      </c>
      <c r="F112" s="259" t="s">
        <v>412</v>
      </c>
      <c r="G112" s="215">
        <f>noerror('Activity B'!J28,0)+noerror('Activity B'!J28,0)+noerror('Activity C'!J28,0)+noerror('Activity D'!J28,0)</f>
        <v>0</v>
      </c>
    </row>
    <row r="113" spans="2:7" x14ac:dyDescent="0.25">
      <c r="B113" s="79" t="str">
        <f>'Activity B'!B29</f>
        <v>Synthetic gases</v>
      </c>
      <c r="C113" s="219"/>
      <c r="D113" s="78"/>
      <c r="E113" s="152"/>
      <c r="F113" s="260"/>
      <c r="G113" s="215"/>
    </row>
    <row r="114" spans="2:7" x14ac:dyDescent="0.25">
      <c r="B114" s="76" t="str">
        <f>"  " &amp; 'Activity B'!B30</f>
        <v xml:space="preserve">  SF6</v>
      </c>
      <c r="C114" s="219">
        <f>'Activity B'!E30</f>
        <v>0</v>
      </c>
      <c r="D114" s="80" t="str">
        <f>'Activity B'!F30</f>
        <v>t</v>
      </c>
      <c r="E114" s="152">
        <f>'Activity B'!G30</f>
        <v>23900</v>
      </c>
      <c r="F114" s="261" t="s">
        <v>412</v>
      </c>
      <c r="G114" s="215">
        <f>noerror('Activity B'!J30,0)+noerror('Activity B'!J30,0)+noerror('Activity C'!J30,0)+noerror('Activity D'!J30,0)</f>
        <v>0</v>
      </c>
    </row>
    <row r="115" spans="2:7" x14ac:dyDescent="0.25">
      <c r="B115" s="76" t="str">
        <f>"  " &amp; 'Activity B'!B31</f>
        <v xml:space="preserve">  HFC's</v>
      </c>
      <c r="C115" s="219">
        <f>'Activity B'!E31</f>
        <v>0</v>
      </c>
      <c r="D115" s="80" t="str">
        <f>'Activity B'!F31</f>
        <v>t</v>
      </c>
      <c r="E115" s="152" t="str">
        <f>NONULL('Activity B'!G31)</f>
        <v/>
      </c>
      <c r="F115" s="261" t="s">
        <v>412</v>
      </c>
      <c r="G115" s="215">
        <f>noerror('Activity B'!J31,0)</f>
        <v>0</v>
      </c>
    </row>
    <row r="116" spans="2:7" x14ac:dyDescent="0.25">
      <c r="B116" s="79" t="str">
        <f>'Activity B'!B32</f>
        <v>Other</v>
      </c>
      <c r="C116" s="219"/>
      <c r="D116" s="80">
        <f>'Activity B'!F32</f>
        <v>0</v>
      </c>
      <c r="E116" s="152"/>
      <c r="F116" s="81"/>
      <c r="G116" s="215"/>
    </row>
    <row r="117" spans="2:7" x14ac:dyDescent="0.25">
      <c r="B117" s="76" t="str">
        <f>"  " &amp; 'Activity B'!B33</f>
        <v xml:space="preserve">  Other</v>
      </c>
      <c r="C117" s="219">
        <f>'Activity B'!E33</f>
        <v>0</v>
      </c>
      <c r="D117" s="80">
        <f>'Activity B'!F33</f>
        <v>0</v>
      </c>
      <c r="E117" s="224">
        <f>'Activity B'!G33</f>
        <v>0</v>
      </c>
      <c r="F117" s="261" t="s">
        <v>412</v>
      </c>
      <c r="G117" s="215">
        <f>noerror('Activity B'!J33,0)</f>
        <v>0</v>
      </c>
    </row>
    <row r="118" spans="2:7" x14ac:dyDescent="0.25">
      <c r="B118" s="76" t="str">
        <f>"  " &amp; 'Activity B'!B34</f>
        <v xml:space="preserve">  Other</v>
      </c>
      <c r="C118" s="219">
        <f>'Activity B'!E34</f>
        <v>0</v>
      </c>
      <c r="D118" s="80">
        <f>'Activity B'!F34</f>
        <v>0</v>
      </c>
      <c r="E118" s="224">
        <f>'Activity B'!G34</f>
        <v>0</v>
      </c>
      <c r="F118" s="261" t="s">
        <v>412</v>
      </c>
      <c r="G118" s="215">
        <f>noerror('Activity B'!J34,0)</f>
        <v>0</v>
      </c>
    </row>
    <row r="119" spans="2:7" ht="13.8" thickBot="1" x14ac:dyDescent="0.3">
      <c r="B119" s="262" t="str">
        <f>"  " &amp; 'Activity B'!B35</f>
        <v xml:space="preserve">  Other</v>
      </c>
      <c r="C119" s="220">
        <f>'Activity B'!E35</f>
        <v>0</v>
      </c>
      <c r="D119" s="216">
        <f>'Activity B'!F35</f>
        <v>0</v>
      </c>
      <c r="E119" s="239">
        <f>'Activity B'!G35</f>
        <v>0</v>
      </c>
      <c r="F119" s="263" t="s">
        <v>412</v>
      </c>
      <c r="G119" s="264">
        <f>noerror('Activity B'!J35,0)</f>
        <v>0</v>
      </c>
    </row>
    <row r="120" spans="2:7" ht="13.8" thickBot="1" x14ac:dyDescent="0.3">
      <c r="B120" s="233" t="s">
        <v>404</v>
      </c>
      <c r="C120" s="234"/>
      <c r="D120" s="235"/>
      <c r="E120" s="247"/>
      <c r="F120" s="265"/>
      <c r="G120" s="266">
        <f>SUM(G92:G119)</f>
        <v>0</v>
      </c>
    </row>
    <row r="121" spans="2:7" x14ac:dyDescent="0.25">
      <c r="B121" s="228" t="s">
        <v>424</v>
      </c>
      <c r="C121" s="248"/>
      <c r="D121" s="249"/>
      <c r="E121" s="250"/>
      <c r="F121" s="251"/>
      <c r="G121" s="252"/>
    </row>
    <row r="122" spans="2:7" x14ac:dyDescent="0.25">
      <c r="B122" s="241" t="str">
        <f>"  " &amp; 'Activity B'!B38</f>
        <v xml:space="preserve">  </v>
      </c>
      <c r="C122" s="246">
        <f>'Activity B'!E38</f>
        <v>0</v>
      </c>
      <c r="D122" s="243">
        <f>'Activity B'!F38</f>
        <v>0</v>
      </c>
      <c r="E122" s="242">
        <f>'Activity B'!G38</f>
        <v>0</v>
      </c>
      <c r="F122" s="269" t="str">
        <f>'Activity B'!H38 &amp; " "</f>
        <v xml:space="preserve"> </v>
      </c>
      <c r="G122" s="267">
        <f>noerror('Activity B'!J38,0)</f>
        <v>0</v>
      </c>
    </row>
    <row r="123" spans="2:7" ht="13.8" thickBot="1" x14ac:dyDescent="0.3">
      <c r="B123" s="238" t="str">
        <f>"  " &amp; 'Activity B'!B39</f>
        <v xml:space="preserve">  </v>
      </c>
      <c r="C123" s="220">
        <f>'Activity B'!E39</f>
        <v>0</v>
      </c>
      <c r="D123" s="216">
        <f>'Activity B'!F39</f>
        <v>0</v>
      </c>
      <c r="E123" s="239">
        <f>'Activity B'!G39</f>
        <v>0</v>
      </c>
      <c r="F123" s="270" t="str">
        <f>'Activity B'!H39 &amp; " "</f>
        <v xml:space="preserve"> </v>
      </c>
      <c r="G123" s="264">
        <f>noerror('Activity B'!J39,0)</f>
        <v>0</v>
      </c>
    </row>
    <row r="124" spans="2:7" ht="13.8" thickBot="1" x14ac:dyDescent="0.3">
      <c r="B124" s="233" t="s">
        <v>405</v>
      </c>
      <c r="C124" s="234"/>
      <c r="D124" s="235"/>
      <c r="E124" s="236"/>
      <c r="F124" s="237"/>
      <c r="G124" s="268">
        <f>SUM(G122:G123)</f>
        <v>0</v>
      </c>
    </row>
    <row r="125" spans="2:7" ht="14.4" thickBot="1" x14ac:dyDescent="0.3">
      <c r="B125" s="229" t="s">
        <v>406</v>
      </c>
      <c r="C125" s="230"/>
      <c r="D125" s="231"/>
      <c r="E125" s="230"/>
      <c r="F125" s="231"/>
      <c r="G125" s="232">
        <f>SUM(G124,G120)</f>
        <v>0</v>
      </c>
    </row>
    <row r="128" spans="2:7" ht="13.8" thickBot="1" x14ac:dyDescent="0.3">
      <c r="B128" s="71" t="s">
        <v>357</v>
      </c>
    </row>
    <row r="129" spans="2:7" ht="16.2" thickBot="1" x14ac:dyDescent="0.35">
      <c r="B129" s="214" t="s">
        <v>310</v>
      </c>
      <c r="C129" s="213" t="str">
        <f>'Activity C'!D2</f>
        <v>Testco Pty East</v>
      </c>
      <c r="D129" s="211"/>
      <c r="E129" s="211"/>
      <c r="F129" s="211"/>
      <c r="G129" s="212"/>
    </row>
    <row r="130" spans="2:7" ht="28.8" x14ac:dyDescent="0.25">
      <c r="B130" s="72" t="s">
        <v>11</v>
      </c>
      <c r="C130" s="73" t="s">
        <v>24</v>
      </c>
      <c r="D130" s="74"/>
      <c r="E130" s="299" t="s">
        <v>25</v>
      </c>
      <c r="F130" s="300"/>
      <c r="G130" s="75" t="s">
        <v>82</v>
      </c>
    </row>
    <row r="131" spans="2:7" ht="15.6" x14ac:dyDescent="0.35">
      <c r="B131" s="76" t="str">
        <f>"  " &amp; 'Activity C'!B8</f>
        <v xml:space="preserve">  Electricity</v>
      </c>
      <c r="C131" s="219">
        <f>'Activity C'!E8</f>
        <v>0</v>
      </c>
      <c r="D131" s="78" t="str">
        <f>'Activity C'!F8</f>
        <v>kWh</v>
      </c>
      <c r="E131" s="172">
        <f>'Activity C'!G8</f>
        <v>1.012</v>
      </c>
      <c r="F131" s="255" t="s">
        <v>71</v>
      </c>
      <c r="G131" s="215">
        <f>'Activity C'!J8</f>
        <v>0</v>
      </c>
    </row>
    <row r="132" spans="2:7" ht="15.6" x14ac:dyDescent="0.35">
      <c r="B132" s="76" t="str">
        <f>"  " &amp; 'Activity C'!B9</f>
        <v xml:space="preserve">  Natural Gas (non-transport)</v>
      </c>
      <c r="C132" s="219">
        <f>'Activity C'!E9</f>
        <v>0</v>
      </c>
      <c r="D132" s="78" t="str">
        <f>'Activity C'!F9</f>
        <v>GJ</v>
      </c>
      <c r="E132" s="172">
        <f>'Activity C'!G9</f>
        <v>51.7</v>
      </c>
      <c r="F132" s="256" t="s">
        <v>72</v>
      </c>
      <c r="G132" s="215">
        <f>noerror('Activity C'!J9,0)</f>
        <v>0</v>
      </c>
    </row>
    <row r="133" spans="2:7" x14ac:dyDescent="0.25">
      <c r="B133" s="76" t="str">
        <f>"  " &amp; 'Activity C'!B10</f>
        <v xml:space="preserve">  LPG - (non-transport)</v>
      </c>
      <c r="C133" s="219">
        <f>'Activity C'!E10</f>
        <v>0</v>
      </c>
      <c r="D133" s="78" t="str">
        <f>'Activity C'!F10</f>
        <v>t</v>
      </c>
      <c r="E133" s="152">
        <f>'Activity C'!G10</f>
        <v>2.9</v>
      </c>
      <c r="F133" s="257" t="s">
        <v>413</v>
      </c>
      <c r="G133" s="215">
        <f>noerror('Activity C'!J10,0)</f>
        <v>0</v>
      </c>
    </row>
    <row r="134" spans="2:7" x14ac:dyDescent="0.25">
      <c r="B134" s="79" t="str">
        <f>'Activity C'!B11</f>
        <v>Petroleum Products</v>
      </c>
      <c r="C134" s="219"/>
      <c r="D134" s="78"/>
      <c r="E134" s="77"/>
      <c r="F134" s="258"/>
      <c r="G134" s="215"/>
    </row>
    <row r="135" spans="2:7" x14ac:dyDescent="0.25">
      <c r="B135" s="76" t="str">
        <f>"  " &amp; 'Activity C'!B12</f>
        <v xml:space="preserve">  Petrol/Gasoline</v>
      </c>
      <c r="C135" s="219">
        <f>'Activity C'!E12</f>
        <v>0</v>
      </c>
      <c r="D135" s="78" t="str">
        <f>'Activity C'!F12</f>
        <v>kL</v>
      </c>
      <c r="E135" s="152">
        <f>'Activity C'!G12</f>
        <v>2.5</v>
      </c>
      <c r="F135" s="257" t="s">
        <v>411</v>
      </c>
      <c r="G135" s="215">
        <f>noerror('Activity C'!J12,0)</f>
        <v>0</v>
      </c>
    </row>
    <row r="136" spans="2:7" x14ac:dyDescent="0.25">
      <c r="B136" s="76" t="str">
        <f>"  " &amp; 'Activity C'!B13</f>
        <v xml:space="preserve">  Automotive Diesel Oil</v>
      </c>
      <c r="C136" s="219">
        <f>'Activity C'!E13</f>
        <v>0</v>
      </c>
      <c r="D136" s="78" t="str">
        <f>'Activity C'!F13</f>
        <v>kL</v>
      </c>
      <c r="E136" s="152">
        <f>'Activity C'!G13</f>
        <v>2.7</v>
      </c>
      <c r="F136" s="257" t="s">
        <v>411</v>
      </c>
      <c r="G136" s="215">
        <f>noerror('Activity C'!J13,0)</f>
        <v>0</v>
      </c>
    </row>
    <row r="137" spans="2:7" x14ac:dyDescent="0.25">
      <c r="B137" s="76" t="str">
        <f>"  " &amp; 'Activity C'!B14</f>
        <v xml:space="preserve">  LPG - transport</v>
      </c>
      <c r="C137" s="219">
        <f>'Activity C'!E14</f>
        <v>0</v>
      </c>
      <c r="D137" s="78" t="str">
        <f>'Activity C'!F14</f>
        <v>kL</v>
      </c>
      <c r="E137" s="152">
        <f>'Activity C'!G14</f>
        <v>1.6</v>
      </c>
      <c r="F137" s="257" t="s">
        <v>411</v>
      </c>
      <c r="G137" s="215">
        <f>noerror('Activity C'!J14,0)</f>
        <v>0</v>
      </c>
    </row>
    <row r="138" spans="2:7" ht="16.8" x14ac:dyDescent="0.35">
      <c r="B138" s="76" t="str">
        <f>"  " &amp; 'Activity C'!B15</f>
        <v xml:space="preserve">  Natural Gas/CNG LDV</v>
      </c>
      <c r="C138" s="219">
        <f>'Activity C'!E15</f>
        <v>0</v>
      </c>
      <c r="D138" s="159" t="s">
        <v>138</v>
      </c>
      <c r="E138" s="152">
        <f>'Activity C'!G15</f>
        <v>2.4</v>
      </c>
      <c r="F138" s="257" t="s">
        <v>355</v>
      </c>
      <c r="G138" s="215">
        <f>noerror('Activity C'!J15,0)</f>
        <v>0</v>
      </c>
    </row>
    <row r="139" spans="2:7" ht="16.8" x14ac:dyDescent="0.35">
      <c r="B139" s="76" t="str">
        <f>"  " &amp; 'Activity C'!B16</f>
        <v xml:space="preserve">  Natural Gas/CNG HDV</v>
      </c>
      <c r="C139" s="219">
        <f>'Activity C'!E16</f>
        <v>0</v>
      </c>
      <c r="D139" s="159" t="s">
        <v>138</v>
      </c>
      <c r="E139" s="152">
        <f>'Activity C'!G16</f>
        <v>2.2000000000000002</v>
      </c>
      <c r="F139" s="257" t="s">
        <v>355</v>
      </c>
      <c r="G139" s="215">
        <f>noerror('Activity C'!J16,0)</f>
        <v>0</v>
      </c>
    </row>
    <row r="140" spans="2:7" x14ac:dyDescent="0.25">
      <c r="B140" s="76" t="str">
        <f>"  " &amp; 'Activity C'!B17</f>
        <v xml:space="preserve">  Marine/Industrial diesel fuel</v>
      </c>
      <c r="C140" s="219">
        <f>'Activity C'!E17</f>
        <v>0</v>
      </c>
      <c r="D140" s="78" t="str">
        <f>'Activity C'!F17</f>
        <v>kL</v>
      </c>
      <c r="E140" s="152">
        <f>'Activity C'!G17</f>
        <v>2.8</v>
      </c>
      <c r="F140" s="257" t="s">
        <v>411</v>
      </c>
      <c r="G140" s="215">
        <f>noerror('Activity C'!J17,0)</f>
        <v>0</v>
      </c>
    </row>
    <row r="141" spans="2:7" x14ac:dyDescent="0.25">
      <c r="B141" s="76" t="str">
        <f>"  " &amp; 'Activity C'!B18</f>
        <v xml:space="preserve">  Aviation Gasoline</v>
      </c>
      <c r="C141" s="219">
        <f>'Activity C'!E18</f>
        <v>0</v>
      </c>
      <c r="D141" s="78" t="str">
        <f>'Activity C'!F18</f>
        <v>kL</v>
      </c>
      <c r="E141" s="152">
        <f>'Activity C'!G18</f>
        <v>2.2999999999999998</v>
      </c>
      <c r="F141" s="257" t="s">
        <v>411</v>
      </c>
      <c r="G141" s="215">
        <f>noerror('Activity C'!J18,0)</f>
        <v>0</v>
      </c>
    </row>
    <row r="142" spans="2:7" x14ac:dyDescent="0.25">
      <c r="B142" s="76" t="str">
        <f>"  " &amp; 'Activity C'!B19</f>
        <v xml:space="preserve">  Aviation Turbine</v>
      </c>
      <c r="C142" s="219">
        <f>'Activity C'!E19</f>
        <v>0</v>
      </c>
      <c r="D142" s="78" t="str">
        <f>'Activity C'!F19</f>
        <v>kL</v>
      </c>
      <c r="E142" s="152">
        <f>'Activity C'!G19</f>
        <v>2.6</v>
      </c>
      <c r="F142" s="257" t="s">
        <v>411</v>
      </c>
      <c r="G142" s="215">
        <f>noerror('Activity C'!J19,0)</f>
        <v>0</v>
      </c>
    </row>
    <row r="143" spans="2:7" x14ac:dyDescent="0.25">
      <c r="B143" s="79" t="str">
        <f>'Activity C'!B20</f>
        <v>Waste</v>
      </c>
      <c r="C143" s="219"/>
      <c r="D143" s="78"/>
      <c r="E143" s="152"/>
      <c r="F143" s="81"/>
      <c r="G143" s="215"/>
    </row>
    <row r="144" spans="2:7" x14ac:dyDescent="0.25">
      <c r="B144" s="76" t="str">
        <f>"  " &amp; 'Activity C'!B21</f>
        <v xml:space="preserve">  Co-mingled</v>
      </c>
      <c r="C144" s="219">
        <f>'Activity C'!E21</f>
        <v>0</v>
      </c>
      <c r="D144" s="78" t="str">
        <f>'Activity C'!F21</f>
        <v>t</v>
      </c>
      <c r="E144" s="152">
        <f>'Activity C'!G21</f>
        <v>1.2</v>
      </c>
      <c r="F144" s="259" t="s">
        <v>412</v>
      </c>
      <c r="G144" s="215">
        <f>noerror('Activity C'!J21,0)</f>
        <v>0</v>
      </c>
    </row>
    <row r="145" spans="2:7" x14ac:dyDescent="0.25">
      <c r="B145" s="76" t="str">
        <f>"  " &amp; 'Activity C'!B22</f>
        <v xml:space="preserve">  Paper and paper board</v>
      </c>
      <c r="C145" s="219">
        <f>'Activity C'!E22</f>
        <v>0</v>
      </c>
      <c r="D145" s="78" t="str">
        <f>'Activity C'!F22</f>
        <v>t</v>
      </c>
      <c r="E145" s="152">
        <f>'Activity C'!G22</f>
        <v>2.8</v>
      </c>
      <c r="F145" s="259" t="s">
        <v>412</v>
      </c>
      <c r="G145" s="215">
        <f>noerror('Activity C'!J22,0)</f>
        <v>0</v>
      </c>
    </row>
    <row r="146" spans="2:7" x14ac:dyDescent="0.25">
      <c r="B146" s="76" t="str">
        <f>"  " &amp; 'Activity C'!B23</f>
        <v xml:space="preserve">  Textiles (excluding synthetics)</v>
      </c>
      <c r="C146" s="219">
        <f>'Activity C'!E23</f>
        <v>0</v>
      </c>
      <c r="D146" s="78" t="str">
        <f>'Activity C'!F23</f>
        <v>t</v>
      </c>
      <c r="E146" s="152">
        <f>'Activity C'!G23</f>
        <v>3.9</v>
      </c>
      <c r="F146" s="259" t="s">
        <v>412</v>
      </c>
      <c r="G146" s="215">
        <f>noerror('Activity C'!J23,0)</f>
        <v>0</v>
      </c>
    </row>
    <row r="147" spans="2:7" x14ac:dyDescent="0.25">
      <c r="B147" s="76" t="str">
        <f>"  " &amp; 'Activity C'!B24</f>
        <v xml:space="preserve">  Wood/straw</v>
      </c>
      <c r="C147" s="219">
        <f>'Activity C'!E24</f>
        <v>0</v>
      </c>
      <c r="D147" s="78" t="str">
        <f>'Activity C'!F24</f>
        <v>t</v>
      </c>
      <c r="E147" s="152">
        <f>'Activity C'!G24</f>
        <v>2.1</v>
      </c>
      <c r="F147" s="259" t="s">
        <v>412</v>
      </c>
      <c r="G147" s="215">
        <f>noerror('Activity C'!J24,0)</f>
        <v>0</v>
      </c>
    </row>
    <row r="148" spans="2:7" x14ac:dyDescent="0.25">
      <c r="B148" s="76" t="str">
        <f>"  " &amp; 'Activity C'!B25</f>
        <v xml:space="preserve">  Garden</v>
      </c>
      <c r="C148" s="219">
        <f>'Activity C'!E25</f>
        <v>0</v>
      </c>
      <c r="D148" s="78" t="str">
        <f>'Activity C'!F25</f>
        <v>t</v>
      </c>
      <c r="E148" s="152">
        <f>'Activity C'!G25</f>
        <v>1.2</v>
      </c>
      <c r="F148" s="259" t="s">
        <v>412</v>
      </c>
      <c r="G148" s="215">
        <f>noerror('Activity C'!J25,0)+noerror('Activity B'!J25,0)+noerror('Activity C'!J25,0)+noerror('Activity D'!J25,0)</f>
        <v>0</v>
      </c>
    </row>
    <row r="149" spans="2:7" x14ac:dyDescent="0.25">
      <c r="B149" s="76" t="str">
        <f>"  " &amp; 'Activity C'!B26</f>
        <v xml:space="preserve">  Food/Garden</v>
      </c>
      <c r="C149" s="219">
        <f>'Activity C'!E26</f>
        <v>0</v>
      </c>
      <c r="D149" s="78" t="str">
        <f>'Activity C'!F26</f>
        <v>t</v>
      </c>
      <c r="E149" s="152">
        <f>'Activity C'!G26</f>
        <v>1.5</v>
      </c>
      <c r="F149" s="259" t="s">
        <v>412</v>
      </c>
      <c r="G149" s="215">
        <f>noerror('Activity C'!J26,0)</f>
        <v>0</v>
      </c>
    </row>
    <row r="150" spans="2:7" x14ac:dyDescent="0.25">
      <c r="B150" s="76" t="str">
        <f>"  " &amp; 'Activity C'!B27</f>
        <v xml:space="preserve">  Medical</v>
      </c>
      <c r="C150" s="219">
        <f>'Activity C'!E27</f>
        <v>0</v>
      </c>
      <c r="D150" s="78" t="str">
        <f>'Activity C'!F27</f>
        <v>t</v>
      </c>
      <c r="E150" s="152">
        <f>'Activity C'!G27</f>
        <v>0.5</v>
      </c>
      <c r="F150" s="259" t="s">
        <v>412</v>
      </c>
      <c r="G150" s="215">
        <f>noerror('Activity C'!J27,0)+noerror('Activity B'!J27,0)+noerror('Activity C'!J27,0)+noerror('Activity D'!J27,0)</f>
        <v>0</v>
      </c>
    </row>
    <row r="151" spans="2:7" x14ac:dyDescent="0.25">
      <c r="B151" s="76" t="str">
        <f>"  " &amp; 'Activity C'!B28</f>
        <v xml:space="preserve">  Concrete/metal/plastic/glass</v>
      </c>
      <c r="C151" s="219">
        <f>'Activity C'!E28</f>
        <v>0</v>
      </c>
      <c r="D151" s="78" t="str">
        <f>'Activity C'!F28</f>
        <v>t</v>
      </c>
      <c r="E151" s="221">
        <f>'Activity C'!G28</f>
        <v>0</v>
      </c>
      <c r="F151" s="259" t="s">
        <v>412</v>
      </c>
      <c r="G151" s="215">
        <f>noerror('Activity C'!J28,0)+noerror('Activity B'!J28,0)+noerror('Activity C'!J28,0)+noerror('Activity D'!J28,0)</f>
        <v>0</v>
      </c>
    </row>
    <row r="152" spans="2:7" x14ac:dyDescent="0.25">
      <c r="B152" s="79" t="str">
        <f>'Activity C'!B29</f>
        <v>Synthetic gases</v>
      </c>
      <c r="C152" s="219"/>
      <c r="D152" s="78"/>
      <c r="E152" s="152"/>
      <c r="F152" s="260"/>
      <c r="G152" s="215"/>
    </row>
    <row r="153" spans="2:7" x14ac:dyDescent="0.25">
      <c r="B153" s="76" t="str">
        <f>"  " &amp; 'Activity C'!B30</f>
        <v xml:space="preserve">  SF6</v>
      </c>
      <c r="C153" s="219">
        <f>'Activity C'!E30</f>
        <v>0</v>
      </c>
      <c r="D153" s="80" t="str">
        <f>'Activity C'!F30</f>
        <v>t</v>
      </c>
      <c r="E153" s="152">
        <f>'Activity C'!G30</f>
        <v>23900</v>
      </c>
      <c r="F153" s="261" t="s">
        <v>412</v>
      </c>
      <c r="G153" s="215">
        <f>noerror('Activity C'!J30,0)+noerror('Activity B'!J30,0)+noerror('Activity C'!J30,0)+noerror('Activity D'!J30,0)</f>
        <v>0</v>
      </c>
    </row>
    <row r="154" spans="2:7" x14ac:dyDescent="0.25">
      <c r="B154" s="76" t="str">
        <f>"  " &amp; 'Activity C'!B31</f>
        <v xml:space="preserve">  HFC's</v>
      </c>
      <c r="C154" s="219">
        <f>'Activity C'!E31</f>
        <v>0</v>
      </c>
      <c r="D154" s="80" t="str">
        <f>'Activity C'!F31</f>
        <v>t</v>
      </c>
      <c r="E154" s="152" t="str">
        <f>NONULL('Activity C'!G31)</f>
        <v/>
      </c>
      <c r="F154" s="261" t="s">
        <v>412</v>
      </c>
      <c r="G154" s="215">
        <f>noerror('Activity C'!J31,0)</f>
        <v>0</v>
      </c>
    </row>
    <row r="155" spans="2:7" x14ac:dyDescent="0.25">
      <c r="B155" s="79" t="str">
        <f>'Activity C'!B32</f>
        <v>Other</v>
      </c>
      <c r="C155" s="219"/>
      <c r="D155" s="80">
        <f>'Activity C'!F32</f>
        <v>0</v>
      </c>
      <c r="E155" s="152"/>
      <c r="F155" s="81"/>
      <c r="G155" s="215"/>
    </row>
    <row r="156" spans="2:7" x14ac:dyDescent="0.25">
      <c r="B156" s="76" t="str">
        <f>"  " &amp; 'Activity C'!B33</f>
        <v xml:space="preserve">  Other</v>
      </c>
      <c r="C156" s="219">
        <f>'Activity C'!E33</f>
        <v>0</v>
      </c>
      <c r="D156" s="80">
        <f>'Activity C'!F33</f>
        <v>0</v>
      </c>
      <c r="E156" s="224">
        <f>'Activity C'!G33</f>
        <v>0</v>
      </c>
      <c r="F156" s="261" t="s">
        <v>412</v>
      </c>
      <c r="G156" s="215">
        <f>noerror('Activity C'!J33,0)</f>
        <v>0</v>
      </c>
    </row>
    <row r="157" spans="2:7" x14ac:dyDescent="0.25">
      <c r="B157" s="76" t="str">
        <f>"  " &amp; 'Activity C'!B34</f>
        <v xml:space="preserve">  Other</v>
      </c>
      <c r="C157" s="219">
        <f>'Activity C'!E34</f>
        <v>0</v>
      </c>
      <c r="D157" s="80">
        <f>'Activity C'!F34</f>
        <v>0</v>
      </c>
      <c r="E157" s="224">
        <f>'Activity C'!G34</f>
        <v>0</v>
      </c>
      <c r="F157" s="261" t="s">
        <v>412</v>
      </c>
      <c r="G157" s="215">
        <f>noerror('Activity C'!J34,0)</f>
        <v>0</v>
      </c>
    </row>
    <row r="158" spans="2:7" ht="13.8" thickBot="1" x14ac:dyDescent="0.3">
      <c r="B158" s="76" t="str">
        <f>"  " &amp; 'Activity C'!B35</f>
        <v xml:space="preserve">  Other</v>
      </c>
      <c r="C158" s="219">
        <f>'Activity C'!E35</f>
        <v>0</v>
      </c>
      <c r="D158" s="80">
        <f>'Activity C'!F35</f>
        <v>0</v>
      </c>
      <c r="E158" s="224">
        <f>'Activity C'!G35</f>
        <v>0</v>
      </c>
      <c r="F158" s="261" t="s">
        <v>412</v>
      </c>
      <c r="G158" s="215">
        <f>noerror('Activity C'!J35,0)</f>
        <v>0</v>
      </c>
    </row>
    <row r="159" spans="2:7" ht="13.8" thickBot="1" x14ac:dyDescent="0.3">
      <c r="B159" s="233" t="s">
        <v>404</v>
      </c>
      <c r="C159" s="234"/>
      <c r="D159" s="235"/>
      <c r="E159" s="247"/>
      <c r="F159" s="265"/>
      <c r="G159" s="266">
        <f>SUM(G131:G158)</f>
        <v>0</v>
      </c>
    </row>
    <row r="160" spans="2:7" x14ac:dyDescent="0.25">
      <c r="B160" s="228" t="s">
        <v>424</v>
      </c>
      <c r="C160" s="248"/>
      <c r="D160" s="249"/>
      <c r="E160" s="250"/>
      <c r="F160" s="251"/>
      <c r="G160" s="252"/>
    </row>
    <row r="161" spans="2:7" x14ac:dyDescent="0.25">
      <c r="B161" s="241" t="str">
        <f>"  " &amp; 'Activity C'!B38</f>
        <v xml:space="preserve">  </v>
      </c>
      <c r="C161" s="246">
        <f>'Activity C'!E38</f>
        <v>0</v>
      </c>
      <c r="D161" s="243">
        <f>'Activity C'!F38</f>
        <v>0</v>
      </c>
      <c r="E161" s="242">
        <f>'Activity C'!G38</f>
        <v>0</v>
      </c>
      <c r="F161" s="269" t="str">
        <f>'Activity C'!H38 &amp; " "</f>
        <v xml:space="preserve"> </v>
      </c>
      <c r="G161" s="267">
        <f>noerror('Activity C'!J38,0)</f>
        <v>0</v>
      </c>
    </row>
    <row r="162" spans="2:7" ht="13.8" thickBot="1" x14ac:dyDescent="0.3">
      <c r="B162" s="238" t="str">
        <f>"  " &amp; 'Activity C'!B39</f>
        <v xml:space="preserve">  </v>
      </c>
      <c r="C162" s="220">
        <f>'Activity C'!E39</f>
        <v>0</v>
      </c>
      <c r="D162" s="216">
        <f>'Activity C'!F39</f>
        <v>0</v>
      </c>
      <c r="E162" s="239">
        <f>'Activity C'!G39</f>
        <v>0</v>
      </c>
      <c r="F162" s="270" t="str">
        <f>'Activity C'!H39 &amp; " "</f>
        <v xml:space="preserve"> </v>
      </c>
      <c r="G162" s="264">
        <f>noerror('Activity C'!J39,0)</f>
        <v>0</v>
      </c>
    </row>
    <row r="163" spans="2:7" ht="13.8" thickBot="1" x14ac:dyDescent="0.3">
      <c r="B163" s="233" t="s">
        <v>405</v>
      </c>
      <c r="C163" s="234"/>
      <c r="D163" s="235"/>
      <c r="E163" s="236"/>
      <c r="F163" s="237"/>
      <c r="G163" s="268">
        <f>SUM(G161:G162)</f>
        <v>0</v>
      </c>
    </row>
    <row r="164" spans="2:7" ht="14.4" thickBot="1" x14ac:dyDescent="0.3">
      <c r="B164" s="229" t="s">
        <v>406</v>
      </c>
      <c r="C164" s="230"/>
      <c r="D164" s="231"/>
      <c r="E164" s="230"/>
      <c r="F164" s="231"/>
      <c r="G164" s="232">
        <f>SUM(G163,G159)</f>
        <v>0</v>
      </c>
    </row>
    <row r="167" spans="2:7" ht="13.8" thickBot="1" x14ac:dyDescent="0.3">
      <c r="B167" s="71" t="s">
        <v>358</v>
      </c>
    </row>
    <row r="168" spans="2:7" ht="16.2" thickBot="1" x14ac:dyDescent="0.35">
      <c r="B168" s="214" t="s">
        <v>310</v>
      </c>
      <c r="C168" s="213" t="str">
        <f>'Activity D'!D2</f>
        <v>Testco Pty West</v>
      </c>
      <c r="D168" s="211"/>
      <c r="E168" s="211"/>
      <c r="F168" s="211"/>
      <c r="G168" s="212"/>
    </row>
    <row r="169" spans="2:7" ht="28.8" x14ac:dyDescent="0.25">
      <c r="B169" s="72" t="s">
        <v>11</v>
      </c>
      <c r="C169" s="73" t="s">
        <v>24</v>
      </c>
      <c r="D169" s="74"/>
      <c r="E169" s="299" t="s">
        <v>25</v>
      </c>
      <c r="F169" s="300"/>
      <c r="G169" s="75" t="s">
        <v>82</v>
      </c>
    </row>
    <row r="170" spans="2:7" ht="15.6" x14ac:dyDescent="0.35">
      <c r="B170" s="76" t="str">
        <f>"  " &amp; 'Activity D'!B8</f>
        <v xml:space="preserve">  Electricity</v>
      </c>
      <c r="C170" s="219">
        <f>'Activity D'!E8</f>
        <v>0</v>
      </c>
      <c r="D170" s="78" t="str">
        <f>'Activity D'!F8</f>
        <v>kWh</v>
      </c>
      <c r="E170" s="172">
        <f>'Activity D'!G8</f>
        <v>1.1140000000000001</v>
      </c>
      <c r="F170" s="255" t="s">
        <v>71</v>
      </c>
      <c r="G170" s="215">
        <f>'Activity D'!J8</f>
        <v>0</v>
      </c>
    </row>
    <row r="171" spans="2:7" ht="15.6" x14ac:dyDescent="0.35">
      <c r="B171" s="76" t="str">
        <f>"  " &amp; 'Activity D'!B9</f>
        <v xml:space="preserve">  Natural Gas (non-transport)</v>
      </c>
      <c r="C171" s="219">
        <f>'Activity D'!E9</f>
        <v>0</v>
      </c>
      <c r="D171" s="78" t="str">
        <f>'Activity D'!F9</f>
        <v>GJ</v>
      </c>
      <c r="E171" s="172">
        <f>'Activity D'!G9</f>
        <v>53.2</v>
      </c>
      <c r="F171" s="256" t="s">
        <v>72</v>
      </c>
      <c r="G171" s="215">
        <f>noerror('Activity D'!J9,0)</f>
        <v>0</v>
      </c>
    </row>
    <row r="172" spans="2:7" x14ac:dyDescent="0.25">
      <c r="B172" s="76" t="str">
        <f>"  " &amp; 'Activity D'!B10</f>
        <v xml:space="preserve">  LPG - (non-transport)</v>
      </c>
      <c r="C172" s="219">
        <f>'Activity D'!E10</f>
        <v>0</v>
      </c>
      <c r="D172" s="78" t="str">
        <f>'Activity D'!F10</f>
        <v>t</v>
      </c>
      <c r="E172" s="152">
        <f>'Activity D'!G10</f>
        <v>2.9</v>
      </c>
      <c r="F172" s="257" t="s">
        <v>413</v>
      </c>
      <c r="G172" s="215">
        <f>noerror('Activity D'!J10,0)</f>
        <v>0</v>
      </c>
    </row>
    <row r="173" spans="2:7" x14ac:dyDescent="0.25">
      <c r="B173" s="79" t="str">
        <f>'Activity D'!B11</f>
        <v>Petroleum Products</v>
      </c>
      <c r="C173" s="219"/>
      <c r="D173" s="78"/>
      <c r="E173" s="77"/>
      <c r="F173" s="258"/>
      <c r="G173" s="215"/>
    </row>
    <row r="174" spans="2:7" x14ac:dyDescent="0.25">
      <c r="B174" s="76" t="str">
        <f>"  " &amp; 'Activity D'!B12</f>
        <v xml:space="preserve">  Petrol/Gasoline</v>
      </c>
      <c r="C174" s="219">
        <f>'Activity D'!E12</f>
        <v>0</v>
      </c>
      <c r="D174" s="78" t="str">
        <f>'Activity D'!F12</f>
        <v>kL</v>
      </c>
      <c r="E174" s="152">
        <f>'Activity D'!G12</f>
        <v>2.5</v>
      </c>
      <c r="F174" s="257" t="s">
        <v>411</v>
      </c>
      <c r="G174" s="215">
        <f>noerror('Activity D'!J12,0)</f>
        <v>0</v>
      </c>
    </row>
    <row r="175" spans="2:7" x14ac:dyDescent="0.25">
      <c r="B175" s="76" t="str">
        <f>"  " &amp; 'Activity D'!B13</f>
        <v xml:space="preserve">  Automotive Diesel Oil</v>
      </c>
      <c r="C175" s="219">
        <f>'Activity D'!E13</f>
        <v>0</v>
      </c>
      <c r="D175" s="78" t="str">
        <f>'Activity D'!F13</f>
        <v>kL</v>
      </c>
      <c r="E175" s="152">
        <f>'Activity D'!G13</f>
        <v>2.7</v>
      </c>
      <c r="F175" s="257" t="s">
        <v>411</v>
      </c>
      <c r="G175" s="215">
        <f>noerror('Activity D'!J13,0)</f>
        <v>0</v>
      </c>
    </row>
    <row r="176" spans="2:7" x14ac:dyDescent="0.25">
      <c r="B176" s="76" t="str">
        <f>"  " &amp; 'Activity D'!B14</f>
        <v xml:space="preserve">  LPG - transport</v>
      </c>
      <c r="C176" s="219">
        <f>'Activity D'!E14</f>
        <v>0</v>
      </c>
      <c r="D176" s="78" t="str">
        <f>'Activity D'!F14</f>
        <v>kL</v>
      </c>
      <c r="E176" s="152">
        <f>'Activity D'!G14</f>
        <v>1.6</v>
      </c>
      <c r="F176" s="257" t="s">
        <v>411</v>
      </c>
      <c r="G176" s="215">
        <f>noerror('Activity D'!J14,0)</f>
        <v>0</v>
      </c>
    </row>
    <row r="177" spans="2:7" ht="16.8" x14ac:dyDescent="0.35">
      <c r="B177" s="76" t="str">
        <f>"  " &amp; 'Activity D'!B15</f>
        <v xml:space="preserve">  Natural Gas/CNG LDV</v>
      </c>
      <c r="C177" s="219">
        <f>'Activity D'!E15</f>
        <v>0</v>
      </c>
      <c r="D177" s="159" t="s">
        <v>138</v>
      </c>
      <c r="E177" s="152">
        <f>'Activity D'!G15</f>
        <v>2.4</v>
      </c>
      <c r="F177" s="257" t="s">
        <v>355</v>
      </c>
      <c r="G177" s="215">
        <f>noerror('Activity D'!J15,0)</f>
        <v>0</v>
      </c>
    </row>
    <row r="178" spans="2:7" ht="16.8" x14ac:dyDescent="0.35">
      <c r="B178" s="76" t="str">
        <f>"  " &amp; 'Activity D'!B16</f>
        <v xml:space="preserve">  Natural Gas/CNG HDV</v>
      </c>
      <c r="C178" s="219">
        <f>'Activity D'!E16</f>
        <v>0</v>
      </c>
      <c r="D178" s="159" t="s">
        <v>138</v>
      </c>
      <c r="E178" s="152">
        <f>'Activity D'!G16</f>
        <v>2.2000000000000002</v>
      </c>
      <c r="F178" s="257" t="s">
        <v>355</v>
      </c>
      <c r="G178" s="215">
        <f>noerror('Activity D'!J16,0)</f>
        <v>0</v>
      </c>
    </row>
    <row r="179" spans="2:7" x14ac:dyDescent="0.25">
      <c r="B179" s="76" t="str">
        <f>"  " &amp; 'Activity D'!B17</f>
        <v xml:space="preserve">  Marine/Industrial diesel fuel</v>
      </c>
      <c r="C179" s="219">
        <f>'Activity D'!E17</f>
        <v>0</v>
      </c>
      <c r="D179" s="78" t="str">
        <f>'Activity D'!F17</f>
        <v>kL</v>
      </c>
      <c r="E179" s="152">
        <f>'Activity D'!G17</f>
        <v>2.8</v>
      </c>
      <c r="F179" s="257" t="s">
        <v>411</v>
      </c>
      <c r="G179" s="215">
        <f>noerror('Activity D'!J17,0)</f>
        <v>0</v>
      </c>
    </row>
    <row r="180" spans="2:7" x14ac:dyDescent="0.25">
      <c r="B180" s="76" t="str">
        <f>"  " &amp; 'Activity D'!B18</f>
        <v xml:space="preserve">  Aviation Gasoline</v>
      </c>
      <c r="C180" s="219">
        <f>'Activity D'!E18</f>
        <v>0</v>
      </c>
      <c r="D180" s="78" t="str">
        <f>'Activity D'!F18</f>
        <v>kL</v>
      </c>
      <c r="E180" s="152">
        <f>'Activity D'!G18</f>
        <v>2.2999999999999998</v>
      </c>
      <c r="F180" s="257" t="s">
        <v>411</v>
      </c>
      <c r="G180" s="215">
        <f>noerror('Activity D'!J18,0)</f>
        <v>0</v>
      </c>
    </row>
    <row r="181" spans="2:7" x14ac:dyDescent="0.25">
      <c r="B181" s="76" t="str">
        <f>"  " &amp; 'Activity D'!B19</f>
        <v xml:space="preserve">  Aviation Turbine</v>
      </c>
      <c r="C181" s="219">
        <f>'Activity D'!E19</f>
        <v>0</v>
      </c>
      <c r="D181" s="78" t="str">
        <f>'Activity D'!F19</f>
        <v>kL</v>
      </c>
      <c r="E181" s="152">
        <f>'Activity D'!G19</f>
        <v>2.6</v>
      </c>
      <c r="F181" s="257" t="s">
        <v>411</v>
      </c>
      <c r="G181" s="215">
        <f>noerror('Activity D'!J19,0)</f>
        <v>0</v>
      </c>
    </row>
    <row r="182" spans="2:7" x14ac:dyDescent="0.25">
      <c r="B182" s="79" t="str">
        <f>'Activity D'!B20</f>
        <v>Waste</v>
      </c>
      <c r="C182" s="219"/>
      <c r="D182" s="78"/>
      <c r="E182" s="152"/>
      <c r="F182" s="81"/>
      <c r="G182" s="215"/>
    </row>
    <row r="183" spans="2:7" x14ac:dyDescent="0.25">
      <c r="B183" s="76" t="str">
        <f>"  " &amp; 'Activity D'!B21</f>
        <v xml:space="preserve">  Co-mingled</v>
      </c>
      <c r="C183" s="219">
        <f>'Activity D'!E21</f>
        <v>0</v>
      </c>
      <c r="D183" s="78" t="str">
        <f>'Activity D'!F21</f>
        <v>t</v>
      </c>
      <c r="E183" s="152">
        <f>'Activity D'!G21</f>
        <v>1.2</v>
      </c>
      <c r="F183" s="259" t="s">
        <v>412</v>
      </c>
      <c r="G183" s="215">
        <f>noerror('Activity D'!J21,0)</f>
        <v>0</v>
      </c>
    </row>
    <row r="184" spans="2:7" x14ac:dyDescent="0.25">
      <c r="B184" s="76" t="str">
        <f>"  " &amp; 'Activity D'!B22</f>
        <v xml:space="preserve">  Paper and paper board</v>
      </c>
      <c r="C184" s="219">
        <f>'Activity D'!E22</f>
        <v>0</v>
      </c>
      <c r="D184" s="78" t="str">
        <f>'Activity D'!F22</f>
        <v>t</v>
      </c>
      <c r="E184" s="152">
        <f>'Activity D'!G22</f>
        <v>2.8</v>
      </c>
      <c r="F184" s="259" t="s">
        <v>412</v>
      </c>
      <c r="G184" s="215">
        <f>noerror('Activity D'!J22,0)</f>
        <v>0</v>
      </c>
    </row>
    <row r="185" spans="2:7" x14ac:dyDescent="0.25">
      <c r="B185" s="76" t="str">
        <f>"  " &amp; 'Activity D'!B23</f>
        <v xml:space="preserve">  Textiles (excluding synthetics)</v>
      </c>
      <c r="C185" s="219">
        <f>'Activity D'!E23</f>
        <v>0</v>
      </c>
      <c r="D185" s="78" t="str">
        <f>'Activity D'!F23</f>
        <v>t</v>
      </c>
      <c r="E185" s="152">
        <f>'Activity D'!G23</f>
        <v>3.9</v>
      </c>
      <c r="F185" s="259" t="s">
        <v>412</v>
      </c>
      <c r="G185" s="215">
        <f>noerror('Activity D'!J23,0)</f>
        <v>0</v>
      </c>
    </row>
    <row r="186" spans="2:7" x14ac:dyDescent="0.25">
      <c r="B186" s="76" t="str">
        <f>"  " &amp; 'Activity D'!B24</f>
        <v xml:space="preserve">  Wood/straw</v>
      </c>
      <c r="C186" s="219">
        <f>'Activity D'!E24</f>
        <v>0</v>
      </c>
      <c r="D186" s="78" t="str">
        <f>'Activity D'!F24</f>
        <v>t</v>
      </c>
      <c r="E186" s="152">
        <f>'Activity D'!G24</f>
        <v>2.1</v>
      </c>
      <c r="F186" s="259" t="s">
        <v>412</v>
      </c>
      <c r="G186" s="215">
        <f>noerror('Activity D'!J24,0)</f>
        <v>0</v>
      </c>
    </row>
    <row r="187" spans="2:7" x14ac:dyDescent="0.25">
      <c r="B187" s="76" t="str">
        <f>"  " &amp; 'Activity D'!B25</f>
        <v xml:space="preserve">  Garden</v>
      </c>
      <c r="C187" s="219">
        <f>'Activity D'!E25</f>
        <v>0</v>
      </c>
      <c r="D187" s="78" t="str">
        <f>'Activity D'!F25</f>
        <v>t</v>
      </c>
      <c r="E187" s="152">
        <f>'Activity D'!G25</f>
        <v>1.2</v>
      </c>
      <c r="F187" s="259" t="s">
        <v>412</v>
      </c>
      <c r="G187" s="215">
        <f>noerror('Activity D'!J25,0)+noerror('Activity B'!J25,0)+noerror('Activity C'!J25,0)+noerror('Activity D'!J25,0)</f>
        <v>0</v>
      </c>
    </row>
    <row r="188" spans="2:7" x14ac:dyDescent="0.25">
      <c r="B188" s="76" t="str">
        <f>"  " &amp; 'Activity D'!B26</f>
        <v xml:space="preserve">  Food/Garden</v>
      </c>
      <c r="C188" s="219">
        <f>'Activity D'!E26</f>
        <v>0</v>
      </c>
      <c r="D188" s="78" t="str">
        <f>'Activity D'!F26</f>
        <v>t</v>
      </c>
      <c r="E188" s="152">
        <f>'Activity D'!G26</f>
        <v>1.5</v>
      </c>
      <c r="F188" s="259" t="s">
        <v>412</v>
      </c>
      <c r="G188" s="215">
        <f>noerror('Activity D'!J26,0)</f>
        <v>0</v>
      </c>
    </row>
    <row r="189" spans="2:7" x14ac:dyDescent="0.25">
      <c r="B189" s="76" t="str">
        <f>"  " &amp; 'Activity D'!B27</f>
        <v xml:space="preserve">  Medical</v>
      </c>
      <c r="C189" s="219">
        <f>'Activity D'!E27</f>
        <v>0</v>
      </c>
      <c r="D189" s="78" t="str">
        <f>'Activity D'!F27</f>
        <v>t</v>
      </c>
      <c r="E189" s="152">
        <f>'Activity D'!G27</f>
        <v>0.5</v>
      </c>
      <c r="F189" s="259" t="s">
        <v>412</v>
      </c>
      <c r="G189" s="215">
        <f>noerror('Activity D'!J27,0)+noerror('Activity B'!J27,0)+noerror('Activity C'!J27,0)+noerror('Activity D'!J27,0)</f>
        <v>0</v>
      </c>
    </row>
    <row r="190" spans="2:7" x14ac:dyDescent="0.25">
      <c r="B190" s="76" t="str">
        <f>"  " &amp; 'Activity D'!B28</f>
        <v xml:space="preserve">  Concrete/metal/plastic/glass</v>
      </c>
      <c r="C190" s="219">
        <f>'Activity D'!E28</f>
        <v>0</v>
      </c>
      <c r="D190" s="78" t="str">
        <f>'Activity D'!F28</f>
        <v>t</v>
      </c>
      <c r="E190" s="221">
        <f>'Activity D'!G28</f>
        <v>0</v>
      </c>
      <c r="F190" s="259" t="s">
        <v>412</v>
      </c>
      <c r="G190" s="215">
        <f>noerror('Activity D'!J28,0)+noerror('Activity B'!J28,0)+noerror('Activity C'!J28,0)+noerror('Activity D'!J28,0)</f>
        <v>0</v>
      </c>
    </row>
    <row r="191" spans="2:7" x14ac:dyDescent="0.25">
      <c r="B191" s="79" t="str">
        <f>'Activity D'!B29</f>
        <v>Synthetic gases</v>
      </c>
      <c r="C191" s="219"/>
      <c r="D191" s="78"/>
      <c r="E191" s="152"/>
      <c r="F191" s="260"/>
      <c r="G191" s="215"/>
    </row>
    <row r="192" spans="2:7" x14ac:dyDescent="0.25">
      <c r="B192" s="76" t="str">
        <f>"  " &amp; 'Activity D'!B30</f>
        <v xml:space="preserve">  SF6</v>
      </c>
      <c r="C192" s="219">
        <f>'Activity D'!E30</f>
        <v>0</v>
      </c>
      <c r="D192" s="80" t="str">
        <f>'Activity D'!F30</f>
        <v>t</v>
      </c>
      <c r="E192" s="152">
        <f>'Activity D'!G30</f>
        <v>23900</v>
      </c>
      <c r="F192" s="261" t="s">
        <v>412</v>
      </c>
      <c r="G192" s="215">
        <f>noerror('Activity D'!J30,0)+noerror('Activity B'!J30,0)+noerror('Activity C'!J30,0)+noerror('Activity D'!J30,0)</f>
        <v>0</v>
      </c>
    </row>
    <row r="193" spans="2:7" x14ac:dyDescent="0.25">
      <c r="B193" s="76" t="str">
        <f>"  " &amp; 'Activity D'!B31</f>
        <v xml:space="preserve">  HFC's</v>
      </c>
      <c r="C193" s="219">
        <f>'Activity D'!E31</f>
        <v>0</v>
      </c>
      <c r="D193" s="80" t="str">
        <f>'Activity D'!F31</f>
        <v>t</v>
      </c>
      <c r="E193" s="152" t="str">
        <f>NONULL('Activity D'!G31)</f>
        <v/>
      </c>
      <c r="F193" s="261" t="s">
        <v>412</v>
      </c>
      <c r="G193" s="215">
        <f>noerror('Activity D'!J31,0)</f>
        <v>0</v>
      </c>
    </row>
    <row r="194" spans="2:7" x14ac:dyDescent="0.25">
      <c r="B194" s="79" t="str">
        <f>'Activity D'!B32</f>
        <v>Other</v>
      </c>
      <c r="C194" s="219"/>
      <c r="D194" s="80">
        <f>'Activity D'!F32</f>
        <v>0</v>
      </c>
      <c r="E194" s="152"/>
      <c r="F194" s="81"/>
      <c r="G194" s="215"/>
    </row>
    <row r="195" spans="2:7" x14ac:dyDescent="0.25">
      <c r="B195" s="76" t="str">
        <f>"  " &amp; 'Activity D'!B33</f>
        <v xml:space="preserve">  Other</v>
      </c>
      <c r="C195" s="219">
        <f>'Activity D'!E33</f>
        <v>0</v>
      </c>
      <c r="D195" s="80">
        <f>'Activity D'!F33</f>
        <v>0</v>
      </c>
      <c r="E195" s="224">
        <f>'Activity D'!G33</f>
        <v>0</v>
      </c>
      <c r="F195" s="261" t="s">
        <v>412</v>
      </c>
      <c r="G195" s="215">
        <f>noerror('Activity D'!J33,0)</f>
        <v>0</v>
      </c>
    </row>
    <row r="196" spans="2:7" x14ac:dyDescent="0.25">
      <c r="B196" s="76" t="str">
        <f>"  " &amp; 'Activity D'!B34</f>
        <v xml:space="preserve">  Other</v>
      </c>
      <c r="C196" s="219">
        <f>'Activity D'!E34</f>
        <v>0</v>
      </c>
      <c r="D196" s="80">
        <f>'Activity D'!F34</f>
        <v>0</v>
      </c>
      <c r="E196" s="224">
        <f>'Activity D'!G34</f>
        <v>0</v>
      </c>
      <c r="F196" s="261" t="s">
        <v>412</v>
      </c>
      <c r="G196" s="215">
        <f>noerror('Activity D'!J34,0)</f>
        <v>0</v>
      </c>
    </row>
    <row r="197" spans="2:7" ht="13.8" thickBot="1" x14ac:dyDescent="0.3">
      <c r="B197" s="76" t="str">
        <f>"  " &amp; 'Activity D'!B35</f>
        <v xml:space="preserve">  Other</v>
      </c>
      <c r="C197" s="219">
        <f>'Activity D'!E35</f>
        <v>0</v>
      </c>
      <c r="D197" s="80">
        <f>'Activity D'!F35</f>
        <v>0</v>
      </c>
      <c r="E197" s="224">
        <f>'Activity D'!G35</f>
        <v>0</v>
      </c>
      <c r="F197" s="261" t="s">
        <v>412</v>
      </c>
      <c r="G197" s="215">
        <f>noerror('Activity D'!J35,0)</f>
        <v>0</v>
      </c>
    </row>
    <row r="198" spans="2:7" ht="13.8" thickBot="1" x14ac:dyDescent="0.3">
      <c r="B198" s="233" t="s">
        <v>404</v>
      </c>
      <c r="C198" s="234"/>
      <c r="D198" s="235"/>
      <c r="E198" s="247"/>
      <c r="F198" s="265"/>
      <c r="G198" s="266">
        <f>SUM(G170:G197)</f>
        <v>0</v>
      </c>
    </row>
    <row r="199" spans="2:7" x14ac:dyDescent="0.25">
      <c r="B199" s="228" t="s">
        <v>424</v>
      </c>
      <c r="C199" s="248"/>
      <c r="D199" s="249"/>
      <c r="E199" s="250"/>
      <c r="F199" s="251"/>
      <c r="G199" s="252"/>
    </row>
    <row r="200" spans="2:7" x14ac:dyDescent="0.25">
      <c r="B200" s="241" t="str">
        <f>"  " &amp; 'Activity D'!B38</f>
        <v xml:space="preserve">  </v>
      </c>
      <c r="C200" s="246">
        <f>'Activity D'!E38</f>
        <v>0</v>
      </c>
      <c r="D200" s="243">
        <f>'Activity D'!F38</f>
        <v>0</v>
      </c>
      <c r="E200" s="242">
        <f>'Activity D'!G38</f>
        <v>0</v>
      </c>
      <c r="F200" s="269" t="str">
        <f>'Activity D'!H38 &amp; " "</f>
        <v xml:space="preserve"> </v>
      </c>
      <c r="G200" s="267">
        <f>noerror('Activity D'!J38,0)</f>
        <v>0</v>
      </c>
    </row>
    <row r="201" spans="2:7" ht="13.8" thickBot="1" x14ac:dyDescent="0.3">
      <c r="B201" s="238" t="str">
        <f>"  " &amp; 'Activity D'!B39</f>
        <v xml:space="preserve">  </v>
      </c>
      <c r="C201" s="220">
        <f>'Activity D'!E39</f>
        <v>0</v>
      </c>
      <c r="D201" s="216">
        <f>'Activity D'!F39</f>
        <v>0</v>
      </c>
      <c r="E201" s="239">
        <f>'Activity D'!G39</f>
        <v>0</v>
      </c>
      <c r="F201" s="270" t="str">
        <f>'Activity D'!H39 &amp; " "</f>
        <v xml:space="preserve"> </v>
      </c>
      <c r="G201" s="264">
        <f>noerror('Activity D'!J39,0)</f>
        <v>0</v>
      </c>
    </row>
    <row r="202" spans="2:7" ht="13.8" thickBot="1" x14ac:dyDescent="0.3">
      <c r="B202" s="233" t="s">
        <v>405</v>
      </c>
      <c r="C202" s="234"/>
      <c r="D202" s="235"/>
      <c r="E202" s="236"/>
      <c r="F202" s="237"/>
      <c r="G202" s="268">
        <f>SUM(G200:G201)</f>
        <v>0</v>
      </c>
    </row>
    <row r="203" spans="2:7" ht="14.4" thickBot="1" x14ac:dyDescent="0.3">
      <c r="B203" s="229" t="s">
        <v>406</v>
      </c>
      <c r="C203" s="230"/>
      <c r="D203" s="231"/>
      <c r="E203" s="230"/>
      <c r="F203" s="231"/>
      <c r="G203" s="232">
        <f>SUM(G202,G198)</f>
        <v>0</v>
      </c>
    </row>
  </sheetData>
  <sheetProtection sheet="1" objects="1" scenarios="1"/>
  <mergeCells count="5">
    <mergeCell ref="E169:F169"/>
    <mergeCell ref="E6:F6"/>
    <mergeCell ref="E52:F52"/>
    <mergeCell ref="E91:F91"/>
    <mergeCell ref="E130:F130"/>
  </mergeCells>
  <phoneticPr fontId="0" type="noConversion"/>
  <pageMargins left="0.75" right="0.75" top="1" bottom="1" header="0.5" footer="0.5"/>
  <pageSetup paperSize="9" scale="96" orientation="portrait" verticalDpi="0" r:id="rId1"/>
  <headerFooter alignWithMargins="0"/>
  <rowBreaks count="4" manualBreakCount="4">
    <brk id="49" max="16383" man="1"/>
    <brk id="88" max="16383" man="1"/>
    <brk id="127" max="16383" man="1"/>
    <brk id="166" max="16383" man="1"/>
  </rowBreaks>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F11"/>
  <sheetViews>
    <sheetView workbookViewId="0">
      <selection activeCell="A23" sqref="A23"/>
    </sheetView>
  </sheetViews>
  <sheetFormatPr defaultRowHeight="13.2" x14ac:dyDescent="0.25"/>
  <cols>
    <col min="1" max="1" width="44.6640625" customWidth="1"/>
    <col min="2" max="2" width="73.44140625" customWidth="1"/>
  </cols>
  <sheetData>
    <row r="1" spans="1:6" ht="13.8" x14ac:dyDescent="0.25">
      <c r="A1" s="53" t="s">
        <v>312</v>
      </c>
      <c r="B1" s="3"/>
    </row>
    <row r="2" spans="1:6" x14ac:dyDescent="0.25">
      <c r="A2" s="46"/>
      <c r="B2" s="46"/>
    </row>
    <row r="3" spans="1:6" ht="28.5" customHeight="1" x14ac:dyDescent="0.25">
      <c r="A3" s="302" t="s">
        <v>363</v>
      </c>
      <c r="B3" s="302"/>
    </row>
    <row r="4" spans="1:6" x14ac:dyDescent="0.25">
      <c r="A4" s="46"/>
      <c r="B4" s="46"/>
    </row>
    <row r="5" spans="1:6" ht="15.9" customHeight="1" x14ac:dyDescent="0.25">
      <c r="A5" s="96" t="s">
        <v>144</v>
      </c>
      <c r="B5" s="97">
        <v>2</v>
      </c>
      <c r="F5">
        <v>1</v>
      </c>
    </row>
    <row r="6" spans="1:6" ht="6.75" customHeight="1" x14ac:dyDescent="0.25">
      <c r="A6" s="96"/>
      <c r="B6" s="97"/>
    </row>
    <row r="7" spans="1:6" ht="15.9" customHeight="1" x14ac:dyDescent="0.25">
      <c r="A7" s="96" t="s">
        <v>143</v>
      </c>
      <c r="B7" s="97">
        <v>2</v>
      </c>
      <c r="F7">
        <v>1</v>
      </c>
    </row>
    <row r="8" spans="1:6" x14ac:dyDescent="0.25">
      <c r="A8" s="46"/>
      <c r="B8" s="46"/>
    </row>
    <row r="9" spans="1:6" x14ac:dyDescent="0.25">
      <c r="A9" s="46"/>
      <c r="B9" s="46"/>
    </row>
    <row r="10" spans="1:6" x14ac:dyDescent="0.25">
      <c r="A10" s="46"/>
      <c r="B10" s="46"/>
    </row>
    <row r="11" spans="1:6" x14ac:dyDescent="0.25">
      <c r="A11" s="46"/>
      <c r="B11" s="46"/>
    </row>
  </sheetData>
  <sheetProtection sheet="1" objects="1" scenarios="1"/>
  <mergeCells count="1">
    <mergeCell ref="A3:B3"/>
  </mergeCells>
  <phoneticPr fontId="0" type="noConversion"/>
  <pageMargins left="0.75" right="0.75" top="1" bottom="1" header="0.5" footer="0.5"/>
  <pageSetup paperSize="9"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23" r:id="rId4" name="Drop Down 3">
              <controlPr defaultSize="0" autoLine="0" autoPict="0">
                <anchor moveWithCells="1">
                  <from>
                    <xdr:col>1</xdr:col>
                    <xdr:colOff>0</xdr:colOff>
                    <xdr:row>4</xdr:row>
                    <xdr:rowOff>0</xdr:rowOff>
                  </from>
                  <to>
                    <xdr:col>2</xdr:col>
                    <xdr:colOff>0</xdr:colOff>
                    <xdr:row>5</xdr:row>
                    <xdr:rowOff>0</xdr:rowOff>
                  </to>
                </anchor>
              </controlPr>
            </control>
          </mc:Choice>
        </mc:AlternateContent>
        <mc:AlternateContent xmlns:mc="http://schemas.openxmlformats.org/markup-compatibility/2006">
          <mc:Choice Requires="x14">
            <control shapeId="5124" r:id="rId5" name="Drop Down 4">
              <controlPr defaultSize="0" autoLine="0" autoPict="0">
                <anchor moveWithCells="1">
                  <from>
                    <xdr:col>1</xdr:col>
                    <xdr:colOff>0</xdr:colOff>
                    <xdr:row>6</xdr:row>
                    <xdr:rowOff>0</xdr:rowOff>
                  </from>
                  <to>
                    <xdr:col>2</xdr:col>
                    <xdr:colOff>0</xdr:colOff>
                    <xdr:row>7</xdr:row>
                    <xdr:rowOff>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N113"/>
  <sheetViews>
    <sheetView workbookViewId="0"/>
  </sheetViews>
  <sheetFormatPr defaultColWidth="9.109375" defaultRowHeight="13.2" x14ac:dyDescent="0.25"/>
  <cols>
    <col min="1" max="1" width="4.88671875" style="70" customWidth="1"/>
    <col min="2" max="2" width="15.33203125" style="70" bestFit="1" customWidth="1"/>
    <col min="3" max="3" width="5.88671875" style="70" customWidth="1"/>
    <col min="4" max="4" width="15.88671875" style="70" customWidth="1"/>
    <col min="5" max="5" width="12.44140625" style="70" customWidth="1"/>
    <col min="6" max="8" width="2.44140625" style="70" customWidth="1"/>
    <col min="9" max="10" width="9.109375" style="70"/>
    <col min="11" max="13" width="17.44140625" style="70" customWidth="1"/>
    <col min="14" max="16" width="9.109375" style="70"/>
    <col min="17" max="17" width="7.44140625" style="70" customWidth="1"/>
    <col min="18" max="18" width="29.6640625" style="70" customWidth="1"/>
    <col min="19" max="19" width="14.33203125" style="70" bestFit="1" customWidth="1"/>
    <col min="20" max="20" width="14" style="70" customWidth="1"/>
    <col min="21" max="21" width="7.6640625" style="70" bestFit="1" customWidth="1"/>
    <col min="22" max="22" width="15.33203125" style="70" customWidth="1"/>
    <col min="23" max="23" width="24" style="70" customWidth="1"/>
    <col min="24" max="26" width="9.109375" style="70"/>
    <col min="27" max="27" width="26" style="70" bestFit="1" customWidth="1"/>
    <col min="28" max="28" width="26" style="70" customWidth="1"/>
    <col min="29" max="29" width="18.5546875" style="70" customWidth="1"/>
    <col min="30" max="30" width="8.33203125" style="70" customWidth="1"/>
    <col min="31" max="31" width="22.33203125" style="70" customWidth="1"/>
    <col min="32" max="32" width="9.109375" style="70"/>
    <col min="33" max="33" width="11.33203125" style="70" customWidth="1"/>
    <col min="34" max="35" width="9.109375" style="70"/>
    <col min="36" max="36" width="15.44140625" style="70" bestFit="1" customWidth="1"/>
    <col min="37" max="39" width="15.44140625" style="70" customWidth="1"/>
    <col min="40" max="16384" width="9.109375" style="70"/>
  </cols>
  <sheetData>
    <row r="1" spans="1:40" x14ac:dyDescent="0.25">
      <c r="B1" s="69"/>
      <c r="C1" s="68" t="s">
        <v>10</v>
      </c>
      <c r="D1" s="69"/>
      <c r="E1" s="69"/>
      <c r="G1" s="147"/>
      <c r="H1" s="150"/>
      <c r="I1" s="149" t="s">
        <v>31</v>
      </c>
      <c r="J1" s="150"/>
      <c r="K1" s="150"/>
      <c r="L1" s="150"/>
      <c r="M1" s="150"/>
      <c r="N1" s="151"/>
      <c r="O1" s="173"/>
      <c r="Q1" s="98"/>
      <c r="R1" s="119" t="s">
        <v>39</v>
      </c>
      <c r="S1" s="119"/>
      <c r="T1" s="119"/>
      <c r="U1" s="119"/>
      <c r="V1" s="119"/>
      <c r="W1" s="98"/>
      <c r="Z1" s="98"/>
      <c r="AA1" s="98" t="s">
        <v>51</v>
      </c>
      <c r="AB1" s="98" t="s">
        <v>343</v>
      </c>
      <c r="AC1" s="98" t="s">
        <v>344</v>
      </c>
      <c r="AD1" s="98" t="s">
        <v>340</v>
      </c>
      <c r="AE1" s="98" t="s">
        <v>345</v>
      </c>
      <c r="AF1" s="98"/>
      <c r="AG1" s="98" t="s">
        <v>341</v>
      </c>
      <c r="AI1" s="69" t="s">
        <v>142</v>
      </c>
      <c r="AJ1" s="69"/>
      <c r="AK1" s="69"/>
      <c r="AL1" s="69"/>
      <c r="AM1" s="69" t="s">
        <v>301</v>
      </c>
      <c r="AN1" s="69"/>
    </row>
    <row r="2" spans="1:40" x14ac:dyDescent="0.25">
      <c r="B2" s="94"/>
      <c r="C2" s="94"/>
      <c r="D2" s="94"/>
      <c r="E2" s="94"/>
      <c r="F2" s="99"/>
      <c r="G2" s="148"/>
      <c r="H2" s="148" t="s">
        <v>300</v>
      </c>
      <c r="I2" s="148" t="s">
        <v>86</v>
      </c>
      <c r="J2" s="148"/>
      <c r="K2" s="148"/>
      <c r="L2" s="148" t="s">
        <v>395</v>
      </c>
      <c r="M2" s="148"/>
      <c r="N2" s="148"/>
      <c r="O2" s="99"/>
      <c r="Q2" s="94" t="s">
        <v>300</v>
      </c>
      <c r="R2" s="94" t="s">
        <v>37</v>
      </c>
      <c r="S2" s="94" t="s">
        <v>343</v>
      </c>
      <c r="T2" s="108" t="s">
        <v>349</v>
      </c>
      <c r="U2" s="108" t="s">
        <v>340</v>
      </c>
      <c r="V2" s="94" t="s">
        <v>342</v>
      </c>
      <c r="W2" s="94" t="s">
        <v>389</v>
      </c>
      <c r="Z2" s="94"/>
      <c r="AA2" s="94"/>
      <c r="AB2" s="94"/>
      <c r="AC2" s="94"/>
      <c r="AD2" s="94"/>
      <c r="AE2" s="94"/>
      <c r="AF2" s="94"/>
      <c r="AG2" s="94"/>
      <c r="AI2" s="69" t="s">
        <v>300</v>
      </c>
      <c r="AJ2" s="69" t="s">
        <v>37</v>
      </c>
      <c r="AK2" s="69" t="s">
        <v>346</v>
      </c>
      <c r="AL2" s="69" t="s">
        <v>347</v>
      </c>
      <c r="AM2" s="69" t="s">
        <v>348</v>
      </c>
      <c r="AN2" s="69" t="s">
        <v>341</v>
      </c>
    </row>
    <row r="3" spans="1:40" x14ac:dyDescent="0.25">
      <c r="B3" s="94" t="s">
        <v>36</v>
      </c>
      <c r="C3" s="100" t="s">
        <v>37</v>
      </c>
      <c r="D3" s="100" t="s">
        <v>38</v>
      </c>
      <c r="E3" s="100" t="s">
        <v>15</v>
      </c>
      <c r="F3" s="99"/>
      <c r="G3" s="94"/>
      <c r="H3" s="94"/>
      <c r="I3" s="100" t="s">
        <v>37</v>
      </c>
      <c r="J3" s="100" t="s">
        <v>38</v>
      </c>
      <c r="K3" s="100" t="s">
        <v>23</v>
      </c>
      <c r="L3" s="105" t="s">
        <v>122</v>
      </c>
      <c r="M3" s="105"/>
      <c r="N3" s="94"/>
      <c r="O3" s="99"/>
      <c r="Q3" s="94">
        <v>1</v>
      </c>
      <c r="R3" s="101" t="s">
        <v>44</v>
      </c>
      <c r="S3" s="125">
        <f>38.6*83.3</f>
        <v>3215.38</v>
      </c>
      <c r="T3" s="125"/>
      <c r="U3" s="101" t="s">
        <v>122</v>
      </c>
      <c r="V3" s="101">
        <f t="shared" ref="V3:V34" si="0">noerror(ROUND(S3,-ROUNDDOWN(LOG(S3)-1,0))/1000)</f>
        <v>3.2</v>
      </c>
      <c r="W3" s="94"/>
      <c r="X3" s="99"/>
      <c r="Z3" s="94">
        <v>1</v>
      </c>
      <c r="AA3" s="94" t="s">
        <v>52</v>
      </c>
      <c r="AB3" s="94">
        <f>39.6*69.7</f>
        <v>2760.1200000000003</v>
      </c>
      <c r="AC3" s="94"/>
      <c r="AD3" s="94" t="s">
        <v>339</v>
      </c>
      <c r="AE3" s="101">
        <f t="shared" ref="AE3:AE14" si="1">noerror(ROUND(AB3,-ROUNDDOWN(LOG(AB3)-1,0))/1000)</f>
        <v>2.8</v>
      </c>
      <c r="AF3" s="94"/>
      <c r="AG3" s="108" t="s">
        <v>62</v>
      </c>
      <c r="AI3" s="70">
        <v>1</v>
      </c>
      <c r="AJ3" s="70" t="s">
        <v>238</v>
      </c>
      <c r="AK3" s="103">
        <f>0.15*0.66*0.5*16/12*0.9*21*1000</f>
        <v>1247.4000000000001</v>
      </c>
      <c r="AM3" s="101">
        <f t="shared" ref="AM3:AM10" si="2">noerror(ROUND(AK3,-ROUNDDOWN(LOG(AK3)-1,0))/1000)</f>
        <v>1.2</v>
      </c>
      <c r="AN3" s="70" t="s">
        <v>307</v>
      </c>
    </row>
    <row r="4" spans="1:40" x14ac:dyDescent="0.25">
      <c r="A4" s="70">
        <v>1</v>
      </c>
      <c r="B4" s="94">
        <v>1</v>
      </c>
      <c r="C4" s="94" t="str">
        <f>B4&amp;"_" &amp;A4</f>
        <v>1_1</v>
      </c>
      <c r="D4" s="104" t="s">
        <v>1</v>
      </c>
      <c r="E4" s="105">
        <v>0.96799999999999997</v>
      </c>
      <c r="F4" s="99"/>
      <c r="G4" s="94">
        <v>1</v>
      </c>
      <c r="H4" s="94">
        <v>1</v>
      </c>
      <c r="I4" s="94" t="str">
        <f t="shared" ref="I4:I43" si="3">H4&amp;"_" &amp;G4</f>
        <v>1_1</v>
      </c>
      <c r="J4" s="104" t="s">
        <v>1</v>
      </c>
      <c r="K4" s="105">
        <v>71.8</v>
      </c>
      <c r="L4" s="105" t="s">
        <v>122</v>
      </c>
      <c r="M4" s="105"/>
      <c r="N4" s="94"/>
      <c r="O4" s="99"/>
      <c r="Q4" s="94">
        <v>1</v>
      </c>
      <c r="R4" s="101" t="s">
        <v>47</v>
      </c>
      <c r="S4" s="125">
        <f>38.6*84.7</f>
        <v>3269.42</v>
      </c>
      <c r="T4" s="125"/>
      <c r="U4" s="101" t="s">
        <v>122</v>
      </c>
      <c r="V4" s="101">
        <f t="shared" si="0"/>
        <v>3.3</v>
      </c>
      <c r="W4" s="142"/>
      <c r="X4" s="106"/>
      <c r="Z4" s="94">
        <v>1</v>
      </c>
      <c r="AA4" s="94" t="s">
        <v>109</v>
      </c>
      <c r="AB4" s="94">
        <f>49.6*68.6</f>
        <v>3402.56</v>
      </c>
      <c r="AC4" s="94"/>
      <c r="AD4" s="94" t="s">
        <v>122</v>
      </c>
      <c r="AE4" s="101">
        <f t="shared" si="1"/>
        <v>3.4</v>
      </c>
      <c r="AF4" s="94"/>
      <c r="AG4" s="108" t="s">
        <v>122</v>
      </c>
      <c r="AI4" s="70">
        <v>1</v>
      </c>
      <c r="AJ4" s="70" t="s">
        <v>237</v>
      </c>
      <c r="AK4" s="103">
        <v>0</v>
      </c>
      <c r="AM4" s="101" t="str">
        <f t="shared" si="2"/>
        <v/>
      </c>
    </row>
    <row r="5" spans="1:40" x14ac:dyDescent="0.25">
      <c r="A5" s="70">
        <v>2</v>
      </c>
      <c r="B5" s="94">
        <v>1</v>
      </c>
      <c r="C5" s="94" t="str">
        <f t="shared" ref="C5:C27" si="4">B5&amp;"_" &amp;A5</f>
        <v>1_2</v>
      </c>
      <c r="D5" s="107" t="s">
        <v>2</v>
      </c>
      <c r="E5" s="105">
        <v>0.96799999999999997</v>
      </c>
      <c r="F5" s="99"/>
      <c r="G5" s="94">
        <v>2</v>
      </c>
      <c r="H5" s="94">
        <v>1</v>
      </c>
      <c r="I5" s="94" t="str">
        <f t="shared" si="3"/>
        <v>1_2</v>
      </c>
      <c r="J5" s="107" t="s">
        <v>2</v>
      </c>
      <c r="K5" s="105">
        <v>71.8</v>
      </c>
      <c r="L5" s="105" t="s">
        <v>122</v>
      </c>
      <c r="M5" s="105"/>
      <c r="N5" s="94"/>
      <c r="O5" s="99"/>
      <c r="Q5" s="94">
        <v>1</v>
      </c>
      <c r="R5" s="101" t="s">
        <v>42</v>
      </c>
      <c r="S5" s="125">
        <f>38.6*82.4</f>
        <v>3180.6400000000003</v>
      </c>
      <c r="T5" s="125"/>
      <c r="U5" s="101" t="s">
        <v>122</v>
      </c>
      <c r="V5" s="101">
        <f t="shared" si="0"/>
        <v>3.2</v>
      </c>
      <c r="W5" s="143"/>
      <c r="X5" s="99"/>
      <c r="Z5" s="108">
        <v>10</v>
      </c>
      <c r="AA5" s="94" t="s">
        <v>298</v>
      </c>
      <c r="AB5" s="94"/>
      <c r="AC5" s="94"/>
      <c r="AD5" s="94"/>
      <c r="AE5" s="101" t="str">
        <f t="shared" si="1"/>
        <v/>
      </c>
      <c r="AF5" s="94"/>
      <c r="AG5" s="94" t="s">
        <v>265</v>
      </c>
      <c r="AI5" s="70">
        <v>1</v>
      </c>
      <c r="AJ5" s="70" t="s">
        <v>236</v>
      </c>
      <c r="AK5" s="103">
        <f>0.15*0.77*0.5*16/12*0.9*21*1000</f>
        <v>1455.3</v>
      </c>
      <c r="AM5" s="101">
        <f t="shared" si="2"/>
        <v>1.5</v>
      </c>
      <c r="AN5" s="70" t="s">
        <v>266</v>
      </c>
    </row>
    <row r="6" spans="1:40" x14ac:dyDescent="0.25">
      <c r="A6" s="70">
        <v>3</v>
      </c>
      <c r="B6" s="94">
        <v>1</v>
      </c>
      <c r="C6" s="94" t="str">
        <f t="shared" si="4"/>
        <v>1_3</v>
      </c>
      <c r="D6" s="107" t="s">
        <v>8</v>
      </c>
      <c r="E6" s="105">
        <v>0.75600000000000001</v>
      </c>
      <c r="F6" s="99"/>
      <c r="G6" s="94">
        <v>3</v>
      </c>
      <c r="H6" s="94">
        <v>1</v>
      </c>
      <c r="I6" s="94" t="str">
        <f t="shared" si="3"/>
        <v>1_3</v>
      </c>
      <c r="J6" s="107" t="s">
        <v>8</v>
      </c>
      <c r="K6" s="105">
        <v>53.4</v>
      </c>
      <c r="L6" s="105" t="s">
        <v>122</v>
      </c>
      <c r="M6" s="105"/>
      <c r="N6" s="94"/>
      <c r="O6" s="99"/>
      <c r="Q6" s="94">
        <v>1</v>
      </c>
      <c r="R6" s="101" t="s">
        <v>40</v>
      </c>
      <c r="S6" s="126">
        <f>34.2*84.6</f>
        <v>2893.32</v>
      </c>
      <c r="T6" s="126"/>
      <c r="U6" s="101" t="s">
        <v>122</v>
      </c>
      <c r="V6" s="101">
        <f t="shared" si="0"/>
        <v>2.9</v>
      </c>
      <c r="W6" s="144"/>
      <c r="X6" s="106"/>
      <c r="Z6" s="108">
        <v>10</v>
      </c>
      <c r="AA6" s="94" t="s">
        <v>297</v>
      </c>
      <c r="AB6" s="94"/>
      <c r="AC6" s="94"/>
      <c r="AD6" s="94"/>
      <c r="AE6" s="101" t="str">
        <f t="shared" si="1"/>
        <v/>
      </c>
      <c r="AF6" s="94"/>
      <c r="AG6" s="108" t="s">
        <v>122</v>
      </c>
      <c r="AI6" s="70">
        <v>1</v>
      </c>
      <c r="AJ6" s="70" t="s">
        <v>235</v>
      </c>
      <c r="AK6" s="103">
        <f>0.17*0.55*0.5*16/12*0.9*21*1000</f>
        <v>1178.1000000000001</v>
      </c>
      <c r="AM6" s="101">
        <f t="shared" si="2"/>
        <v>1.2</v>
      </c>
      <c r="AN6" s="70" t="s">
        <v>266</v>
      </c>
    </row>
    <row r="7" spans="1:40" x14ac:dyDescent="0.25">
      <c r="A7" s="70">
        <v>4</v>
      </c>
      <c r="B7" s="94">
        <v>1</v>
      </c>
      <c r="C7" s="94" t="str">
        <f t="shared" si="4"/>
        <v>1_4</v>
      </c>
      <c r="D7" s="107" t="s">
        <v>4</v>
      </c>
      <c r="E7" s="105">
        <v>1.04</v>
      </c>
      <c r="F7" s="99"/>
      <c r="G7" s="94">
        <v>4</v>
      </c>
      <c r="H7" s="108">
        <v>1</v>
      </c>
      <c r="I7" s="94" t="str">
        <f t="shared" si="3"/>
        <v>1_4</v>
      </c>
      <c r="J7" s="107" t="s">
        <v>4</v>
      </c>
      <c r="K7" s="105">
        <v>74.400000000000006</v>
      </c>
      <c r="L7" s="105" t="s">
        <v>122</v>
      </c>
      <c r="M7" s="105"/>
      <c r="N7" s="94"/>
      <c r="O7" s="99"/>
      <c r="Q7" s="94">
        <v>1</v>
      </c>
      <c r="R7" s="101" t="s">
        <v>48</v>
      </c>
      <c r="S7" s="125">
        <f>33.1*81.5</f>
        <v>2697.65</v>
      </c>
      <c r="T7" s="125"/>
      <c r="U7" s="101" t="s">
        <v>122</v>
      </c>
      <c r="V7" s="101">
        <f t="shared" si="0"/>
        <v>2.7</v>
      </c>
      <c r="W7" s="143"/>
      <c r="X7" s="99"/>
      <c r="Z7" s="94">
        <v>2</v>
      </c>
      <c r="AA7" s="94" t="s">
        <v>50</v>
      </c>
      <c r="AB7" s="94">
        <f>39.6*69.7</f>
        <v>2760.1200000000003</v>
      </c>
      <c r="AC7" s="94"/>
      <c r="AD7" s="94" t="s">
        <v>339</v>
      </c>
      <c r="AE7" s="101">
        <f t="shared" si="1"/>
        <v>2.8</v>
      </c>
      <c r="AF7" s="94"/>
      <c r="AG7" s="108" t="s">
        <v>338</v>
      </c>
      <c r="AI7" s="70">
        <v>1</v>
      </c>
      <c r="AJ7" s="70" t="s">
        <v>234</v>
      </c>
      <c r="AK7" s="103">
        <f>0.05*0.77*0.5*16/12*21*0.9*1000</f>
        <v>485.10000000000014</v>
      </c>
      <c r="AM7" s="101">
        <f t="shared" si="2"/>
        <v>0.49</v>
      </c>
      <c r="AN7" s="70" t="s">
        <v>266</v>
      </c>
    </row>
    <row r="8" spans="1:40" x14ac:dyDescent="0.25">
      <c r="A8" s="70">
        <v>5</v>
      </c>
      <c r="B8" s="94">
        <v>1</v>
      </c>
      <c r="C8" s="94" t="str">
        <f t="shared" si="4"/>
        <v>1_5</v>
      </c>
      <c r="D8" s="107" t="s">
        <v>5</v>
      </c>
      <c r="E8" s="105">
        <v>1.109</v>
      </c>
      <c r="F8" s="99"/>
      <c r="G8" s="94">
        <v>5</v>
      </c>
      <c r="H8" s="108">
        <v>1</v>
      </c>
      <c r="I8" s="94" t="str">
        <f t="shared" si="3"/>
        <v>1_5</v>
      </c>
      <c r="J8" s="107" t="s">
        <v>5</v>
      </c>
      <c r="K8" s="105">
        <v>74.2</v>
      </c>
      <c r="L8" s="105" t="s">
        <v>122</v>
      </c>
      <c r="M8" s="105"/>
      <c r="N8" s="94"/>
      <c r="O8" s="99"/>
      <c r="Q8" s="108">
        <v>1</v>
      </c>
      <c r="R8" s="94" t="s">
        <v>126</v>
      </c>
      <c r="S8" s="128">
        <f>36.8*82.4</f>
        <v>3032.32</v>
      </c>
      <c r="T8" s="128"/>
      <c r="U8" s="94" t="s">
        <v>122</v>
      </c>
      <c r="V8" s="133">
        <f t="shared" si="0"/>
        <v>3</v>
      </c>
      <c r="W8" s="94"/>
      <c r="Z8" s="94">
        <v>2</v>
      </c>
      <c r="AA8" s="94" t="s">
        <v>63</v>
      </c>
      <c r="AB8" s="94">
        <f>49.6*59.4</f>
        <v>2946.2400000000002</v>
      </c>
      <c r="AC8" s="94"/>
      <c r="AD8" s="94" t="s">
        <v>339</v>
      </c>
      <c r="AE8" s="101">
        <f t="shared" si="1"/>
        <v>2.9</v>
      </c>
      <c r="AF8" s="94"/>
      <c r="AG8" s="94" t="s">
        <v>351</v>
      </c>
      <c r="AI8" s="70">
        <v>1</v>
      </c>
      <c r="AJ8" s="70" t="s">
        <v>233</v>
      </c>
      <c r="AK8" s="103">
        <f>0.4*0.55*0.5*16/12*21*0.9*1000</f>
        <v>2772.0000000000009</v>
      </c>
      <c r="AM8" s="101">
        <f t="shared" si="2"/>
        <v>2.8</v>
      </c>
      <c r="AN8" s="70" t="s">
        <v>266</v>
      </c>
    </row>
    <row r="9" spans="1:40" x14ac:dyDescent="0.25">
      <c r="A9" s="70">
        <v>6</v>
      </c>
      <c r="B9" s="94">
        <v>1</v>
      </c>
      <c r="C9" s="94" t="str">
        <f t="shared" si="4"/>
        <v>1_6</v>
      </c>
      <c r="D9" s="107" t="s">
        <v>7</v>
      </c>
      <c r="E9" s="105">
        <v>2E-3</v>
      </c>
      <c r="F9" s="99"/>
      <c r="G9" s="94">
        <v>6</v>
      </c>
      <c r="H9" s="108">
        <v>1</v>
      </c>
      <c r="I9" s="94" t="str">
        <f t="shared" si="3"/>
        <v>1_6</v>
      </c>
      <c r="J9" s="107" t="s">
        <v>7</v>
      </c>
      <c r="K9" s="94" t="s">
        <v>299</v>
      </c>
      <c r="L9" s="105" t="s">
        <v>122</v>
      </c>
      <c r="M9" s="105"/>
      <c r="N9" s="94" t="s">
        <v>299</v>
      </c>
      <c r="O9" s="99"/>
      <c r="Q9" s="108">
        <v>1</v>
      </c>
      <c r="R9" s="94" t="s">
        <v>127</v>
      </c>
      <c r="S9" s="128">
        <f>40.8*86.3</f>
        <v>3521.0399999999995</v>
      </c>
      <c r="T9" s="128"/>
      <c r="U9" s="94" t="s">
        <v>122</v>
      </c>
      <c r="V9" s="101">
        <f t="shared" si="0"/>
        <v>3.5</v>
      </c>
      <c r="W9" s="94"/>
      <c r="Z9" s="94">
        <v>3</v>
      </c>
      <c r="AA9" s="94" t="s">
        <v>132</v>
      </c>
      <c r="AB9" s="94">
        <f>39.6*74.9</f>
        <v>2966.0400000000004</v>
      </c>
      <c r="AC9" s="94"/>
      <c r="AD9" s="94" t="s">
        <v>122</v>
      </c>
      <c r="AE9" s="133">
        <f t="shared" si="1"/>
        <v>3</v>
      </c>
      <c r="AF9" s="94"/>
      <c r="AG9" s="94"/>
      <c r="AI9" s="70">
        <v>1</v>
      </c>
      <c r="AJ9" s="70" t="s">
        <v>232</v>
      </c>
      <c r="AK9" s="103">
        <f>0.4*0.77*0.5*16/12*21*0.9*1000</f>
        <v>3880.8000000000011</v>
      </c>
      <c r="AM9" s="101">
        <f t="shared" si="2"/>
        <v>3.9</v>
      </c>
      <c r="AN9" s="70" t="s">
        <v>266</v>
      </c>
    </row>
    <row r="10" spans="1:40" x14ac:dyDescent="0.25">
      <c r="A10" s="70">
        <v>7</v>
      </c>
      <c r="B10" s="94">
        <v>1</v>
      </c>
      <c r="C10" s="94" t="str">
        <f t="shared" si="4"/>
        <v>1_7</v>
      </c>
      <c r="D10" s="107" t="s">
        <v>3</v>
      </c>
      <c r="E10" s="105">
        <v>1.4670000000000001</v>
      </c>
      <c r="F10" s="99"/>
      <c r="G10" s="94">
        <v>7</v>
      </c>
      <c r="H10" s="108">
        <v>1</v>
      </c>
      <c r="I10" s="94" t="str">
        <f t="shared" si="3"/>
        <v>1_7</v>
      </c>
      <c r="J10" s="107" t="s">
        <v>3</v>
      </c>
      <c r="K10" s="105">
        <v>63.9</v>
      </c>
      <c r="L10" s="105" t="s">
        <v>122</v>
      </c>
      <c r="M10" s="105"/>
      <c r="N10" s="94"/>
      <c r="O10" s="99"/>
      <c r="Q10" s="108">
        <v>1</v>
      </c>
      <c r="R10" s="94" t="s">
        <v>128</v>
      </c>
      <c r="S10" s="128">
        <f>39.6*82.4</f>
        <v>3263.0400000000004</v>
      </c>
      <c r="T10" s="128"/>
      <c r="U10" s="94" t="s">
        <v>122</v>
      </c>
      <c r="V10" s="101">
        <f t="shared" si="0"/>
        <v>3.3</v>
      </c>
      <c r="W10" s="94"/>
      <c r="Z10" s="94">
        <v>3</v>
      </c>
      <c r="AA10" s="94" t="s">
        <v>133</v>
      </c>
      <c r="AB10" s="94">
        <f>49.6*64.7</f>
        <v>3209.1200000000003</v>
      </c>
      <c r="AC10" s="94"/>
      <c r="AD10" s="94" t="s">
        <v>122</v>
      </c>
      <c r="AE10" s="101">
        <f t="shared" si="1"/>
        <v>3.2</v>
      </c>
      <c r="AF10" s="94"/>
      <c r="AG10" s="108" t="s">
        <v>122</v>
      </c>
      <c r="AI10" s="70">
        <v>1</v>
      </c>
      <c r="AJ10" s="70" t="s">
        <v>231</v>
      </c>
      <c r="AK10" s="103">
        <f>0.3*0.55*0.5*16/12*21*0.9*1000</f>
        <v>2079</v>
      </c>
      <c r="AM10" s="101">
        <f t="shared" si="2"/>
        <v>2.1</v>
      </c>
      <c r="AN10" s="70" t="s">
        <v>266</v>
      </c>
    </row>
    <row r="11" spans="1:40" x14ac:dyDescent="0.25">
      <c r="A11" s="70">
        <v>8</v>
      </c>
      <c r="B11" s="94">
        <v>1</v>
      </c>
      <c r="C11" s="94" t="str">
        <f t="shared" si="4"/>
        <v>1_8</v>
      </c>
      <c r="D11" s="107" t="s">
        <v>6</v>
      </c>
      <c r="E11" s="105">
        <v>1.032</v>
      </c>
      <c r="F11" s="99"/>
      <c r="G11" s="94">
        <v>8</v>
      </c>
      <c r="H11" s="108">
        <v>1</v>
      </c>
      <c r="I11" s="94" t="str">
        <f t="shared" si="3"/>
        <v>1_8</v>
      </c>
      <c r="J11" s="107" t="s">
        <v>6</v>
      </c>
      <c r="K11" s="105">
        <v>60.2</v>
      </c>
      <c r="L11" s="105" t="s">
        <v>122</v>
      </c>
      <c r="M11" s="105"/>
      <c r="N11" s="94"/>
      <c r="O11" s="99" t="s">
        <v>396</v>
      </c>
      <c r="Q11" s="108">
        <v>1</v>
      </c>
      <c r="R11" s="94" t="s">
        <v>129</v>
      </c>
      <c r="S11" s="128">
        <f>25.7*72.5</f>
        <v>1863.25</v>
      </c>
      <c r="T11" s="128"/>
      <c r="U11" s="94" t="s">
        <v>122</v>
      </c>
      <c r="V11" s="101">
        <f t="shared" si="0"/>
        <v>1.9</v>
      </c>
      <c r="W11" s="94"/>
      <c r="Z11" s="94">
        <v>4</v>
      </c>
      <c r="AA11" s="94" t="s">
        <v>134</v>
      </c>
      <c r="AB11" s="94" t="s">
        <v>302</v>
      </c>
      <c r="AC11" s="94"/>
      <c r="AD11" s="108"/>
      <c r="AE11" s="101" t="str">
        <f t="shared" si="1"/>
        <v/>
      </c>
      <c r="AF11" s="94"/>
      <c r="AG11" s="94"/>
      <c r="AI11" s="70">
        <v>10</v>
      </c>
      <c r="AJ11" s="70" t="s">
        <v>288</v>
      </c>
      <c r="AL11" s="70">
        <v>1040</v>
      </c>
      <c r="AM11" s="134">
        <f>AL11/1000</f>
        <v>1.04</v>
      </c>
    </row>
    <row r="12" spans="1:40" x14ac:dyDescent="0.25">
      <c r="A12" s="70">
        <v>1</v>
      </c>
      <c r="B12" s="94">
        <v>2</v>
      </c>
      <c r="C12" s="94" t="str">
        <f t="shared" si="4"/>
        <v>2_1</v>
      </c>
      <c r="D12" s="104" t="s">
        <v>1</v>
      </c>
      <c r="E12" s="110">
        <v>1.012</v>
      </c>
      <c r="G12" s="94">
        <v>1</v>
      </c>
      <c r="H12" s="108">
        <v>2</v>
      </c>
      <c r="I12" s="94" t="str">
        <f t="shared" si="3"/>
        <v>2_1</v>
      </c>
      <c r="J12" s="104" t="s">
        <v>1</v>
      </c>
      <c r="K12" s="110">
        <v>51.7</v>
      </c>
      <c r="L12" s="105" t="s">
        <v>339</v>
      </c>
      <c r="M12" s="105"/>
      <c r="N12" s="94"/>
      <c r="O12" s="110">
        <v>71.900000000000006</v>
      </c>
      <c r="Q12" s="108">
        <v>1</v>
      </c>
      <c r="R12" s="94" t="s">
        <v>130</v>
      </c>
      <c r="S12" s="128" t="s">
        <v>302</v>
      </c>
      <c r="T12" s="128"/>
      <c r="U12" s="94"/>
      <c r="V12" s="101" t="str">
        <f>noerror(ROUND(S12,-ROUNDDOWN(LOG(S12)-1,0))/1000,S12)</f>
        <v>not available</v>
      </c>
      <c r="W12" s="94" t="s">
        <v>125</v>
      </c>
      <c r="Z12" s="94">
        <v>4</v>
      </c>
      <c r="AA12" s="94" t="s">
        <v>135</v>
      </c>
      <c r="AB12" s="94">
        <f>49.6*59.4</f>
        <v>2946.2400000000002</v>
      </c>
      <c r="AC12" s="94"/>
      <c r="AD12" s="108" t="s">
        <v>339</v>
      </c>
      <c r="AE12" s="101">
        <f t="shared" si="1"/>
        <v>2.9</v>
      </c>
      <c r="AF12" s="94"/>
      <c r="AG12" s="94" t="s">
        <v>350</v>
      </c>
      <c r="AH12" s="102"/>
      <c r="AI12" s="70">
        <v>10</v>
      </c>
      <c r="AJ12" s="70" t="s">
        <v>289</v>
      </c>
      <c r="AM12" s="101" t="str">
        <f>noerror(ROUND(AL12,-ROUNDDOWN(LOG(AL12)-1,0))/1000)</f>
        <v/>
      </c>
      <c r="AN12" s="70" t="s">
        <v>193</v>
      </c>
    </row>
    <row r="13" spans="1:40" x14ac:dyDescent="0.25">
      <c r="A13" s="70">
        <v>2</v>
      </c>
      <c r="B13" s="94">
        <v>2</v>
      </c>
      <c r="C13" s="94" t="str">
        <f t="shared" si="4"/>
        <v>2_2</v>
      </c>
      <c r="D13" s="107" t="s">
        <v>2</v>
      </c>
      <c r="E13" s="110">
        <v>1.012</v>
      </c>
      <c r="G13" s="94">
        <v>2</v>
      </c>
      <c r="H13" s="108">
        <v>2</v>
      </c>
      <c r="I13" s="94" t="str">
        <f t="shared" si="3"/>
        <v>2_2</v>
      </c>
      <c r="J13" s="107" t="s">
        <v>2</v>
      </c>
      <c r="K13" s="110">
        <v>51.7</v>
      </c>
      <c r="L13" s="105" t="s">
        <v>339</v>
      </c>
      <c r="M13" s="105"/>
      <c r="N13" s="94"/>
      <c r="O13" s="110">
        <v>71.900000000000006</v>
      </c>
      <c r="Q13" s="108">
        <v>1</v>
      </c>
      <c r="R13" s="94" t="s">
        <v>131</v>
      </c>
      <c r="S13" s="128">
        <f>39.5*59.7</f>
        <v>2358.15</v>
      </c>
      <c r="T13" s="128"/>
      <c r="U13" s="94" t="s">
        <v>122</v>
      </c>
      <c r="V13" s="101">
        <f t="shared" si="0"/>
        <v>2.4</v>
      </c>
      <c r="W13" s="94" t="s">
        <v>125</v>
      </c>
      <c r="Z13" s="108">
        <v>5</v>
      </c>
      <c r="AA13" s="94" t="s">
        <v>136</v>
      </c>
      <c r="AB13" s="94">
        <f>39.6*69.7</f>
        <v>2760.1200000000003</v>
      </c>
      <c r="AC13" s="94"/>
      <c r="AD13" s="108" t="s">
        <v>339</v>
      </c>
      <c r="AE13" s="101">
        <f t="shared" si="1"/>
        <v>2.8</v>
      </c>
      <c r="AF13" s="94"/>
      <c r="AG13" s="94"/>
      <c r="AI13" s="70">
        <v>10</v>
      </c>
      <c r="AJ13" s="70" t="s">
        <v>290</v>
      </c>
      <c r="AL13" s="70">
        <v>1040</v>
      </c>
      <c r="AM13" s="134">
        <f>AL13/1000</f>
        <v>1.04</v>
      </c>
      <c r="AN13" s="111" t="s">
        <v>222</v>
      </c>
    </row>
    <row r="14" spans="1:40" x14ac:dyDescent="0.25">
      <c r="A14" s="70">
        <v>3</v>
      </c>
      <c r="B14" s="94">
        <v>2</v>
      </c>
      <c r="C14" s="94" t="str">
        <f t="shared" si="4"/>
        <v>2_3</v>
      </c>
      <c r="D14" s="107" t="s">
        <v>8</v>
      </c>
      <c r="E14" s="110">
        <v>0.65400000000000003</v>
      </c>
      <c r="G14" s="94">
        <v>3</v>
      </c>
      <c r="H14" s="108">
        <v>2</v>
      </c>
      <c r="I14" s="94" t="str">
        <f t="shared" si="3"/>
        <v>2_3</v>
      </c>
      <c r="J14" s="107" t="s">
        <v>8</v>
      </c>
      <c r="K14" s="110">
        <v>51.8</v>
      </c>
      <c r="L14" s="105" t="s">
        <v>339</v>
      </c>
      <c r="M14" s="105"/>
      <c r="N14" s="94"/>
      <c r="O14" s="110">
        <v>53.4</v>
      </c>
      <c r="Q14" s="108">
        <v>10</v>
      </c>
      <c r="R14" s="101" t="s">
        <v>277</v>
      </c>
      <c r="S14" s="128" t="s">
        <v>302</v>
      </c>
      <c r="T14" s="128"/>
      <c r="U14" s="101"/>
      <c r="V14" s="101" t="str">
        <f>noerror(ROUND(S14,-ROUNDDOWN(LOG(S14)-1,0))/1000,S14)</f>
        <v>not available</v>
      </c>
      <c r="W14" s="94"/>
      <c r="X14" s="106"/>
      <c r="Z14" s="108">
        <v>5</v>
      </c>
      <c r="AA14" s="94" t="s">
        <v>137</v>
      </c>
      <c r="AB14" s="94">
        <f>49.6*64.7</f>
        <v>3209.1200000000003</v>
      </c>
      <c r="AC14" s="94"/>
      <c r="AD14" s="108" t="s">
        <v>122</v>
      </c>
      <c r="AE14" s="101">
        <f t="shared" si="1"/>
        <v>3.2</v>
      </c>
      <c r="AF14" s="94"/>
      <c r="AG14" s="94"/>
      <c r="AI14" s="70">
        <v>10</v>
      </c>
      <c r="AJ14" s="70" t="s">
        <v>291</v>
      </c>
      <c r="AM14" s="101" t="str">
        <f>noerror(ROUND(AL14,-ROUNDDOWN(LOG(AL14)-1,0))/1000)</f>
        <v/>
      </c>
      <c r="AN14" s="70" t="s">
        <v>193</v>
      </c>
    </row>
    <row r="15" spans="1:40" x14ac:dyDescent="0.25">
      <c r="A15" s="70">
        <v>4</v>
      </c>
      <c r="B15" s="94">
        <v>2</v>
      </c>
      <c r="C15" s="94" t="str">
        <f t="shared" si="4"/>
        <v>2_4</v>
      </c>
      <c r="D15" s="107" t="s">
        <v>4</v>
      </c>
      <c r="E15" s="110">
        <v>1.079</v>
      </c>
      <c r="G15" s="94">
        <v>4</v>
      </c>
      <c r="H15" s="108">
        <v>2</v>
      </c>
      <c r="I15" s="94" t="str">
        <f t="shared" si="3"/>
        <v>2_4</v>
      </c>
      <c r="J15" s="107" t="s">
        <v>4</v>
      </c>
      <c r="K15" s="110">
        <v>53.1</v>
      </c>
      <c r="L15" s="105" t="s">
        <v>339</v>
      </c>
      <c r="M15" s="105"/>
      <c r="N15" s="94"/>
      <c r="O15" s="110">
        <v>74.8</v>
      </c>
      <c r="Q15" s="108">
        <v>10</v>
      </c>
      <c r="R15" s="101" t="s">
        <v>278</v>
      </c>
      <c r="S15" s="128" t="s">
        <v>302</v>
      </c>
      <c r="T15" s="128"/>
      <c r="U15" s="101"/>
      <c r="V15" s="101" t="str">
        <f>noerror(ROUND(S15,-ROUNDDOWN(LOG(S15)-1,0))/1000,S15)</f>
        <v>not available</v>
      </c>
      <c r="W15" s="94"/>
      <c r="X15" s="99"/>
      <c r="Z15" s="108">
        <v>6</v>
      </c>
      <c r="AA15" s="94" t="s">
        <v>182</v>
      </c>
      <c r="AB15" s="94"/>
      <c r="AC15" s="94"/>
      <c r="AD15" s="94"/>
      <c r="AE15" s="101" t="str">
        <f>noerror(ROUND(AC15,-ROUNDDOWN(LOG(AC15)-1,0))/1000)</f>
        <v/>
      </c>
      <c r="AF15" s="94"/>
      <c r="AG15" s="94"/>
      <c r="AI15" s="70">
        <v>10</v>
      </c>
      <c r="AJ15" s="70" t="s">
        <v>292</v>
      </c>
      <c r="AM15" s="101" t="str">
        <f>noerror(ROUND(AL15,-ROUNDDOWN(LOG(AL15)-1,0))/1000)</f>
        <v/>
      </c>
      <c r="AN15" s="70" t="s">
        <v>193</v>
      </c>
    </row>
    <row r="16" spans="1:40" ht="13.8" x14ac:dyDescent="0.25">
      <c r="A16" s="70">
        <v>5</v>
      </c>
      <c r="B16" s="94">
        <v>2</v>
      </c>
      <c r="C16" s="94" t="str">
        <f t="shared" si="4"/>
        <v>2_5</v>
      </c>
      <c r="D16" s="107" t="s">
        <v>5</v>
      </c>
      <c r="E16" s="110">
        <v>1.1859999999999999</v>
      </c>
      <c r="G16" s="94">
        <v>5</v>
      </c>
      <c r="H16" s="108">
        <v>2</v>
      </c>
      <c r="I16" s="94" t="str">
        <f t="shared" si="3"/>
        <v>2_5</v>
      </c>
      <c r="J16" s="107" t="s">
        <v>5</v>
      </c>
      <c r="K16" s="110">
        <v>51.7</v>
      </c>
      <c r="L16" s="105" t="s">
        <v>339</v>
      </c>
      <c r="M16" s="105"/>
      <c r="N16" s="94"/>
      <c r="O16" s="110">
        <v>74.400000000000006</v>
      </c>
      <c r="Q16" s="108">
        <v>10</v>
      </c>
      <c r="R16" s="101" t="s">
        <v>279</v>
      </c>
      <c r="S16" s="127">
        <v>2690</v>
      </c>
      <c r="T16" s="127"/>
      <c r="U16" s="101" t="s">
        <v>339</v>
      </c>
      <c r="V16" s="101">
        <f t="shared" si="0"/>
        <v>2.7</v>
      </c>
      <c r="W16" s="94"/>
      <c r="X16" s="106"/>
      <c r="Z16" s="108">
        <v>6</v>
      </c>
      <c r="AA16" s="94" t="s">
        <v>183</v>
      </c>
      <c r="AB16" s="94"/>
      <c r="AC16" s="94">
        <v>2946</v>
      </c>
      <c r="AD16" s="94" t="s">
        <v>265</v>
      </c>
      <c r="AE16" s="101">
        <f>AC16/1000</f>
        <v>2.9460000000000002</v>
      </c>
      <c r="AF16" s="94"/>
      <c r="AG16" s="94"/>
      <c r="AI16" s="70">
        <v>10</v>
      </c>
      <c r="AJ16" s="70" t="s">
        <v>293</v>
      </c>
      <c r="AL16" s="70">
        <v>2775</v>
      </c>
      <c r="AM16" s="101">
        <f>AL16/1000</f>
        <v>2.7749999999999999</v>
      </c>
      <c r="AN16" s="70" t="s">
        <v>296</v>
      </c>
    </row>
    <row r="17" spans="1:40" ht="13.8" x14ac:dyDescent="0.25">
      <c r="A17" s="70">
        <v>6</v>
      </c>
      <c r="B17" s="94">
        <v>2</v>
      </c>
      <c r="C17" s="94" t="str">
        <f t="shared" si="4"/>
        <v>2_6</v>
      </c>
      <c r="D17" s="107" t="s">
        <v>7</v>
      </c>
      <c r="E17" s="110">
        <v>2E-3</v>
      </c>
      <c r="G17" s="94">
        <v>6</v>
      </c>
      <c r="H17" s="108">
        <v>2</v>
      </c>
      <c r="I17" s="94" t="str">
        <f t="shared" si="3"/>
        <v>2_6</v>
      </c>
      <c r="J17" s="107" t="s">
        <v>7</v>
      </c>
      <c r="K17" s="94" t="s">
        <v>299</v>
      </c>
      <c r="L17" s="105" t="s">
        <v>339</v>
      </c>
      <c r="M17" s="105"/>
      <c r="N17" s="94" t="s">
        <v>299</v>
      </c>
      <c r="O17" s="94" t="s">
        <v>299</v>
      </c>
      <c r="Q17" s="108">
        <v>10</v>
      </c>
      <c r="R17" s="104" t="s">
        <v>280</v>
      </c>
      <c r="S17" s="127">
        <v>2250.8000000000002</v>
      </c>
      <c r="T17" s="127"/>
      <c r="U17" s="101" t="s">
        <v>339</v>
      </c>
      <c r="V17" s="101">
        <f t="shared" si="0"/>
        <v>2.2999999999999998</v>
      </c>
      <c r="W17" s="94"/>
      <c r="X17" s="99"/>
      <c r="Z17" s="108">
        <v>7</v>
      </c>
      <c r="AA17" s="94" t="s">
        <v>180</v>
      </c>
      <c r="AB17" s="94"/>
      <c r="AC17" s="94"/>
      <c r="AD17" s="94"/>
      <c r="AE17" s="101" t="str">
        <f>noerror(ROUND(AC17,-ROUNDDOWN(LOG(AC17)-1,0))/1000)</f>
        <v/>
      </c>
      <c r="AF17" s="94"/>
      <c r="AG17" s="94"/>
      <c r="AI17" s="70">
        <v>10</v>
      </c>
      <c r="AJ17" s="70" t="s">
        <v>294</v>
      </c>
      <c r="AL17" s="70">
        <v>2775</v>
      </c>
      <c r="AM17" s="101">
        <f>AL17/1000</f>
        <v>2.7749999999999999</v>
      </c>
      <c r="AN17" s="70" t="s">
        <v>296</v>
      </c>
    </row>
    <row r="18" spans="1:40" ht="13.8" x14ac:dyDescent="0.25">
      <c r="A18" s="70">
        <v>7</v>
      </c>
      <c r="B18" s="94">
        <v>2</v>
      </c>
      <c r="C18" s="94" t="str">
        <f t="shared" si="4"/>
        <v>2_7</v>
      </c>
      <c r="D18" s="107" t="s">
        <v>3</v>
      </c>
      <c r="E18" s="110">
        <v>1.444</v>
      </c>
      <c r="G18" s="94">
        <v>7</v>
      </c>
      <c r="H18" s="108">
        <v>2</v>
      </c>
      <c r="I18" s="94" t="str">
        <f t="shared" si="3"/>
        <v>2_7</v>
      </c>
      <c r="J18" s="107" t="s">
        <v>3</v>
      </c>
      <c r="K18" s="110">
        <v>51.7</v>
      </c>
      <c r="L18" s="105" t="s">
        <v>339</v>
      </c>
      <c r="M18" s="105"/>
      <c r="N18" s="94"/>
      <c r="O18" s="110">
        <v>64.2</v>
      </c>
      <c r="Q18" s="108">
        <v>10</v>
      </c>
      <c r="R18" s="108" t="s">
        <v>281</v>
      </c>
      <c r="S18" s="127">
        <v>2565</v>
      </c>
      <c r="T18" s="127"/>
      <c r="U18" s="101" t="s">
        <v>339</v>
      </c>
      <c r="V18" s="101">
        <f t="shared" si="0"/>
        <v>2.6</v>
      </c>
      <c r="W18" s="94"/>
      <c r="X18" s="106"/>
      <c r="Z18" s="108">
        <v>7</v>
      </c>
      <c r="AA18" s="94" t="s">
        <v>181</v>
      </c>
      <c r="AB18" s="94"/>
      <c r="AC18" s="94"/>
      <c r="AD18" s="94"/>
      <c r="AE18" s="101" t="str">
        <f>noerror(ROUND(AC18,-ROUNDDOWN(LOG(AC18)-1,0))/1000)</f>
        <v/>
      </c>
      <c r="AF18" s="94"/>
      <c r="AG18" s="94"/>
      <c r="AI18" s="70">
        <v>10</v>
      </c>
      <c r="AJ18" s="70" t="s">
        <v>295</v>
      </c>
      <c r="AL18" s="70">
        <v>2080</v>
      </c>
      <c r="AM18" s="101">
        <f>AL18/1000</f>
        <v>2.08</v>
      </c>
    </row>
    <row r="19" spans="1:40" x14ac:dyDescent="0.25">
      <c r="A19" s="70">
        <v>8</v>
      </c>
      <c r="B19" s="94">
        <v>2</v>
      </c>
      <c r="C19" s="94" t="str">
        <f t="shared" si="4"/>
        <v>2_8</v>
      </c>
      <c r="D19" s="107" t="s">
        <v>6</v>
      </c>
      <c r="E19" s="110">
        <v>1.1140000000000001</v>
      </c>
      <c r="G19" s="94">
        <v>8</v>
      </c>
      <c r="H19" s="108">
        <v>2</v>
      </c>
      <c r="I19" s="94" t="str">
        <f t="shared" si="3"/>
        <v>2_8</v>
      </c>
      <c r="J19" s="107" t="s">
        <v>6</v>
      </c>
      <c r="K19" s="110">
        <v>53.2</v>
      </c>
      <c r="L19" s="105" t="s">
        <v>339</v>
      </c>
      <c r="M19" s="105"/>
      <c r="N19" s="94"/>
      <c r="O19" s="110">
        <v>62.7</v>
      </c>
      <c r="Q19" s="108">
        <v>10</v>
      </c>
      <c r="R19" s="94" t="s">
        <v>282</v>
      </c>
      <c r="S19" s="128" t="s">
        <v>302</v>
      </c>
      <c r="T19" s="128"/>
      <c r="U19" s="94"/>
      <c r="V19" s="101" t="str">
        <f>noerror(ROUND(S19,-ROUNDDOWN(LOG(S19)-1,0))/1000,S19)</f>
        <v>not available</v>
      </c>
      <c r="W19" s="94"/>
      <c r="X19" s="99"/>
      <c r="Z19" s="108">
        <v>8</v>
      </c>
      <c r="AA19" s="94" t="s">
        <v>179</v>
      </c>
      <c r="AB19" s="94"/>
      <c r="AC19" s="94">
        <v>2760</v>
      </c>
      <c r="AD19" s="94" t="s">
        <v>265</v>
      </c>
      <c r="AE19" s="134">
        <f>AC19/1000</f>
        <v>2.76</v>
      </c>
      <c r="AF19" s="94"/>
      <c r="AG19" s="94"/>
      <c r="AI19" s="70">
        <v>2</v>
      </c>
      <c r="AJ19" s="70" t="s">
        <v>240</v>
      </c>
      <c r="AK19" s="103">
        <f>1.2474*1000</f>
        <v>1247.4000000000001</v>
      </c>
      <c r="AM19" s="101">
        <f>noerror(ROUND(AK19,-ROUNDDOWN(LOG(AK19)-1,0))/1000)</f>
        <v>1.2</v>
      </c>
      <c r="AN19" s="70" t="s">
        <v>266</v>
      </c>
    </row>
    <row r="20" spans="1:40" x14ac:dyDescent="0.25">
      <c r="A20" s="70">
        <v>1</v>
      </c>
      <c r="B20" s="94">
        <v>3</v>
      </c>
      <c r="C20" s="94" t="str">
        <f t="shared" si="4"/>
        <v>3_1</v>
      </c>
      <c r="D20" s="94" t="s">
        <v>1</v>
      </c>
      <c r="E20" s="112">
        <v>0.28999999999999998</v>
      </c>
      <c r="G20" s="94">
        <v>1</v>
      </c>
      <c r="H20" s="108">
        <v>3</v>
      </c>
      <c r="I20" s="94" t="str">
        <f t="shared" si="3"/>
        <v>3_1</v>
      </c>
      <c r="J20" s="104" t="s">
        <v>1</v>
      </c>
      <c r="K20" s="113">
        <v>63.2</v>
      </c>
      <c r="L20" s="105" t="s">
        <v>122</v>
      </c>
      <c r="M20" s="105"/>
      <c r="N20" s="94"/>
      <c r="O20" s="99"/>
      <c r="Q20" s="108">
        <v>10</v>
      </c>
      <c r="R20" s="94" t="s">
        <v>283</v>
      </c>
      <c r="S20" s="128" t="s">
        <v>302</v>
      </c>
      <c r="T20" s="128"/>
      <c r="U20" s="94"/>
      <c r="V20" s="101" t="str">
        <f>noerror(ROUND(S20,-ROUNDDOWN(LOG(S20)-1,0))/1000,S20)</f>
        <v>not available</v>
      </c>
      <c r="W20" s="94"/>
      <c r="X20" s="99"/>
      <c r="Z20" s="108">
        <v>8</v>
      </c>
      <c r="AA20" s="94" t="s">
        <v>178</v>
      </c>
      <c r="AB20" s="94"/>
      <c r="AC20" s="94">
        <v>3209.7</v>
      </c>
      <c r="AD20" s="94" t="s">
        <v>265</v>
      </c>
      <c r="AE20" s="101">
        <f>AC20/1000</f>
        <v>3.2096999999999998</v>
      </c>
      <c r="AF20" s="94"/>
      <c r="AG20" s="94"/>
      <c r="AI20" s="70">
        <v>2</v>
      </c>
      <c r="AJ20" s="70" t="s">
        <v>241</v>
      </c>
      <c r="AK20" s="103">
        <v>0</v>
      </c>
      <c r="AM20" s="133">
        <v>0</v>
      </c>
      <c r="AN20" s="70" t="s">
        <v>266</v>
      </c>
    </row>
    <row r="21" spans="1:40" ht="13.8" x14ac:dyDescent="0.25">
      <c r="A21" s="70">
        <v>2</v>
      </c>
      <c r="B21" s="109">
        <v>3</v>
      </c>
      <c r="C21" s="94" t="str">
        <f t="shared" si="4"/>
        <v>3_2</v>
      </c>
      <c r="D21" s="114" t="s">
        <v>2</v>
      </c>
      <c r="E21" s="112">
        <v>0.28999999999999998</v>
      </c>
      <c r="G21" s="94">
        <v>2</v>
      </c>
      <c r="H21" s="108">
        <v>3</v>
      </c>
      <c r="I21" s="94" t="str">
        <f t="shared" si="3"/>
        <v>3_2</v>
      </c>
      <c r="J21" s="107" t="s">
        <v>2</v>
      </c>
      <c r="K21" s="146">
        <v>63.2</v>
      </c>
      <c r="L21" s="105" t="s">
        <v>122</v>
      </c>
      <c r="M21" s="105"/>
      <c r="N21" s="94"/>
      <c r="O21" s="99"/>
      <c r="Q21" s="108">
        <v>10</v>
      </c>
      <c r="R21" s="94" t="s">
        <v>284</v>
      </c>
      <c r="S21" s="127">
        <v>2760</v>
      </c>
      <c r="T21" s="127"/>
      <c r="U21" s="101" t="s">
        <v>339</v>
      </c>
      <c r="V21" s="101">
        <f t="shared" si="0"/>
        <v>2.8</v>
      </c>
      <c r="W21" s="94" t="s">
        <v>207</v>
      </c>
      <c r="Z21" s="108">
        <v>9</v>
      </c>
      <c r="AA21" s="94" t="s">
        <v>263</v>
      </c>
      <c r="AB21" s="94"/>
      <c r="AC21" s="94"/>
      <c r="AD21" s="94"/>
      <c r="AE21" s="101" t="str">
        <f>noerror(ROUND(AC21,-ROUNDDOWN(LOG(AC21)-1,0))/1000)</f>
        <v/>
      </c>
      <c r="AF21" s="94"/>
      <c r="AG21" s="94" t="s">
        <v>265</v>
      </c>
      <c r="AI21" s="70">
        <v>2</v>
      </c>
      <c r="AJ21" s="70" t="s">
        <v>242</v>
      </c>
      <c r="AK21" s="103">
        <f>1000*1.4553</f>
        <v>1455.3</v>
      </c>
      <c r="AM21" s="101">
        <f>noerror(ROUND(AK21,-ROUNDDOWN(LOG(AK21)-1,0))/1000)</f>
        <v>1.5</v>
      </c>
      <c r="AN21" s="70" t="s">
        <v>266</v>
      </c>
    </row>
    <row r="22" spans="1:40" ht="13.8" x14ac:dyDescent="0.25">
      <c r="A22" s="70">
        <v>3</v>
      </c>
      <c r="B22" s="109">
        <v>3</v>
      </c>
      <c r="C22" s="109" t="str">
        <f t="shared" si="4"/>
        <v>3_3</v>
      </c>
      <c r="D22" s="114" t="s">
        <v>8</v>
      </c>
      <c r="E22" s="115">
        <v>0.68</v>
      </c>
      <c r="G22" s="94">
        <v>3</v>
      </c>
      <c r="H22" s="108">
        <v>3</v>
      </c>
      <c r="I22" s="94" t="str">
        <f t="shared" si="3"/>
        <v>3_3</v>
      </c>
      <c r="J22" s="107" t="s">
        <v>8</v>
      </c>
      <c r="K22" s="146">
        <v>54.6</v>
      </c>
      <c r="L22" s="105" t="s">
        <v>122</v>
      </c>
      <c r="M22" s="105"/>
      <c r="N22" s="94"/>
      <c r="O22" s="99"/>
      <c r="Q22" s="108">
        <v>10</v>
      </c>
      <c r="R22" s="94" t="s">
        <v>285</v>
      </c>
      <c r="S22" s="127">
        <v>1526.5</v>
      </c>
      <c r="T22" s="127"/>
      <c r="U22" s="101" t="s">
        <v>339</v>
      </c>
      <c r="V22" s="101">
        <f t="shared" si="0"/>
        <v>1.5</v>
      </c>
      <c r="W22" s="94"/>
      <c r="Z22" s="108">
        <v>9</v>
      </c>
      <c r="AA22" s="94" t="s">
        <v>264</v>
      </c>
      <c r="AB22" s="94"/>
      <c r="AC22" s="94">
        <v>3402</v>
      </c>
      <c r="AD22" s="94" t="s">
        <v>265</v>
      </c>
      <c r="AE22" s="101">
        <f>AC22/1000</f>
        <v>3.4020000000000001</v>
      </c>
      <c r="AF22" s="94"/>
      <c r="AG22" s="94"/>
      <c r="AI22" s="70">
        <v>2</v>
      </c>
      <c r="AJ22" s="70" t="s">
        <v>243</v>
      </c>
      <c r="AK22" s="103">
        <f>1000*1.1781</f>
        <v>1178.0999999999999</v>
      </c>
      <c r="AM22" s="101">
        <f>noerror(ROUND(AK22,-ROUNDDOWN(LOG(AK22)-1,0))/1000)</f>
        <v>1.2</v>
      </c>
      <c r="AN22" s="70" t="s">
        <v>266</v>
      </c>
    </row>
    <row r="23" spans="1:40" x14ac:dyDescent="0.25">
      <c r="A23" s="70">
        <v>4</v>
      </c>
      <c r="B23" s="109">
        <v>3</v>
      </c>
      <c r="C23" s="109" t="str">
        <f t="shared" si="4"/>
        <v>3_4</v>
      </c>
      <c r="D23" s="114" t="s">
        <v>4</v>
      </c>
      <c r="E23" s="115">
        <v>1</v>
      </c>
      <c r="G23" s="94">
        <v>4</v>
      </c>
      <c r="H23" s="108">
        <v>3</v>
      </c>
      <c r="I23" s="94" t="str">
        <f t="shared" si="3"/>
        <v>3_4</v>
      </c>
      <c r="J23" s="107" t="s">
        <v>4</v>
      </c>
      <c r="K23" s="146">
        <v>56.7</v>
      </c>
      <c r="L23" s="105" t="s">
        <v>122</v>
      </c>
      <c r="M23" s="105"/>
      <c r="N23" s="94"/>
      <c r="O23" s="99"/>
      <c r="Q23" s="108">
        <v>10</v>
      </c>
      <c r="R23" s="94" t="s">
        <v>286</v>
      </c>
      <c r="S23" s="128" t="s">
        <v>302</v>
      </c>
      <c r="T23" s="128"/>
      <c r="U23" s="94"/>
      <c r="V23" s="101" t="str">
        <f>noerror(ROUND(S23,-ROUNDDOWN(LOG(S23)-1,0))/1000,S23)</f>
        <v>not available</v>
      </c>
      <c r="W23" s="94"/>
      <c r="Z23" s="94"/>
      <c r="AA23" s="94"/>
      <c r="AB23" s="94"/>
      <c r="AC23" s="94"/>
      <c r="AD23" s="94"/>
      <c r="AE23" s="94"/>
      <c r="AF23" s="94"/>
      <c r="AG23" s="94"/>
      <c r="AI23" s="70">
        <v>2</v>
      </c>
      <c r="AJ23" s="70" t="s">
        <v>244</v>
      </c>
      <c r="AK23" s="103">
        <f>1000*0.4851</f>
        <v>485.09999999999997</v>
      </c>
      <c r="AM23" s="101">
        <f>noerror(ROUND(AK23,-ROUNDDOWN(LOG(AK23)-0,0))/1000)</f>
        <v>0.5</v>
      </c>
      <c r="AN23" s="70" t="s">
        <v>266</v>
      </c>
    </row>
    <row r="24" spans="1:40" ht="13.8" x14ac:dyDescent="0.25">
      <c r="A24" s="70">
        <v>5</v>
      </c>
      <c r="B24" s="109">
        <v>3</v>
      </c>
      <c r="C24" s="109" t="str">
        <f t="shared" si="4"/>
        <v>3_5</v>
      </c>
      <c r="D24" s="114" t="s">
        <v>5</v>
      </c>
      <c r="E24" s="115">
        <v>0.98</v>
      </c>
      <c r="G24" s="94">
        <v>5</v>
      </c>
      <c r="H24" s="108">
        <v>3</v>
      </c>
      <c r="I24" s="94" t="str">
        <f t="shared" si="3"/>
        <v>3_5</v>
      </c>
      <c r="J24" s="107" t="s">
        <v>5</v>
      </c>
      <c r="K24" s="146">
        <v>57.6</v>
      </c>
      <c r="L24" s="105" t="s">
        <v>122</v>
      </c>
      <c r="M24" s="105"/>
      <c r="N24" s="94"/>
      <c r="O24" s="99"/>
      <c r="Q24" s="108">
        <v>10</v>
      </c>
      <c r="R24" s="94" t="s">
        <v>287</v>
      </c>
      <c r="S24" s="127">
        <v>2010</v>
      </c>
      <c r="T24" s="127"/>
      <c r="U24" s="101" t="s">
        <v>339</v>
      </c>
      <c r="V24" s="101">
        <f t="shared" si="0"/>
        <v>2</v>
      </c>
      <c r="W24" s="94"/>
      <c r="Z24" s="94"/>
      <c r="AA24" s="94"/>
      <c r="AB24" s="94"/>
      <c r="AC24" s="94"/>
      <c r="AD24" s="94"/>
      <c r="AE24" s="94"/>
      <c r="AF24" s="94"/>
      <c r="AG24" s="94"/>
      <c r="AI24" s="70">
        <v>2</v>
      </c>
      <c r="AJ24" s="70" t="s">
        <v>245</v>
      </c>
      <c r="AK24" s="103">
        <f>1000*2.772</f>
        <v>2772</v>
      </c>
      <c r="AM24" s="101">
        <f>noerror(ROUND(AK24,-ROUNDDOWN(LOG(AK24)-1,0))/1000)</f>
        <v>2.8</v>
      </c>
      <c r="AN24" s="70" t="s">
        <v>266</v>
      </c>
    </row>
    <row r="25" spans="1:40" x14ac:dyDescent="0.25">
      <c r="A25" s="70">
        <v>6</v>
      </c>
      <c r="B25" s="109">
        <v>3</v>
      </c>
      <c r="C25" s="109" t="str">
        <f t="shared" si="4"/>
        <v>3_6</v>
      </c>
      <c r="D25" s="114" t="s">
        <v>7</v>
      </c>
      <c r="E25" s="115">
        <v>0.06</v>
      </c>
      <c r="G25" s="94">
        <v>6</v>
      </c>
      <c r="H25" s="108">
        <v>3</v>
      </c>
      <c r="I25" s="94" t="str">
        <f t="shared" si="3"/>
        <v>3_6</v>
      </c>
      <c r="J25" s="107" t="s">
        <v>7</v>
      </c>
      <c r="K25" s="94" t="s">
        <v>299</v>
      </c>
      <c r="L25" s="105" t="s">
        <v>122</v>
      </c>
      <c r="M25" s="105"/>
      <c r="N25" s="94" t="s">
        <v>299</v>
      </c>
      <c r="O25" s="99"/>
      <c r="Q25" s="94">
        <v>2</v>
      </c>
      <c r="R25" s="101" t="s">
        <v>45</v>
      </c>
      <c r="S25" s="128">
        <f>38.6*70.4</f>
        <v>2717.4400000000005</v>
      </c>
      <c r="T25" s="128"/>
      <c r="U25" s="101" t="s">
        <v>339</v>
      </c>
      <c r="V25" s="101">
        <f t="shared" si="0"/>
        <v>2.7</v>
      </c>
      <c r="W25" s="145"/>
      <c r="Z25" s="94"/>
      <c r="AA25" s="94"/>
      <c r="AB25" s="94"/>
      <c r="AC25" s="94"/>
      <c r="AD25" s="94"/>
      <c r="AE25" s="94"/>
      <c r="AF25" s="94"/>
      <c r="AG25" s="94"/>
      <c r="AI25" s="70">
        <v>2</v>
      </c>
      <c r="AJ25" s="70" t="s">
        <v>246</v>
      </c>
      <c r="AK25" s="103">
        <f>1000*3.8808</f>
        <v>3880.7999999999997</v>
      </c>
      <c r="AM25" s="101">
        <f>noerror(ROUND(AK25,-ROUNDDOWN(LOG(AK25)-1,0))/1000)</f>
        <v>3.9</v>
      </c>
      <c r="AN25" s="70" t="s">
        <v>266</v>
      </c>
    </row>
    <row r="26" spans="1:40" x14ac:dyDescent="0.25">
      <c r="A26" s="70">
        <v>7</v>
      </c>
      <c r="B26" s="109">
        <v>3</v>
      </c>
      <c r="C26" s="109" t="str">
        <f t="shared" si="4"/>
        <v>3_7</v>
      </c>
      <c r="D26" s="114" t="s">
        <v>3</v>
      </c>
      <c r="E26" s="115">
        <v>1.39</v>
      </c>
      <c r="G26" s="94">
        <v>7</v>
      </c>
      <c r="H26" s="94">
        <v>3</v>
      </c>
      <c r="I26" s="94" t="str">
        <f t="shared" si="3"/>
        <v>3_7</v>
      </c>
      <c r="J26" s="107" t="s">
        <v>3</v>
      </c>
      <c r="K26" s="146">
        <v>59.9</v>
      </c>
      <c r="L26" s="105" t="s">
        <v>122</v>
      </c>
      <c r="M26" s="105"/>
      <c r="N26" s="94"/>
      <c r="O26" s="99"/>
      <c r="Q26" s="94">
        <v>2</v>
      </c>
      <c r="R26" s="101" t="s">
        <v>46</v>
      </c>
      <c r="S26" s="128">
        <f>38.6*70.4</f>
        <v>2717.4400000000005</v>
      </c>
      <c r="T26" s="128"/>
      <c r="U26" s="101" t="s">
        <v>339</v>
      </c>
      <c r="V26" s="101">
        <f t="shared" si="0"/>
        <v>2.7</v>
      </c>
      <c r="W26" s="94"/>
      <c r="Z26" s="94"/>
      <c r="AA26" s="94"/>
      <c r="AB26" s="94"/>
      <c r="AC26" s="94"/>
      <c r="AD26" s="94"/>
      <c r="AE26" s="94"/>
      <c r="AF26" s="94"/>
      <c r="AG26" s="94"/>
      <c r="AI26" s="70">
        <v>2</v>
      </c>
      <c r="AJ26" s="70" t="s">
        <v>239</v>
      </c>
      <c r="AK26" s="103">
        <f>1000*2.079</f>
        <v>2079</v>
      </c>
      <c r="AM26" s="101">
        <f>noerror(ROUND(AK26,-ROUNDDOWN(LOG(AK26)-1,0))/1000)</f>
        <v>2.1</v>
      </c>
      <c r="AN26" s="70" t="s">
        <v>266</v>
      </c>
    </row>
    <row r="27" spans="1:40" x14ac:dyDescent="0.25">
      <c r="A27" s="70">
        <v>8</v>
      </c>
      <c r="B27" s="109">
        <v>3</v>
      </c>
      <c r="C27" s="109" t="str">
        <f t="shared" si="4"/>
        <v>3_8</v>
      </c>
      <c r="D27" s="114" t="s">
        <v>6</v>
      </c>
      <c r="E27" s="115">
        <v>1.0900000000000001</v>
      </c>
      <c r="G27" s="94">
        <v>8</v>
      </c>
      <c r="H27" s="94">
        <v>3</v>
      </c>
      <c r="I27" s="94" t="str">
        <f t="shared" si="3"/>
        <v>3_8</v>
      </c>
      <c r="J27" s="107" t="s">
        <v>6</v>
      </c>
      <c r="K27" s="146">
        <v>62.3</v>
      </c>
      <c r="L27" s="105" t="s">
        <v>122</v>
      </c>
      <c r="M27" s="105"/>
      <c r="N27" s="94"/>
      <c r="O27" s="99"/>
      <c r="Q27" s="94">
        <v>2</v>
      </c>
      <c r="R27" s="101" t="s">
        <v>43</v>
      </c>
      <c r="S27" s="128">
        <f>38.6*70.4</f>
        <v>2717.4400000000005</v>
      </c>
      <c r="T27" s="128"/>
      <c r="U27" s="101" t="s">
        <v>339</v>
      </c>
      <c r="V27" s="101">
        <f t="shared" si="0"/>
        <v>2.7</v>
      </c>
      <c r="W27" s="145"/>
      <c r="Z27" s="94"/>
      <c r="AA27" s="94"/>
      <c r="AB27" s="94"/>
      <c r="AC27" s="94"/>
      <c r="AD27" s="94"/>
      <c r="AE27" s="94"/>
      <c r="AF27" s="94"/>
      <c r="AG27" s="94"/>
      <c r="AI27" s="70">
        <v>3</v>
      </c>
      <c r="AJ27" s="70" t="s">
        <v>247</v>
      </c>
      <c r="AM27" s="101" t="str">
        <f>noerror(ROUND(#REF!,-ROUNDDOWN(LOG(#REF!)-1,0))/1000)</f>
        <v/>
      </c>
    </row>
    <row r="28" spans="1:40" x14ac:dyDescent="0.25">
      <c r="A28" s="70">
        <v>1</v>
      </c>
      <c r="B28" s="94">
        <v>4</v>
      </c>
      <c r="C28" s="94" t="str">
        <f t="shared" ref="C28:C35" si="5">B28&amp;"_" &amp;A28</f>
        <v>4_1</v>
      </c>
      <c r="D28" s="94" t="s">
        <v>1</v>
      </c>
      <c r="E28" s="115">
        <v>1.012</v>
      </c>
      <c r="G28" s="94">
        <v>1</v>
      </c>
      <c r="H28" s="108">
        <v>4</v>
      </c>
      <c r="I28" s="94" t="str">
        <f t="shared" si="3"/>
        <v>4_1</v>
      </c>
      <c r="J28" s="104" t="s">
        <v>1</v>
      </c>
      <c r="K28" s="146">
        <v>71.900000000000006</v>
      </c>
      <c r="L28" s="105" t="s">
        <v>122</v>
      </c>
      <c r="M28" s="105"/>
      <c r="N28" s="94"/>
      <c r="O28" s="99"/>
      <c r="Q28" s="94">
        <v>2</v>
      </c>
      <c r="R28" s="104" t="s">
        <v>41</v>
      </c>
      <c r="S28" s="129">
        <f>34.2*73.9</f>
        <v>2527.3800000000006</v>
      </c>
      <c r="T28" s="129"/>
      <c r="U28" s="101" t="s">
        <v>339</v>
      </c>
      <c r="V28" s="101">
        <f t="shared" si="0"/>
        <v>2.5</v>
      </c>
      <c r="W28" s="94"/>
      <c r="Z28" s="94"/>
      <c r="AA28" s="94"/>
      <c r="AB28" s="94"/>
      <c r="AC28" s="94"/>
      <c r="AD28" s="94"/>
      <c r="AE28" s="94"/>
      <c r="AF28" s="94"/>
      <c r="AG28" s="94"/>
      <c r="AI28" s="70">
        <v>3</v>
      </c>
      <c r="AJ28" s="70" t="s">
        <v>248</v>
      </c>
      <c r="AM28" s="101" t="str">
        <f>noerror(ROUND(#REF!,-ROUNDDOWN(LOG(#REF!)-1,0))/1000)</f>
        <v/>
      </c>
    </row>
    <row r="29" spans="1:40" x14ac:dyDescent="0.25">
      <c r="A29" s="70">
        <v>2</v>
      </c>
      <c r="B29" s="109">
        <v>4</v>
      </c>
      <c r="C29" s="94" t="str">
        <f t="shared" si="5"/>
        <v>4_2</v>
      </c>
      <c r="D29" s="114" t="s">
        <v>2</v>
      </c>
      <c r="E29" s="115">
        <v>1.012</v>
      </c>
      <c r="G29" s="94">
        <v>2</v>
      </c>
      <c r="H29" s="108">
        <v>4</v>
      </c>
      <c r="I29" s="94" t="str">
        <f t="shared" si="3"/>
        <v>4_2</v>
      </c>
      <c r="J29" s="107" t="s">
        <v>2</v>
      </c>
      <c r="K29" s="146">
        <v>71.900000000000006</v>
      </c>
      <c r="L29" s="105" t="s">
        <v>122</v>
      </c>
      <c r="M29" s="105"/>
      <c r="N29" s="94"/>
      <c r="O29" s="99"/>
      <c r="Q29" s="108">
        <v>2</v>
      </c>
      <c r="R29" s="108" t="s">
        <v>49</v>
      </c>
      <c r="S29" s="128">
        <f>33.1*69.5</f>
        <v>2300.4500000000003</v>
      </c>
      <c r="T29" s="128"/>
      <c r="U29" s="101" t="s">
        <v>339</v>
      </c>
      <c r="V29" s="101">
        <f t="shared" si="0"/>
        <v>2.2999999999999998</v>
      </c>
      <c r="W29" s="145"/>
      <c r="Z29" s="94"/>
      <c r="AA29" s="94"/>
      <c r="AB29" s="94"/>
      <c r="AC29" s="94"/>
      <c r="AD29" s="94"/>
      <c r="AE29" s="94"/>
      <c r="AF29" s="94"/>
      <c r="AG29" s="94"/>
      <c r="AI29" s="70">
        <v>3</v>
      </c>
      <c r="AJ29" s="70" t="s">
        <v>249</v>
      </c>
      <c r="AM29" s="101" t="str">
        <f>noerror(ROUND(#REF!,-ROUNDDOWN(LOG(#REF!)-1,0))/1000)</f>
        <v/>
      </c>
    </row>
    <row r="30" spans="1:40" x14ac:dyDescent="0.25">
      <c r="A30" s="70">
        <v>3</v>
      </c>
      <c r="B30" s="109">
        <v>4</v>
      </c>
      <c r="C30" s="109" t="str">
        <f t="shared" si="5"/>
        <v>4_3</v>
      </c>
      <c r="D30" s="114" t="s">
        <v>8</v>
      </c>
      <c r="E30" s="115">
        <v>0.65400000000000003</v>
      </c>
      <c r="G30" s="94">
        <v>3</v>
      </c>
      <c r="H30" s="108">
        <v>4</v>
      </c>
      <c r="I30" s="94" t="str">
        <f t="shared" si="3"/>
        <v>4_3</v>
      </c>
      <c r="J30" s="107" t="s">
        <v>8</v>
      </c>
      <c r="K30" s="146">
        <v>54.4</v>
      </c>
      <c r="L30" s="105" t="s">
        <v>122</v>
      </c>
      <c r="M30" s="105"/>
      <c r="N30" s="94"/>
      <c r="O30" s="99"/>
      <c r="Q30" s="94">
        <v>2</v>
      </c>
      <c r="R30" s="94" t="s">
        <v>58</v>
      </c>
      <c r="S30" s="128">
        <f>36.8*70.4</f>
        <v>2590.7199999999998</v>
      </c>
      <c r="T30" s="128"/>
      <c r="U30" s="101" t="s">
        <v>339</v>
      </c>
      <c r="V30" s="101">
        <f t="shared" si="0"/>
        <v>2.6</v>
      </c>
      <c r="W30" s="94"/>
      <c r="Z30" s="94"/>
      <c r="AA30" s="94"/>
      <c r="AB30" s="94"/>
      <c r="AC30" s="94"/>
      <c r="AD30" s="94"/>
      <c r="AE30" s="94"/>
      <c r="AF30" s="94"/>
      <c r="AG30" s="94"/>
      <c r="AI30" s="70">
        <v>3</v>
      </c>
      <c r="AJ30" s="70" t="s">
        <v>250</v>
      </c>
      <c r="AM30" s="101" t="str">
        <f>noerror(ROUND(#REF!,-ROUNDDOWN(LOG(#REF!)-1,0))/1000)</f>
        <v/>
      </c>
    </row>
    <row r="31" spans="1:40" x14ac:dyDescent="0.25">
      <c r="A31" s="70">
        <v>4</v>
      </c>
      <c r="B31" s="109">
        <v>4</v>
      </c>
      <c r="C31" s="109" t="str">
        <f t="shared" si="5"/>
        <v>4_4</v>
      </c>
      <c r="D31" s="114" t="s">
        <v>4</v>
      </c>
      <c r="E31" s="115">
        <v>1.079</v>
      </c>
      <c r="G31" s="94">
        <v>4</v>
      </c>
      <c r="H31" s="108">
        <v>4</v>
      </c>
      <c r="I31" s="94" t="str">
        <f t="shared" si="3"/>
        <v>4_4</v>
      </c>
      <c r="J31" s="107" t="s">
        <v>4</v>
      </c>
      <c r="K31" s="146">
        <v>74.8</v>
      </c>
      <c r="L31" s="105" t="s">
        <v>122</v>
      </c>
      <c r="M31" s="105"/>
      <c r="N31" s="94"/>
      <c r="O31" s="99"/>
      <c r="Q31" s="94">
        <v>2</v>
      </c>
      <c r="R31" s="94" t="s">
        <v>59</v>
      </c>
      <c r="S31" s="128">
        <f>40.8*74.3</f>
        <v>3031.4399999999996</v>
      </c>
      <c r="T31" s="128"/>
      <c r="U31" s="101" t="s">
        <v>339</v>
      </c>
      <c r="V31" s="101">
        <f t="shared" si="0"/>
        <v>3</v>
      </c>
      <c r="W31" s="94"/>
      <c r="Z31" s="94"/>
      <c r="AA31" s="94"/>
      <c r="AB31" s="94"/>
      <c r="AC31" s="94"/>
      <c r="AD31" s="94"/>
      <c r="AE31" s="94"/>
      <c r="AF31" s="94"/>
      <c r="AG31" s="94"/>
      <c r="AI31" s="70">
        <v>3</v>
      </c>
      <c r="AJ31" s="70" t="s">
        <v>251</v>
      </c>
      <c r="AM31" s="101" t="str">
        <f>noerror(ROUND(#REF!,-ROUNDDOWN(LOG(#REF!)-1,0))/1000)</f>
        <v/>
      </c>
    </row>
    <row r="32" spans="1:40" x14ac:dyDescent="0.25">
      <c r="A32" s="70">
        <v>5</v>
      </c>
      <c r="B32" s="109">
        <v>4</v>
      </c>
      <c r="C32" s="109" t="str">
        <f t="shared" si="5"/>
        <v>4_5</v>
      </c>
      <c r="D32" s="114" t="s">
        <v>5</v>
      </c>
      <c r="E32" s="115">
        <v>1.1859999999999999</v>
      </c>
      <c r="G32" s="94">
        <v>5</v>
      </c>
      <c r="H32" s="108">
        <v>4</v>
      </c>
      <c r="I32" s="94" t="str">
        <f t="shared" si="3"/>
        <v>4_5</v>
      </c>
      <c r="J32" s="107" t="s">
        <v>5</v>
      </c>
      <c r="K32" s="146">
        <v>74.400000000000006</v>
      </c>
      <c r="L32" s="105" t="s">
        <v>122</v>
      </c>
      <c r="M32" s="105"/>
      <c r="N32" s="94"/>
      <c r="O32" s="99"/>
      <c r="Q32" s="94">
        <v>2</v>
      </c>
      <c r="R32" s="94" t="s">
        <v>61</v>
      </c>
      <c r="S32" s="128">
        <f>39.6*70.5</f>
        <v>2791.8</v>
      </c>
      <c r="T32" s="128"/>
      <c r="U32" s="101" t="s">
        <v>339</v>
      </c>
      <c r="V32" s="101">
        <f t="shared" si="0"/>
        <v>2.8</v>
      </c>
      <c r="W32" s="94"/>
      <c r="Z32" s="94"/>
      <c r="AA32" s="94"/>
      <c r="AB32" s="94"/>
      <c r="AC32" s="94"/>
      <c r="AD32" s="94"/>
      <c r="AE32" s="94"/>
      <c r="AF32" s="94"/>
      <c r="AG32" s="94"/>
      <c r="AI32" s="70">
        <v>3</v>
      </c>
      <c r="AJ32" s="70" t="s">
        <v>252</v>
      </c>
      <c r="AM32" s="101" t="str">
        <f>noerror(ROUND(#REF!,-ROUNDDOWN(LOG(#REF!)-1,0))/1000)</f>
        <v/>
      </c>
    </row>
    <row r="33" spans="1:40" x14ac:dyDescent="0.25">
      <c r="A33" s="70">
        <v>6</v>
      </c>
      <c r="B33" s="109">
        <v>4</v>
      </c>
      <c r="C33" s="109" t="str">
        <f t="shared" si="5"/>
        <v>4_6</v>
      </c>
      <c r="D33" s="114" t="s">
        <v>7</v>
      </c>
      <c r="E33" s="115">
        <v>2E-3</v>
      </c>
      <c r="G33" s="94">
        <v>6</v>
      </c>
      <c r="H33" s="108">
        <v>4</v>
      </c>
      <c r="I33" s="94" t="str">
        <f t="shared" si="3"/>
        <v>4_6</v>
      </c>
      <c r="J33" s="107" t="s">
        <v>7</v>
      </c>
      <c r="K33" s="94" t="s">
        <v>299</v>
      </c>
      <c r="L33" s="105" t="s">
        <v>122</v>
      </c>
      <c r="M33" s="105"/>
      <c r="N33" s="94" t="s">
        <v>299</v>
      </c>
      <c r="O33" s="99"/>
      <c r="Q33" s="94">
        <v>2</v>
      </c>
      <c r="R33" s="94" t="s">
        <v>60</v>
      </c>
      <c r="S33" s="128">
        <f>25.7*60.5</f>
        <v>1554.85</v>
      </c>
      <c r="T33" s="128"/>
      <c r="U33" s="101" t="s">
        <v>339</v>
      </c>
      <c r="V33" s="101">
        <f t="shared" si="0"/>
        <v>1.6</v>
      </c>
      <c r="W33" s="94"/>
      <c r="Z33" s="94"/>
      <c r="AA33" s="94"/>
      <c r="AB33" s="94"/>
      <c r="AC33" s="94"/>
      <c r="AD33" s="94"/>
      <c r="AE33" s="94"/>
      <c r="AF33" s="94"/>
      <c r="AG33" s="94"/>
      <c r="AI33" s="70">
        <v>3</v>
      </c>
      <c r="AJ33" s="70" t="s">
        <v>253</v>
      </c>
      <c r="AM33" s="101" t="str">
        <f>noerror(ROUND(#REF!,-ROUNDDOWN(LOG(#REF!)-1,0))/1000)</f>
        <v/>
      </c>
    </row>
    <row r="34" spans="1:40" x14ac:dyDescent="0.25">
      <c r="A34" s="70">
        <v>7</v>
      </c>
      <c r="B34" s="109">
        <v>4</v>
      </c>
      <c r="C34" s="109" t="str">
        <f t="shared" si="5"/>
        <v>4_7</v>
      </c>
      <c r="D34" s="114" t="s">
        <v>3</v>
      </c>
      <c r="E34" s="115">
        <v>1.444</v>
      </c>
      <c r="G34" s="94">
        <v>7</v>
      </c>
      <c r="H34" s="94">
        <v>4</v>
      </c>
      <c r="I34" s="94" t="str">
        <f t="shared" si="3"/>
        <v>4_7</v>
      </c>
      <c r="J34" s="107" t="s">
        <v>3</v>
      </c>
      <c r="K34" s="146">
        <v>62.4</v>
      </c>
      <c r="L34" s="105" t="s">
        <v>122</v>
      </c>
      <c r="M34" s="105"/>
      <c r="N34" s="94"/>
      <c r="O34" s="99"/>
      <c r="Q34" s="108">
        <v>2</v>
      </c>
      <c r="R34" s="94" t="s">
        <v>54</v>
      </c>
      <c r="S34" s="128">
        <f>39.5*56.8</f>
        <v>2243.6</v>
      </c>
      <c r="T34" s="128"/>
      <c r="U34" s="101" t="s">
        <v>339</v>
      </c>
      <c r="V34" s="101">
        <f t="shared" si="0"/>
        <v>2.2000000000000002</v>
      </c>
      <c r="W34" s="94" t="s">
        <v>125</v>
      </c>
      <c r="Z34" s="94"/>
      <c r="AA34" s="94"/>
      <c r="AB34" s="94"/>
      <c r="AC34" s="94"/>
      <c r="AD34" s="94"/>
      <c r="AE34" s="94"/>
      <c r="AF34" s="94"/>
      <c r="AG34" s="94"/>
      <c r="AI34" s="70">
        <v>3</v>
      </c>
      <c r="AJ34" s="70" t="s">
        <v>254</v>
      </c>
      <c r="AM34" s="101" t="str">
        <f>noerror(ROUND(#REF!,-ROUNDDOWN(LOG(#REF!)-1,0))/1000)</f>
        <v/>
      </c>
    </row>
    <row r="35" spans="1:40" x14ac:dyDescent="0.25">
      <c r="A35" s="70">
        <v>8</v>
      </c>
      <c r="B35" s="109">
        <v>4</v>
      </c>
      <c r="C35" s="109" t="str">
        <f t="shared" si="5"/>
        <v>4_8</v>
      </c>
      <c r="D35" s="114" t="s">
        <v>6</v>
      </c>
      <c r="E35" s="115">
        <v>1.1140000000000001</v>
      </c>
      <c r="G35" s="94">
        <v>8</v>
      </c>
      <c r="H35" s="94">
        <v>4</v>
      </c>
      <c r="I35" s="94" t="str">
        <f t="shared" si="3"/>
        <v>4_8</v>
      </c>
      <c r="J35" s="107" t="s">
        <v>6</v>
      </c>
      <c r="K35" s="146">
        <v>62.7</v>
      </c>
      <c r="L35" s="105" t="s">
        <v>122</v>
      </c>
      <c r="M35" s="105"/>
      <c r="N35" s="94"/>
      <c r="O35" s="99"/>
      <c r="Q35" s="94">
        <v>2</v>
      </c>
      <c r="R35" s="94" t="s">
        <v>53</v>
      </c>
      <c r="S35" s="128">
        <f>39.5*60.2</f>
        <v>2377.9</v>
      </c>
      <c r="T35" s="128"/>
      <c r="U35" s="101" t="s">
        <v>339</v>
      </c>
      <c r="V35" s="101">
        <f t="shared" ref="V35:V68" si="6">noerror(ROUND(S35,-ROUNDDOWN(LOG(S35)-1,0))/1000)</f>
        <v>2.4</v>
      </c>
      <c r="W35" s="94" t="s">
        <v>125</v>
      </c>
      <c r="Z35" s="94"/>
      <c r="AA35" s="94"/>
      <c r="AB35" s="94"/>
      <c r="AC35" s="94"/>
      <c r="AD35" s="94"/>
      <c r="AE35" s="94"/>
      <c r="AF35" s="94"/>
      <c r="AG35" s="94"/>
      <c r="AI35" s="70">
        <v>4</v>
      </c>
      <c r="AJ35" s="70" t="s">
        <v>255</v>
      </c>
      <c r="AK35" s="103">
        <f>0.15*0.66*0.5*16/12*0.9*21*1000</f>
        <v>1247.4000000000001</v>
      </c>
      <c r="AM35" s="101">
        <f>noerror(ROUND(AK35,-ROUNDDOWN(LOG(AK35)-1,0))/1000)</f>
        <v>1.2</v>
      </c>
      <c r="AN35" s="70" t="s">
        <v>266</v>
      </c>
    </row>
    <row r="36" spans="1:40" x14ac:dyDescent="0.25">
      <c r="A36" s="70">
        <v>1</v>
      </c>
      <c r="B36" s="109">
        <v>5</v>
      </c>
      <c r="C36" s="94" t="str">
        <f t="shared" ref="C36:C43" si="7">B36&amp;"_" &amp;A36</f>
        <v>5_1</v>
      </c>
      <c r="D36" s="94" t="s">
        <v>1</v>
      </c>
      <c r="E36" s="115">
        <v>0.96799999999999997</v>
      </c>
      <c r="G36" s="94">
        <v>1</v>
      </c>
      <c r="H36" s="108">
        <v>5</v>
      </c>
      <c r="I36" s="94" t="str">
        <f t="shared" si="3"/>
        <v>5_1</v>
      </c>
      <c r="J36" s="104" t="s">
        <v>1</v>
      </c>
      <c r="K36" s="146">
        <v>63.2</v>
      </c>
      <c r="L36" s="105" t="s">
        <v>122</v>
      </c>
      <c r="M36" s="105"/>
      <c r="N36" s="94"/>
      <c r="O36" s="99"/>
      <c r="Q36" s="94">
        <v>3</v>
      </c>
      <c r="R36" s="101" t="s">
        <v>97</v>
      </c>
      <c r="S36" s="128" t="s">
        <v>302</v>
      </c>
      <c r="T36" s="128"/>
      <c r="U36" s="101"/>
      <c r="V36" s="101" t="str">
        <f t="shared" ref="V36:V46" si="8">noerror(ROUND(S36,-ROUNDDOWN(LOG(S36)-1,0))/1000,S36)</f>
        <v>not available</v>
      </c>
      <c r="W36" s="94"/>
      <c r="Z36" s="94"/>
      <c r="AA36" s="94"/>
      <c r="AB36" s="94"/>
      <c r="AC36" s="94"/>
      <c r="AD36" s="94"/>
      <c r="AE36" s="94"/>
      <c r="AF36" s="94"/>
      <c r="AG36" s="94"/>
      <c r="AI36" s="70">
        <v>4</v>
      </c>
      <c r="AJ36" s="70" t="s">
        <v>256</v>
      </c>
      <c r="AK36" s="103">
        <v>0</v>
      </c>
      <c r="AM36" s="101" t="str">
        <f>noerror(ROUND(AK36,-ROUNDDOWN(LOG(AK36)-1,0))/1000)</f>
        <v/>
      </c>
      <c r="AN36" s="70" t="s">
        <v>266</v>
      </c>
    </row>
    <row r="37" spans="1:40" x14ac:dyDescent="0.25">
      <c r="A37" s="70">
        <v>2</v>
      </c>
      <c r="B37" s="109">
        <v>5</v>
      </c>
      <c r="C37" s="94" t="str">
        <f t="shared" si="7"/>
        <v>5_2</v>
      </c>
      <c r="D37" s="114" t="s">
        <v>2</v>
      </c>
      <c r="E37" s="115">
        <v>0.96799999999999997</v>
      </c>
      <c r="G37" s="94">
        <v>2</v>
      </c>
      <c r="H37" s="108">
        <v>5</v>
      </c>
      <c r="I37" s="94" t="str">
        <f t="shared" si="3"/>
        <v>5_2</v>
      </c>
      <c r="J37" s="107" t="s">
        <v>2</v>
      </c>
      <c r="K37" s="146">
        <v>63.2</v>
      </c>
      <c r="L37" s="105" t="s">
        <v>122</v>
      </c>
      <c r="M37" s="105"/>
      <c r="N37" s="94"/>
      <c r="O37" s="99"/>
      <c r="Q37" s="94">
        <v>3</v>
      </c>
      <c r="R37" s="101" t="s">
        <v>96</v>
      </c>
      <c r="S37" s="128" t="s">
        <v>302</v>
      </c>
      <c r="T37" s="128"/>
      <c r="U37" s="101"/>
      <c r="V37" s="101" t="str">
        <f t="shared" si="8"/>
        <v>not available</v>
      </c>
      <c r="W37" s="94"/>
      <c r="Z37" s="94"/>
      <c r="AA37" s="94"/>
      <c r="AB37" s="94"/>
      <c r="AC37" s="94"/>
      <c r="AD37" s="94"/>
      <c r="AE37" s="94"/>
      <c r="AF37" s="94"/>
      <c r="AG37" s="94"/>
      <c r="AI37" s="70">
        <v>4</v>
      </c>
      <c r="AJ37" s="70" t="s">
        <v>257</v>
      </c>
      <c r="AK37" s="103">
        <f>0.15*0.77*0.5*16/12*0.9*21*1000</f>
        <v>1455.3</v>
      </c>
      <c r="AM37" s="101">
        <f>noerror(ROUND(AK37,-ROUNDDOWN(LOG(AK37)-1,0))/1000)</f>
        <v>1.5</v>
      </c>
      <c r="AN37" s="70" t="s">
        <v>266</v>
      </c>
    </row>
    <row r="38" spans="1:40" x14ac:dyDescent="0.25">
      <c r="A38" s="70">
        <v>3</v>
      </c>
      <c r="B38" s="109">
        <v>5</v>
      </c>
      <c r="C38" s="109" t="str">
        <f t="shared" si="7"/>
        <v>5_3</v>
      </c>
      <c r="D38" s="114" t="s">
        <v>8</v>
      </c>
      <c r="E38" s="115">
        <v>0.75600000000000001</v>
      </c>
      <c r="G38" s="94">
        <v>3</v>
      </c>
      <c r="H38" s="108">
        <v>5</v>
      </c>
      <c r="I38" s="94" t="str">
        <f t="shared" si="3"/>
        <v>5_3</v>
      </c>
      <c r="J38" s="107" t="s">
        <v>8</v>
      </c>
      <c r="K38" s="146">
        <v>54.6</v>
      </c>
      <c r="L38" s="105" t="s">
        <v>122</v>
      </c>
      <c r="M38" s="105"/>
      <c r="N38" s="94"/>
      <c r="O38" s="99"/>
      <c r="Q38" s="94">
        <v>3</v>
      </c>
      <c r="R38" s="101" t="s">
        <v>95</v>
      </c>
      <c r="S38" s="128">
        <f>38.6*74.9</f>
        <v>2891.1400000000003</v>
      </c>
      <c r="T38" s="128"/>
      <c r="U38" s="101" t="s">
        <v>265</v>
      </c>
      <c r="V38" s="101">
        <f t="shared" si="8"/>
        <v>2.9</v>
      </c>
      <c r="W38" s="94"/>
      <c r="Z38" s="94"/>
      <c r="AA38" s="94"/>
      <c r="AB38" s="94"/>
      <c r="AC38" s="94"/>
      <c r="AD38" s="94"/>
      <c r="AE38" s="94"/>
      <c r="AF38" s="94"/>
      <c r="AG38" s="94"/>
      <c r="AI38" s="70">
        <v>4</v>
      </c>
      <c r="AJ38" s="70" t="s">
        <v>258</v>
      </c>
      <c r="AK38" s="103">
        <f>0.17*0.55*0.5*16/12*0.9*21*1000</f>
        <v>1178.1000000000001</v>
      </c>
      <c r="AM38" s="101">
        <f>noerror(ROUND(AK38,-ROUNDDOWN(LOG(AK38)-1,0))/1000)</f>
        <v>1.2</v>
      </c>
      <c r="AN38" s="70" t="s">
        <v>266</v>
      </c>
    </row>
    <row r="39" spans="1:40" x14ac:dyDescent="0.25">
      <c r="A39" s="70">
        <v>4</v>
      </c>
      <c r="B39" s="109">
        <v>5</v>
      </c>
      <c r="C39" s="109" t="str">
        <f t="shared" si="7"/>
        <v>5_4</v>
      </c>
      <c r="D39" s="114" t="s">
        <v>4</v>
      </c>
      <c r="E39" s="115">
        <v>1.04</v>
      </c>
      <c r="G39" s="94">
        <v>4</v>
      </c>
      <c r="H39" s="108">
        <v>5</v>
      </c>
      <c r="I39" s="94" t="str">
        <f t="shared" si="3"/>
        <v>5_4</v>
      </c>
      <c r="J39" s="107" t="s">
        <v>4</v>
      </c>
      <c r="K39" s="146">
        <v>56.7</v>
      </c>
      <c r="L39" s="105" t="s">
        <v>122</v>
      </c>
      <c r="M39" s="105"/>
      <c r="N39" s="94"/>
      <c r="O39" s="99"/>
      <c r="Q39" s="94">
        <v>3</v>
      </c>
      <c r="R39" s="104" t="s">
        <v>94</v>
      </c>
      <c r="S39" s="128">
        <f>34.2*71.3</f>
        <v>2438.46</v>
      </c>
      <c r="T39" s="128"/>
      <c r="U39" s="104" t="s">
        <v>265</v>
      </c>
      <c r="V39" s="101">
        <f t="shared" si="8"/>
        <v>2.4</v>
      </c>
      <c r="W39" s="94"/>
      <c r="Z39" s="94"/>
      <c r="AA39" s="94"/>
      <c r="AB39" s="94"/>
      <c r="AC39" s="94"/>
      <c r="AD39" s="94"/>
      <c r="AE39" s="94"/>
      <c r="AF39" s="94"/>
      <c r="AG39" s="94"/>
      <c r="AI39" s="70">
        <v>4</v>
      </c>
      <c r="AJ39" s="70" t="s">
        <v>259</v>
      </c>
      <c r="AK39" s="103">
        <f>0.05*0.77*0.5*16/12*21*0.9*1000</f>
        <v>485.10000000000014</v>
      </c>
      <c r="AM39" s="133">
        <f>noerror(ROUND(AK39,-ROUNDDOWN(LOG(AK39)-0,0))/1000)</f>
        <v>0.5</v>
      </c>
      <c r="AN39" s="70" t="s">
        <v>266</v>
      </c>
    </row>
    <row r="40" spans="1:40" x14ac:dyDescent="0.25">
      <c r="A40" s="70">
        <v>5</v>
      </c>
      <c r="B40" s="109">
        <v>5</v>
      </c>
      <c r="C40" s="109" t="str">
        <f t="shared" si="7"/>
        <v>5_5</v>
      </c>
      <c r="D40" s="114" t="s">
        <v>5</v>
      </c>
      <c r="E40" s="115">
        <v>1.109</v>
      </c>
      <c r="G40" s="94">
        <v>5</v>
      </c>
      <c r="H40" s="108">
        <v>5</v>
      </c>
      <c r="I40" s="94" t="str">
        <f t="shared" si="3"/>
        <v>5_5</v>
      </c>
      <c r="J40" s="107" t="s">
        <v>5</v>
      </c>
      <c r="K40" s="146">
        <v>57.6</v>
      </c>
      <c r="L40" s="105" t="s">
        <v>122</v>
      </c>
      <c r="M40" s="105"/>
      <c r="N40" s="94"/>
      <c r="O40" s="99"/>
      <c r="Q40" s="94">
        <v>3</v>
      </c>
      <c r="R40" s="108" t="s">
        <v>93</v>
      </c>
      <c r="S40" s="128">
        <f>33.1*73.3</f>
        <v>2426.23</v>
      </c>
      <c r="T40" s="128"/>
      <c r="U40" s="108" t="s">
        <v>265</v>
      </c>
      <c r="V40" s="101">
        <f t="shared" si="8"/>
        <v>2.4</v>
      </c>
      <c r="W40" s="94" t="s">
        <v>352</v>
      </c>
      <c r="Z40" s="94"/>
      <c r="AA40" s="94"/>
      <c r="AB40" s="94"/>
      <c r="AC40" s="94"/>
      <c r="AD40" s="94"/>
      <c r="AE40" s="94"/>
      <c r="AF40" s="94"/>
      <c r="AG40" s="94"/>
      <c r="AI40" s="70">
        <v>4</v>
      </c>
      <c r="AJ40" s="70" t="s">
        <v>260</v>
      </c>
      <c r="AK40" s="103">
        <f>0.4*0.55*0.5*16/12*21*0.9*1000</f>
        <v>2772.0000000000009</v>
      </c>
      <c r="AM40" s="101">
        <f t="shared" ref="AM40:AM46" si="9">noerror(ROUND(AK40,-ROUNDDOWN(LOG(AK40)-1,0))/1000)</f>
        <v>2.8</v>
      </c>
      <c r="AN40" s="70" t="s">
        <v>266</v>
      </c>
    </row>
    <row r="41" spans="1:40" x14ac:dyDescent="0.25">
      <c r="A41" s="70">
        <v>6</v>
      </c>
      <c r="B41" s="109">
        <v>5</v>
      </c>
      <c r="C41" s="109" t="str">
        <f t="shared" si="7"/>
        <v>5_6</v>
      </c>
      <c r="D41" s="114" t="s">
        <v>7</v>
      </c>
      <c r="E41" s="115">
        <v>2E-3</v>
      </c>
      <c r="G41" s="94">
        <v>6</v>
      </c>
      <c r="H41" s="108">
        <v>5</v>
      </c>
      <c r="I41" s="94" t="str">
        <f t="shared" si="3"/>
        <v>5_6</v>
      </c>
      <c r="J41" s="107" t="s">
        <v>7</v>
      </c>
      <c r="K41" s="94" t="s">
        <v>299</v>
      </c>
      <c r="L41" s="105" t="s">
        <v>122</v>
      </c>
      <c r="M41" s="105"/>
      <c r="N41" s="94"/>
      <c r="O41" s="99"/>
      <c r="Q41" s="94">
        <v>3</v>
      </c>
      <c r="R41" s="94" t="s">
        <v>92</v>
      </c>
      <c r="S41" s="128" t="s">
        <v>302</v>
      </c>
      <c r="T41" s="128"/>
      <c r="U41" s="94"/>
      <c r="V41" s="101" t="str">
        <f t="shared" si="8"/>
        <v>not available</v>
      </c>
      <c r="W41" s="94"/>
      <c r="AI41" s="70">
        <v>4</v>
      </c>
      <c r="AJ41" s="70" t="s">
        <v>261</v>
      </c>
      <c r="AK41" s="103">
        <f>0.4*0.77*0.5*16/12*21*0.9*1000</f>
        <v>3880.8000000000011</v>
      </c>
      <c r="AM41" s="101">
        <f t="shared" si="9"/>
        <v>3.9</v>
      </c>
      <c r="AN41" s="70" t="s">
        <v>266</v>
      </c>
    </row>
    <row r="42" spans="1:40" x14ac:dyDescent="0.25">
      <c r="A42" s="70">
        <v>7</v>
      </c>
      <c r="B42" s="109">
        <v>5</v>
      </c>
      <c r="C42" s="109" t="str">
        <f t="shared" si="7"/>
        <v>5_7</v>
      </c>
      <c r="D42" s="114" t="s">
        <v>3</v>
      </c>
      <c r="E42" s="115">
        <v>1.4670000000000001</v>
      </c>
      <c r="G42" s="94">
        <v>7</v>
      </c>
      <c r="H42" s="94">
        <v>5</v>
      </c>
      <c r="I42" s="94" t="str">
        <f t="shared" si="3"/>
        <v>5_7</v>
      </c>
      <c r="J42" s="107" t="s">
        <v>3</v>
      </c>
      <c r="K42" s="146">
        <v>58.9</v>
      </c>
      <c r="L42" s="105" t="s">
        <v>122</v>
      </c>
      <c r="M42" s="105"/>
      <c r="N42" s="94"/>
      <c r="O42" s="99"/>
      <c r="Q42" s="94">
        <v>3</v>
      </c>
      <c r="R42" s="94" t="s">
        <v>91</v>
      </c>
      <c r="S42" s="128">
        <f>43*78.8</f>
        <v>3388.4</v>
      </c>
      <c r="T42" s="128"/>
      <c r="U42" s="94" t="s">
        <v>265</v>
      </c>
      <c r="V42" s="101">
        <f t="shared" si="8"/>
        <v>3.4</v>
      </c>
      <c r="W42" s="94"/>
      <c r="AI42" s="70">
        <v>4</v>
      </c>
      <c r="AJ42" s="70" t="s">
        <v>262</v>
      </c>
      <c r="AK42" s="103">
        <f>0.3*0.55*0.5*16/12*21*0.9*1000</f>
        <v>2079</v>
      </c>
      <c r="AM42" s="101">
        <f t="shared" si="9"/>
        <v>2.1</v>
      </c>
      <c r="AN42" s="70" t="s">
        <v>266</v>
      </c>
    </row>
    <row r="43" spans="1:40" x14ac:dyDescent="0.25">
      <c r="A43" s="70">
        <v>8</v>
      </c>
      <c r="B43" s="109">
        <v>5</v>
      </c>
      <c r="C43" s="109" t="str">
        <f t="shared" si="7"/>
        <v>5_8</v>
      </c>
      <c r="D43" s="114" t="s">
        <v>6</v>
      </c>
      <c r="E43" s="115">
        <v>1.032</v>
      </c>
      <c r="G43" s="94">
        <v>8</v>
      </c>
      <c r="H43" s="94">
        <v>5</v>
      </c>
      <c r="I43" s="94" t="str">
        <f t="shared" si="3"/>
        <v>5_8</v>
      </c>
      <c r="J43" s="107" t="s">
        <v>6</v>
      </c>
      <c r="K43" s="146">
        <v>62.3</v>
      </c>
      <c r="L43" s="105" t="s">
        <v>122</v>
      </c>
      <c r="M43" s="105"/>
      <c r="N43" s="94"/>
      <c r="O43" s="99"/>
      <c r="Q43" s="94">
        <v>3</v>
      </c>
      <c r="R43" s="94" t="s">
        <v>90</v>
      </c>
      <c r="S43" s="128" t="s">
        <v>302</v>
      </c>
      <c r="T43" s="128"/>
      <c r="U43" s="94"/>
      <c r="V43" s="101" t="str">
        <f t="shared" si="8"/>
        <v>not available</v>
      </c>
      <c r="W43" s="94"/>
      <c r="AI43" s="70">
        <v>5</v>
      </c>
      <c r="AJ43" s="70" t="s">
        <v>210</v>
      </c>
      <c r="AK43" s="70">
        <f>0.15*0.366*0.9*21*1000</f>
        <v>1037.6099999999999</v>
      </c>
      <c r="AM43" s="101">
        <f t="shared" si="9"/>
        <v>1</v>
      </c>
      <c r="AN43" s="70" t="s">
        <v>266</v>
      </c>
    </row>
    <row r="44" spans="1:40" x14ac:dyDescent="0.25">
      <c r="A44" s="70">
        <v>1</v>
      </c>
      <c r="B44" s="109">
        <v>6</v>
      </c>
      <c r="C44" s="94" t="str">
        <f t="shared" ref="C44:C67" si="10">B44&amp;"_" &amp;A44</f>
        <v>6_1</v>
      </c>
      <c r="D44" s="94" t="s">
        <v>1</v>
      </c>
      <c r="G44" s="94">
        <v>1</v>
      </c>
      <c r="H44" s="108">
        <v>6</v>
      </c>
      <c r="I44" s="94" t="str">
        <f t="shared" ref="I44:I67" si="11">H44&amp;"_" &amp;G44</f>
        <v>6_1</v>
      </c>
      <c r="J44" s="104" t="s">
        <v>1</v>
      </c>
      <c r="K44" s="94"/>
      <c r="L44" s="105" t="s">
        <v>122</v>
      </c>
      <c r="M44" s="105"/>
      <c r="N44" s="94"/>
      <c r="O44" s="99"/>
      <c r="Q44" s="94">
        <v>3</v>
      </c>
      <c r="R44" s="94" t="s">
        <v>89</v>
      </c>
      <c r="S44" s="128">
        <f>25.7*64.7</f>
        <v>1662.79</v>
      </c>
      <c r="T44" s="128"/>
      <c r="U44" s="94" t="s">
        <v>265</v>
      </c>
      <c r="V44" s="101">
        <f t="shared" si="8"/>
        <v>1.7</v>
      </c>
      <c r="W44" s="94"/>
      <c r="AI44" s="70">
        <v>5</v>
      </c>
      <c r="AJ44" s="70" t="s">
        <v>230</v>
      </c>
      <c r="AK44" s="70">
        <f>0*0.366*0.9*21*1000</f>
        <v>0</v>
      </c>
      <c r="AM44" s="101" t="str">
        <f t="shared" si="9"/>
        <v/>
      </c>
      <c r="AN44" s="70" t="s">
        <v>266</v>
      </c>
    </row>
    <row r="45" spans="1:40" x14ac:dyDescent="0.25">
      <c r="A45" s="70">
        <v>2</v>
      </c>
      <c r="B45" s="109">
        <v>6</v>
      </c>
      <c r="C45" s="94" t="str">
        <f t="shared" si="10"/>
        <v>6_2</v>
      </c>
      <c r="D45" s="114" t="s">
        <v>2</v>
      </c>
      <c r="G45" s="94">
        <v>2</v>
      </c>
      <c r="H45" s="108">
        <v>6</v>
      </c>
      <c r="I45" s="94" t="str">
        <f t="shared" si="11"/>
        <v>6_2</v>
      </c>
      <c r="J45" s="107" t="s">
        <v>2</v>
      </c>
      <c r="K45" s="94"/>
      <c r="L45" s="105" t="s">
        <v>122</v>
      </c>
      <c r="M45" s="105"/>
      <c r="N45" s="94"/>
      <c r="O45" s="99"/>
      <c r="Q45" s="108">
        <v>3</v>
      </c>
      <c r="R45" s="94" t="s">
        <v>88</v>
      </c>
      <c r="S45" s="128" t="s">
        <v>302</v>
      </c>
      <c r="T45" s="128"/>
      <c r="U45" s="94"/>
      <c r="V45" s="101" t="str">
        <f t="shared" si="8"/>
        <v>not available</v>
      </c>
      <c r="W45" s="94" t="s">
        <v>125</v>
      </c>
      <c r="AI45" s="70">
        <v>5</v>
      </c>
      <c r="AJ45" s="70" t="s">
        <v>209</v>
      </c>
      <c r="AK45" s="70">
        <f>0.15*0.366*0.9*21*1000</f>
        <v>1037.6099999999999</v>
      </c>
      <c r="AM45" s="101">
        <f t="shared" si="9"/>
        <v>1</v>
      </c>
      <c r="AN45" s="70" t="s">
        <v>266</v>
      </c>
    </row>
    <row r="46" spans="1:40" x14ac:dyDescent="0.25">
      <c r="A46" s="70">
        <v>3</v>
      </c>
      <c r="B46" s="109">
        <v>6</v>
      </c>
      <c r="C46" s="109" t="str">
        <f t="shared" si="10"/>
        <v>6_3</v>
      </c>
      <c r="D46" s="114" t="s">
        <v>8</v>
      </c>
      <c r="G46" s="94">
        <v>3</v>
      </c>
      <c r="H46" s="108">
        <v>6</v>
      </c>
      <c r="I46" s="94" t="str">
        <f t="shared" si="11"/>
        <v>6_3</v>
      </c>
      <c r="J46" s="107" t="s">
        <v>8</v>
      </c>
      <c r="K46" s="94"/>
      <c r="L46" s="105" t="s">
        <v>122</v>
      </c>
      <c r="M46" s="105"/>
      <c r="N46" s="94"/>
      <c r="O46" s="99"/>
      <c r="Q46" s="108">
        <v>3</v>
      </c>
      <c r="R46" s="94" t="s">
        <v>87</v>
      </c>
      <c r="S46" s="128" t="s">
        <v>302</v>
      </c>
      <c r="T46" s="128"/>
      <c r="U46" s="94"/>
      <c r="V46" s="101" t="str">
        <f t="shared" si="8"/>
        <v>not available</v>
      </c>
      <c r="W46" s="94" t="s">
        <v>125</v>
      </c>
      <c r="AI46" s="70">
        <v>5</v>
      </c>
      <c r="AJ46" s="70" t="s">
        <v>221</v>
      </c>
      <c r="AK46" s="70">
        <f>0.17*0.366*0.9*21*1000</f>
        <v>1175.9580000000001</v>
      </c>
      <c r="AM46" s="101">
        <f t="shared" si="9"/>
        <v>1.2</v>
      </c>
      <c r="AN46" s="70" t="s">
        <v>266</v>
      </c>
    </row>
    <row r="47" spans="1:40" x14ac:dyDescent="0.25">
      <c r="A47" s="70">
        <v>4</v>
      </c>
      <c r="B47" s="109">
        <v>6</v>
      </c>
      <c r="C47" s="109" t="str">
        <f t="shared" si="10"/>
        <v>6_4</v>
      </c>
      <c r="D47" s="114" t="s">
        <v>4</v>
      </c>
      <c r="G47" s="94">
        <v>4</v>
      </c>
      <c r="H47" s="108">
        <v>6</v>
      </c>
      <c r="I47" s="94" t="str">
        <f t="shared" si="11"/>
        <v>6_4</v>
      </c>
      <c r="J47" s="107" t="s">
        <v>4</v>
      </c>
      <c r="K47" s="94"/>
      <c r="L47" s="105" t="s">
        <v>122</v>
      </c>
      <c r="M47" s="105"/>
      <c r="N47" s="94"/>
      <c r="O47" s="99"/>
      <c r="Q47" s="108">
        <v>4</v>
      </c>
      <c r="R47" s="101" t="s">
        <v>98</v>
      </c>
      <c r="S47" s="128">
        <f>38.6*70.4</f>
        <v>2717.4400000000005</v>
      </c>
      <c r="T47" s="128"/>
      <c r="U47" s="101" t="s">
        <v>339</v>
      </c>
      <c r="V47" s="101">
        <f t="shared" si="6"/>
        <v>2.7</v>
      </c>
      <c r="W47" s="94"/>
      <c r="AI47" s="70">
        <v>5</v>
      </c>
      <c r="AJ47" s="70" t="s">
        <v>229</v>
      </c>
      <c r="AK47" s="70">
        <f>0.05*0.366*0.9*21*1000</f>
        <v>345.87000000000006</v>
      </c>
      <c r="AM47" s="101">
        <f>noerror(ROUND(AK47,-ROUNDDOWN(LOG(AK47)-0,0))/1000)</f>
        <v>0.3</v>
      </c>
      <c r="AN47" s="70" t="s">
        <v>266</v>
      </c>
    </row>
    <row r="48" spans="1:40" x14ac:dyDescent="0.25">
      <c r="A48" s="70">
        <v>5</v>
      </c>
      <c r="B48" s="109">
        <v>6</v>
      </c>
      <c r="C48" s="109" t="str">
        <f t="shared" si="10"/>
        <v>6_5</v>
      </c>
      <c r="D48" s="114" t="s">
        <v>5</v>
      </c>
      <c r="G48" s="94">
        <v>5</v>
      </c>
      <c r="H48" s="108">
        <v>6</v>
      </c>
      <c r="I48" s="94" t="str">
        <f t="shared" si="11"/>
        <v>6_5</v>
      </c>
      <c r="J48" s="107" t="s">
        <v>5</v>
      </c>
      <c r="K48" s="94"/>
      <c r="L48" s="105" t="s">
        <v>122</v>
      </c>
      <c r="M48" s="105"/>
      <c r="N48" s="94"/>
      <c r="O48" s="99"/>
      <c r="Q48" s="108">
        <v>4</v>
      </c>
      <c r="R48" s="101" t="s">
        <v>99</v>
      </c>
      <c r="S48" s="128">
        <f>38.6*70.4</f>
        <v>2717.4400000000005</v>
      </c>
      <c r="T48" s="128"/>
      <c r="U48" s="101" t="s">
        <v>339</v>
      </c>
      <c r="V48" s="101">
        <f t="shared" si="6"/>
        <v>2.7</v>
      </c>
      <c r="W48" s="94"/>
      <c r="AI48" s="70">
        <v>5</v>
      </c>
      <c r="AJ48" s="70" t="s">
        <v>212</v>
      </c>
      <c r="AK48" s="70">
        <f>0.4*0.366*0.9*21*1000</f>
        <v>2766.9600000000005</v>
      </c>
      <c r="AM48" s="101">
        <f>noerror(ROUND(AK48,-ROUNDDOWN(LOG(AK48)-1,0))/1000)</f>
        <v>2.8</v>
      </c>
      <c r="AN48" s="70" t="s">
        <v>266</v>
      </c>
    </row>
    <row r="49" spans="1:40" x14ac:dyDescent="0.25">
      <c r="A49" s="70">
        <v>6</v>
      </c>
      <c r="B49" s="109">
        <v>6</v>
      </c>
      <c r="C49" s="109" t="str">
        <f t="shared" si="10"/>
        <v>6_6</v>
      </c>
      <c r="D49" s="114" t="s">
        <v>7</v>
      </c>
      <c r="G49" s="94">
        <v>6</v>
      </c>
      <c r="H49" s="108">
        <v>6</v>
      </c>
      <c r="I49" s="94" t="str">
        <f t="shared" si="11"/>
        <v>6_6</v>
      </c>
      <c r="J49" s="107" t="s">
        <v>7</v>
      </c>
      <c r="K49" s="94"/>
      <c r="L49" s="105" t="s">
        <v>122</v>
      </c>
      <c r="M49" s="105"/>
      <c r="N49" s="94"/>
      <c r="O49" s="99"/>
      <c r="Q49" s="108">
        <v>4</v>
      </c>
      <c r="R49" s="101" t="s">
        <v>100</v>
      </c>
      <c r="S49" s="128">
        <f>38.6*70.4</f>
        <v>2717.4400000000005</v>
      </c>
      <c r="T49" s="128"/>
      <c r="U49" s="101" t="s">
        <v>339</v>
      </c>
      <c r="V49" s="101">
        <f t="shared" si="6"/>
        <v>2.7</v>
      </c>
      <c r="W49" s="94"/>
      <c r="AI49" s="70">
        <v>5</v>
      </c>
      <c r="AJ49" s="70" t="s">
        <v>208</v>
      </c>
      <c r="AK49" s="70">
        <f>0.4*0.366*0.9*21*1000</f>
        <v>2766.9600000000005</v>
      </c>
      <c r="AM49" s="101">
        <f>noerror(ROUND(AK49,-ROUNDDOWN(LOG(AK49)-1,0))/1000)</f>
        <v>2.8</v>
      </c>
      <c r="AN49" s="70" t="s">
        <v>266</v>
      </c>
    </row>
    <row r="50" spans="1:40" x14ac:dyDescent="0.25">
      <c r="A50" s="70">
        <v>7</v>
      </c>
      <c r="B50" s="109">
        <v>6</v>
      </c>
      <c r="C50" s="109" t="str">
        <f t="shared" si="10"/>
        <v>6_7</v>
      </c>
      <c r="D50" s="114" t="s">
        <v>3</v>
      </c>
      <c r="G50" s="94">
        <v>7</v>
      </c>
      <c r="H50" s="94">
        <v>6</v>
      </c>
      <c r="I50" s="94" t="str">
        <f t="shared" si="11"/>
        <v>6_7</v>
      </c>
      <c r="J50" s="107" t="s">
        <v>3</v>
      </c>
      <c r="K50" s="94"/>
      <c r="L50" s="105" t="s">
        <v>122</v>
      </c>
      <c r="M50" s="105"/>
      <c r="N50" s="94"/>
      <c r="O50" s="99"/>
      <c r="Q50" s="108">
        <v>4</v>
      </c>
      <c r="R50" s="104" t="s">
        <v>101</v>
      </c>
      <c r="S50" s="128">
        <f>34.2*73.9</f>
        <v>2527.3800000000006</v>
      </c>
      <c r="T50" s="128"/>
      <c r="U50" s="101" t="s">
        <v>339</v>
      </c>
      <c r="V50" s="101">
        <f t="shared" si="6"/>
        <v>2.5</v>
      </c>
      <c r="W50" s="94"/>
      <c r="AI50" s="70">
        <v>5</v>
      </c>
      <c r="AJ50" s="70" t="s">
        <v>211</v>
      </c>
      <c r="AK50" s="70">
        <f>0.3*0.366*0.9*21*1000</f>
        <v>2075.2199999999998</v>
      </c>
      <c r="AM50" s="101">
        <f>noerror(ROUND(AK50,-ROUNDDOWN(LOG(AK50)-1,0))/1000)</f>
        <v>2.1</v>
      </c>
      <c r="AN50" s="70" t="s">
        <v>266</v>
      </c>
    </row>
    <row r="51" spans="1:40" x14ac:dyDescent="0.25">
      <c r="A51" s="70">
        <v>8</v>
      </c>
      <c r="B51" s="109">
        <v>6</v>
      </c>
      <c r="C51" s="109" t="str">
        <f t="shared" si="10"/>
        <v>6_8</v>
      </c>
      <c r="D51" s="114" t="s">
        <v>6</v>
      </c>
      <c r="G51" s="94">
        <v>8</v>
      </c>
      <c r="H51" s="94">
        <v>6</v>
      </c>
      <c r="I51" s="94" t="str">
        <f t="shared" si="11"/>
        <v>6_8</v>
      </c>
      <c r="J51" s="107" t="s">
        <v>6</v>
      </c>
      <c r="K51" s="94"/>
      <c r="L51" s="105" t="s">
        <v>122</v>
      </c>
      <c r="M51" s="105"/>
      <c r="N51" s="94"/>
      <c r="O51" s="99"/>
      <c r="Q51" s="108">
        <v>4</v>
      </c>
      <c r="R51" s="108" t="s">
        <v>102</v>
      </c>
      <c r="S51" s="128">
        <f>33.1*69.5</f>
        <v>2300.4500000000003</v>
      </c>
      <c r="T51" s="128"/>
      <c r="U51" s="101" t="s">
        <v>339</v>
      </c>
      <c r="V51" s="101">
        <f t="shared" si="6"/>
        <v>2.2999999999999998</v>
      </c>
      <c r="W51" s="94"/>
      <c r="AI51" s="70">
        <v>6</v>
      </c>
      <c r="AJ51" s="70" t="s">
        <v>184</v>
      </c>
      <c r="AL51" s="70">
        <v>1040</v>
      </c>
      <c r="AM51" s="134">
        <f>AL51/1000</f>
        <v>1.04</v>
      </c>
    </row>
    <row r="52" spans="1:40" x14ac:dyDescent="0.25">
      <c r="A52" s="70">
        <v>1</v>
      </c>
      <c r="B52" s="109">
        <v>7</v>
      </c>
      <c r="C52" s="94" t="str">
        <f t="shared" si="10"/>
        <v>7_1</v>
      </c>
      <c r="D52" s="94" t="s">
        <v>1</v>
      </c>
      <c r="G52" s="94">
        <v>1</v>
      </c>
      <c r="H52" s="108">
        <v>7</v>
      </c>
      <c r="I52" s="94" t="str">
        <f t="shared" si="11"/>
        <v>7_1</v>
      </c>
      <c r="J52" s="104" t="s">
        <v>1</v>
      </c>
      <c r="K52" s="94"/>
      <c r="L52" s="105" t="s">
        <v>122</v>
      </c>
      <c r="M52" s="105"/>
      <c r="N52" s="94"/>
      <c r="O52" s="99"/>
      <c r="Q52" s="108">
        <v>4</v>
      </c>
      <c r="R52" s="94" t="s">
        <v>103</v>
      </c>
      <c r="S52" s="128">
        <f>36.8*70.4</f>
        <v>2590.7199999999998</v>
      </c>
      <c r="T52" s="128"/>
      <c r="U52" s="101" t="s">
        <v>339</v>
      </c>
      <c r="V52" s="101">
        <f t="shared" si="6"/>
        <v>2.6</v>
      </c>
      <c r="W52" s="94"/>
      <c r="AI52" s="70">
        <v>6</v>
      </c>
      <c r="AJ52" s="70" t="s">
        <v>226</v>
      </c>
      <c r="AL52" s="70">
        <v>0</v>
      </c>
      <c r="AM52" s="134">
        <f t="shared" ref="AM52:AM82" si="12">AL52/1000</f>
        <v>0</v>
      </c>
    </row>
    <row r="53" spans="1:40" x14ac:dyDescent="0.25">
      <c r="A53" s="70">
        <v>2</v>
      </c>
      <c r="B53" s="109">
        <v>7</v>
      </c>
      <c r="C53" s="94" t="str">
        <f t="shared" si="10"/>
        <v>7_2</v>
      </c>
      <c r="D53" s="114" t="s">
        <v>2</v>
      </c>
      <c r="G53" s="94">
        <v>2</v>
      </c>
      <c r="H53" s="108">
        <v>7</v>
      </c>
      <c r="I53" s="94" t="str">
        <f t="shared" si="11"/>
        <v>7_2</v>
      </c>
      <c r="J53" s="107" t="s">
        <v>2</v>
      </c>
      <c r="K53" s="94"/>
      <c r="L53" s="105" t="s">
        <v>122</v>
      </c>
      <c r="M53" s="105"/>
      <c r="N53" s="94"/>
      <c r="O53" s="99"/>
      <c r="Q53" s="108">
        <v>4</v>
      </c>
      <c r="R53" s="94" t="s">
        <v>104</v>
      </c>
      <c r="S53" s="128">
        <f>40.8*74.3</f>
        <v>3031.4399999999996</v>
      </c>
      <c r="T53" s="128"/>
      <c r="U53" s="101" t="s">
        <v>339</v>
      </c>
      <c r="V53" s="101">
        <f t="shared" si="6"/>
        <v>3</v>
      </c>
      <c r="W53" s="94"/>
      <c r="AI53" s="70">
        <v>6</v>
      </c>
      <c r="AJ53" s="70" t="s">
        <v>195</v>
      </c>
      <c r="AM53" s="134"/>
      <c r="AN53" s="70" t="s">
        <v>193</v>
      </c>
    </row>
    <row r="54" spans="1:40" x14ac:dyDescent="0.25">
      <c r="A54" s="70">
        <v>3</v>
      </c>
      <c r="B54" s="109">
        <v>7</v>
      </c>
      <c r="C54" s="109" t="str">
        <f t="shared" si="10"/>
        <v>7_3</v>
      </c>
      <c r="D54" s="114" t="s">
        <v>8</v>
      </c>
      <c r="G54" s="94">
        <v>3</v>
      </c>
      <c r="H54" s="108">
        <v>7</v>
      </c>
      <c r="I54" s="94" t="str">
        <f t="shared" si="11"/>
        <v>7_3</v>
      </c>
      <c r="J54" s="107" t="s">
        <v>8</v>
      </c>
      <c r="K54" s="94"/>
      <c r="L54" s="105" t="s">
        <v>122</v>
      </c>
      <c r="M54" s="105"/>
      <c r="N54" s="94"/>
      <c r="O54" s="99"/>
      <c r="Q54" s="108">
        <v>4</v>
      </c>
      <c r="R54" s="94" t="s">
        <v>105</v>
      </c>
      <c r="S54" s="128">
        <f>39.6*70.5</f>
        <v>2791.8</v>
      </c>
      <c r="T54" s="128"/>
      <c r="U54" s="101" t="s">
        <v>339</v>
      </c>
      <c r="V54" s="101">
        <f t="shared" si="6"/>
        <v>2.8</v>
      </c>
      <c r="W54" s="94"/>
      <c r="AI54" s="70">
        <v>6</v>
      </c>
      <c r="AJ54" s="70" t="s">
        <v>219</v>
      </c>
      <c r="AM54" s="134"/>
    </row>
    <row r="55" spans="1:40" x14ac:dyDescent="0.25">
      <c r="A55" s="70">
        <v>4</v>
      </c>
      <c r="B55" s="109">
        <v>7</v>
      </c>
      <c r="C55" s="109" t="str">
        <f t="shared" si="10"/>
        <v>7_4</v>
      </c>
      <c r="D55" s="114" t="s">
        <v>4</v>
      </c>
      <c r="G55" s="94">
        <v>4</v>
      </c>
      <c r="H55" s="108">
        <v>7</v>
      </c>
      <c r="I55" s="94" t="str">
        <f t="shared" si="11"/>
        <v>7_4</v>
      </c>
      <c r="J55" s="107" t="s">
        <v>4</v>
      </c>
      <c r="K55" s="94"/>
      <c r="L55" s="105" t="s">
        <v>122</v>
      </c>
      <c r="M55" s="105"/>
      <c r="N55" s="94"/>
      <c r="O55" s="99"/>
      <c r="Q55" s="108">
        <v>4</v>
      </c>
      <c r="R55" s="94" t="s">
        <v>106</v>
      </c>
      <c r="S55" s="128">
        <f>25.7*60.5</f>
        <v>1554.85</v>
      </c>
      <c r="T55" s="128"/>
      <c r="U55" s="101" t="s">
        <v>339</v>
      </c>
      <c r="V55" s="101">
        <f t="shared" si="6"/>
        <v>1.6</v>
      </c>
      <c r="W55" s="94"/>
      <c r="AI55" s="70">
        <v>6</v>
      </c>
      <c r="AJ55" s="70" t="s">
        <v>225</v>
      </c>
      <c r="AM55" s="134"/>
    </row>
    <row r="56" spans="1:40" x14ac:dyDescent="0.25">
      <c r="A56" s="70">
        <v>5</v>
      </c>
      <c r="B56" s="109">
        <v>7</v>
      </c>
      <c r="C56" s="109" t="str">
        <f t="shared" si="10"/>
        <v>7_5</v>
      </c>
      <c r="D56" s="114" t="s">
        <v>5</v>
      </c>
      <c r="G56" s="94">
        <v>5</v>
      </c>
      <c r="H56" s="108">
        <v>7</v>
      </c>
      <c r="I56" s="94" t="str">
        <f t="shared" si="11"/>
        <v>7_5</v>
      </c>
      <c r="J56" s="107" t="s">
        <v>5</v>
      </c>
      <c r="K56" s="94"/>
      <c r="L56" s="105" t="s">
        <v>122</v>
      </c>
      <c r="M56" s="105"/>
      <c r="N56" s="94"/>
      <c r="O56" s="99"/>
      <c r="Q56" s="108">
        <v>4</v>
      </c>
      <c r="R56" s="94" t="s">
        <v>107</v>
      </c>
      <c r="S56" s="128">
        <f>39.5*56.8</f>
        <v>2243.6</v>
      </c>
      <c r="T56" s="128"/>
      <c r="U56" s="101" t="s">
        <v>339</v>
      </c>
      <c r="V56" s="101">
        <f t="shared" si="6"/>
        <v>2.2000000000000002</v>
      </c>
      <c r="W56" s="94" t="s">
        <v>125</v>
      </c>
      <c r="AI56" s="70">
        <v>6</v>
      </c>
      <c r="AJ56" s="70" t="s">
        <v>185</v>
      </c>
      <c r="AL56" s="70">
        <v>2770</v>
      </c>
      <c r="AM56" s="134">
        <f t="shared" si="12"/>
        <v>2.77</v>
      </c>
    </row>
    <row r="57" spans="1:40" x14ac:dyDescent="0.25">
      <c r="A57" s="70">
        <v>6</v>
      </c>
      <c r="B57" s="109">
        <v>7</v>
      </c>
      <c r="C57" s="109" t="str">
        <f t="shared" si="10"/>
        <v>7_6</v>
      </c>
      <c r="D57" s="114" t="s">
        <v>7</v>
      </c>
      <c r="G57" s="94">
        <v>6</v>
      </c>
      <c r="H57" s="108">
        <v>7</v>
      </c>
      <c r="I57" s="94" t="str">
        <f t="shared" si="11"/>
        <v>7_6</v>
      </c>
      <c r="J57" s="107" t="s">
        <v>7</v>
      </c>
      <c r="K57" s="94"/>
      <c r="L57" s="105" t="s">
        <v>122</v>
      </c>
      <c r="M57" s="105"/>
      <c r="N57" s="94"/>
      <c r="O57" s="99"/>
      <c r="Q57" s="108">
        <v>4</v>
      </c>
      <c r="R57" s="94" t="s">
        <v>108</v>
      </c>
      <c r="S57" s="128">
        <f>39.5*60.2</f>
        <v>2377.9</v>
      </c>
      <c r="T57" s="128"/>
      <c r="U57" s="101" t="s">
        <v>339</v>
      </c>
      <c r="V57" s="101">
        <f t="shared" si="6"/>
        <v>2.4</v>
      </c>
      <c r="W57" s="94" t="s">
        <v>125</v>
      </c>
      <c r="AI57" s="70">
        <v>6</v>
      </c>
      <c r="AJ57" s="70" t="s">
        <v>190</v>
      </c>
      <c r="AM57" s="134"/>
      <c r="AN57" s="70" t="s">
        <v>193</v>
      </c>
    </row>
    <row r="58" spans="1:40" x14ac:dyDescent="0.25">
      <c r="A58" s="70">
        <v>7</v>
      </c>
      <c r="B58" s="109">
        <v>7</v>
      </c>
      <c r="C58" s="109" t="str">
        <f t="shared" si="10"/>
        <v>7_7</v>
      </c>
      <c r="D58" s="114" t="s">
        <v>3</v>
      </c>
      <c r="G58" s="94">
        <v>7</v>
      </c>
      <c r="H58" s="94">
        <v>7</v>
      </c>
      <c r="I58" s="94" t="str">
        <f t="shared" si="11"/>
        <v>7_7</v>
      </c>
      <c r="J58" s="107" t="s">
        <v>3</v>
      </c>
      <c r="K58" s="94"/>
      <c r="L58" s="105" t="s">
        <v>122</v>
      </c>
      <c r="M58" s="105"/>
      <c r="N58" s="94"/>
      <c r="O58" s="99"/>
      <c r="Q58" s="108">
        <v>5</v>
      </c>
      <c r="R58" s="101" t="s">
        <v>111</v>
      </c>
      <c r="S58" s="128" t="s">
        <v>302</v>
      </c>
      <c r="T58" s="128"/>
      <c r="U58" s="101" t="s">
        <v>122</v>
      </c>
      <c r="V58" s="101" t="str">
        <f t="shared" si="6"/>
        <v/>
      </c>
      <c r="W58" s="94"/>
      <c r="AI58" s="70">
        <v>6</v>
      </c>
      <c r="AJ58" s="70" t="s">
        <v>194</v>
      </c>
      <c r="AM58" s="134"/>
      <c r="AN58" s="70" t="s">
        <v>193</v>
      </c>
    </row>
    <row r="59" spans="1:40" x14ac:dyDescent="0.25">
      <c r="A59" s="70">
        <v>8</v>
      </c>
      <c r="B59" s="109">
        <v>7</v>
      </c>
      <c r="C59" s="109" t="str">
        <f t="shared" si="10"/>
        <v>7_8</v>
      </c>
      <c r="D59" s="114" t="s">
        <v>6</v>
      </c>
      <c r="G59" s="94">
        <v>8</v>
      </c>
      <c r="H59" s="94">
        <v>7</v>
      </c>
      <c r="I59" s="94" t="str">
        <f t="shared" si="11"/>
        <v>7_8</v>
      </c>
      <c r="J59" s="107" t="s">
        <v>6</v>
      </c>
      <c r="K59" s="94"/>
      <c r="L59" s="105" t="s">
        <v>122</v>
      </c>
      <c r="M59" s="105"/>
      <c r="N59" s="94"/>
      <c r="O59" s="99"/>
      <c r="Q59" s="108">
        <v>5</v>
      </c>
      <c r="R59" s="101" t="s">
        <v>112</v>
      </c>
      <c r="S59" s="128" t="s">
        <v>302</v>
      </c>
      <c r="T59" s="128"/>
      <c r="U59" s="101" t="s">
        <v>122</v>
      </c>
      <c r="V59" s="101" t="str">
        <f t="shared" si="6"/>
        <v/>
      </c>
      <c r="W59" s="94"/>
      <c r="AI59" s="70">
        <v>7</v>
      </c>
      <c r="AJ59" s="70" t="s">
        <v>268</v>
      </c>
      <c r="AM59" s="134"/>
    </row>
    <row r="60" spans="1:40" x14ac:dyDescent="0.25">
      <c r="A60" s="70">
        <v>1</v>
      </c>
      <c r="B60" s="109">
        <v>8</v>
      </c>
      <c r="C60" s="94" t="str">
        <f t="shared" si="10"/>
        <v>8_1</v>
      </c>
      <c r="D60" s="94" t="s">
        <v>1</v>
      </c>
      <c r="G60" s="94">
        <v>1</v>
      </c>
      <c r="H60" s="108">
        <v>8</v>
      </c>
      <c r="I60" s="94" t="str">
        <f t="shared" si="11"/>
        <v>8_1</v>
      </c>
      <c r="J60" s="104" t="s">
        <v>1</v>
      </c>
      <c r="K60" s="94"/>
      <c r="L60" s="105" t="s">
        <v>122</v>
      </c>
      <c r="M60" s="105"/>
      <c r="N60" s="94"/>
      <c r="O60" s="99"/>
      <c r="Q60" s="108">
        <v>5</v>
      </c>
      <c r="R60" s="101" t="s">
        <v>113</v>
      </c>
      <c r="S60" s="128">
        <f>38.6*69.7</f>
        <v>2690.42</v>
      </c>
      <c r="T60" s="128"/>
      <c r="U60" s="101" t="s">
        <v>122</v>
      </c>
      <c r="V60" s="101">
        <f t="shared" si="6"/>
        <v>2.7</v>
      </c>
      <c r="W60" s="94" t="s">
        <v>122</v>
      </c>
      <c r="AI60" s="70">
        <v>7</v>
      </c>
      <c r="AJ60" s="70" t="s">
        <v>269</v>
      </c>
      <c r="AM60" s="134"/>
    </row>
    <row r="61" spans="1:40" x14ac:dyDescent="0.25">
      <c r="A61" s="70">
        <v>2</v>
      </c>
      <c r="B61" s="109">
        <v>8</v>
      </c>
      <c r="C61" s="94" t="str">
        <f t="shared" si="10"/>
        <v>8_2</v>
      </c>
      <c r="D61" s="114" t="s">
        <v>2</v>
      </c>
      <c r="G61" s="94">
        <v>2</v>
      </c>
      <c r="H61" s="108">
        <v>8</v>
      </c>
      <c r="I61" s="94" t="str">
        <f t="shared" si="11"/>
        <v>8_2</v>
      </c>
      <c r="J61" s="107" t="s">
        <v>2</v>
      </c>
      <c r="K61" s="94"/>
      <c r="L61" s="105" t="s">
        <v>122</v>
      </c>
      <c r="M61" s="105"/>
      <c r="N61" s="94"/>
      <c r="O61" s="99"/>
      <c r="Q61" s="108">
        <v>5</v>
      </c>
      <c r="R61" s="104" t="s">
        <v>114</v>
      </c>
      <c r="S61" s="128">
        <f>34.2*66</f>
        <v>2257.2000000000003</v>
      </c>
      <c r="T61" s="128"/>
      <c r="U61" s="101" t="s">
        <v>122</v>
      </c>
      <c r="V61" s="101">
        <f t="shared" si="6"/>
        <v>2.2999999999999998</v>
      </c>
      <c r="W61" s="94" t="s">
        <v>123</v>
      </c>
      <c r="AI61" s="70">
        <v>7</v>
      </c>
      <c r="AJ61" s="70" t="s">
        <v>270</v>
      </c>
      <c r="AM61" s="134"/>
      <c r="AN61" s="111"/>
    </row>
    <row r="62" spans="1:40" x14ac:dyDescent="0.25">
      <c r="A62" s="70">
        <v>3</v>
      </c>
      <c r="B62" s="109">
        <v>8</v>
      </c>
      <c r="C62" s="109" t="str">
        <f t="shared" si="10"/>
        <v>8_3</v>
      </c>
      <c r="D62" s="114" t="s">
        <v>8</v>
      </c>
      <c r="G62" s="94">
        <v>3</v>
      </c>
      <c r="H62" s="108">
        <v>8</v>
      </c>
      <c r="I62" s="94" t="str">
        <f t="shared" si="11"/>
        <v>8_3</v>
      </c>
      <c r="J62" s="107" t="s">
        <v>8</v>
      </c>
      <c r="K62" s="94"/>
      <c r="L62" s="105" t="s">
        <v>122</v>
      </c>
      <c r="M62" s="105"/>
      <c r="N62" s="94"/>
      <c r="O62" s="99"/>
      <c r="Q62" s="108">
        <v>5</v>
      </c>
      <c r="R62" s="108" t="s">
        <v>116</v>
      </c>
      <c r="S62" s="128">
        <f>33.1*68</f>
        <v>2250.8000000000002</v>
      </c>
      <c r="T62" s="128"/>
      <c r="U62" s="101" t="s">
        <v>122</v>
      </c>
      <c r="V62" s="101">
        <f t="shared" si="6"/>
        <v>2.2999999999999998</v>
      </c>
      <c r="W62" s="94"/>
      <c r="AI62" s="70">
        <v>7</v>
      </c>
      <c r="AJ62" s="70" t="s">
        <v>271</v>
      </c>
      <c r="AM62" s="134"/>
    </row>
    <row r="63" spans="1:40" x14ac:dyDescent="0.25">
      <c r="A63" s="70">
        <v>4</v>
      </c>
      <c r="B63" s="109">
        <v>8</v>
      </c>
      <c r="C63" s="109" t="str">
        <f t="shared" si="10"/>
        <v>8_4</v>
      </c>
      <c r="D63" s="114" t="s">
        <v>4</v>
      </c>
      <c r="G63" s="94">
        <v>4</v>
      </c>
      <c r="H63" s="108">
        <v>8</v>
      </c>
      <c r="I63" s="94" t="str">
        <f t="shared" si="11"/>
        <v>8_4</v>
      </c>
      <c r="J63" s="107" t="s">
        <v>4</v>
      </c>
      <c r="K63" s="94"/>
      <c r="L63" s="105" t="s">
        <v>122</v>
      </c>
      <c r="M63" s="105"/>
      <c r="N63" s="94"/>
      <c r="O63" s="99"/>
      <c r="Q63" s="108">
        <v>5</v>
      </c>
      <c r="R63" s="94" t="s">
        <v>115</v>
      </c>
      <c r="S63" s="128">
        <f>36.8*69.7</f>
        <v>2564.96</v>
      </c>
      <c r="T63" s="128"/>
      <c r="U63" s="101" t="s">
        <v>122</v>
      </c>
      <c r="V63" s="101">
        <f t="shared" si="6"/>
        <v>2.6</v>
      </c>
      <c r="W63" s="94"/>
      <c r="AI63" s="70">
        <v>7</v>
      </c>
      <c r="AJ63" s="70" t="s">
        <v>272</v>
      </c>
      <c r="AM63" s="134"/>
    </row>
    <row r="64" spans="1:40" x14ac:dyDescent="0.25">
      <c r="A64" s="70">
        <v>5</v>
      </c>
      <c r="B64" s="109">
        <v>8</v>
      </c>
      <c r="C64" s="109" t="str">
        <f t="shared" si="10"/>
        <v>8_5</v>
      </c>
      <c r="D64" s="114" t="s">
        <v>5</v>
      </c>
      <c r="G64" s="94">
        <v>5</v>
      </c>
      <c r="H64" s="108">
        <v>8</v>
      </c>
      <c r="I64" s="94" t="str">
        <f t="shared" si="11"/>
        <v>8_5</v>
      </c>
      <c r="J64" s="107" t="s">
        <v>5</v>
      </c>
      <c r="K64" s="94"/>
      <c r="L64" s="105" t="s">
        <v>122</v>
      </c>
      <c r="M64" s="105"/>
      <c r="N64" s="94"/>
      <c r="O64" s="99"/>
      <c r="Q64" s="108">
        <v>5</v>
      </c>
      <c r="R64" s="94" t="s">
        <v>117</v>
      </c>
      <c r="S64" s="128" t="s">
        <v>302</v>
      </c>
      <c r="T64" s="128"/>
      <c r="U64" s="101" t="s">
        <v>122</v>
      </c>
      <c r="V64" s="101" t="str">
        <f t="shared" si="6"/>
        <v/>
      </c>
      <c r="W64" s="94"/>
      <c r="AI64" s="70">
        <v>7</v>
      </c>
      <c r="AJ64" s="70" t="s">
        <v>273</v>
      </c>
      <c r="AM64" s="134"/>
    </row>
    <row r="65" spans="1:40" x14ac:dyDescent="0.25">
      <c r="A65" s="70">
        <v>6</v>
      </c>
      <c r="B65" s="109">
        <v>8</v>
      </c>
      <c r="C65" s="109" t="str">
        <f t="shared" si="10"/>
        <v>8_6</v>
      </c>
      <c r="D65" s="114" t="s">
        <v>7</v>
      </c>
      <c r="G65" s="94">
        <v>6</v>
      </c>
      <c r="H65" s="108">
        <v>8</v>
      </c>
      <c r="I65" s="94" t="str">
        <f t="shared" si="11"/>
        <v>8_6</v>
      </c>
      <c r="J65" s="107" t="s">
        <v>7</v>
      </c>
      <c r="K65" s="94"/>
      <c r="L65" s="105" t="s">
        <v>122</v>
      </c>
      <c r="M65" s="105"/>
      <c r="N65" s="94"/>
      <c r="O65" s="99"/>
      <c r="Q65" s="108">
        <v>5</v>
      </c>
      <c r="R65" s="94" t="s">
        <v>118</v>
      </c>
      <c r="S65" s="128">
        <f>39.6*69.7</f>
        <v>2760.1200000000003</v>
      </c>
      <c r="T65" s="128"/>
      <c r="U65" s="101" t="s">
        <v>122</v>
      </c>
      <c r="V65" s="101">
        <f t="shared" si="6"/>
        <v>2.8</v>
      </c>
      <c r="W65" s="94" t="s">
        <v>124</v>
      </c>
      <c r="AI65" s="70">
        <v>7</v>
      </c>
      <c r="AJ65" s="70" t="s">
        <v>274</v>
      </c>
      <c r="AM65" s="134"/>
    </row>
    <row r="66" spans="1:40" x14ac:dyDescent="0.25">
      <c r="A66" s="70">
        <v>7</v>
      </c>
      <c r="B66" s="109">
        <v>8</v>
      </c>
      <c r="C66" s="109" t="str">
        <f t="shared" si="10"/>
        <v>8_7</v>
      </c>
      <c r="D66" s="114" t="s">
        <v>3</v>
      </c>
      <c r="G66" s="94">
        <v>7</v>
      </c>
      <c r="H66" s="94">
        <v>8</v>
      </c>
      <c r="I66" s="94" t="str">
        <f t="shared" si="11"/>
        <v>8_7</v>
      </c>
      <c r="J66" s="107" t="s">
        <v>3</v>
      </c>
      <c r="K66" s="94"/>
      <c r="L66" s="105" t="s">
        <v>122</v>
      </c>
      <c r="M66" s="105"/>
      <c r="N66" s="94"/>
      <c r="O66" s="99"/>
      <c r="Q66" s="108">
        <v>5</v>
      </c>
      <c r="R66" s="94" t="s">
        <v>119</v>
      </c>
      <c r="S66" s="128">
        <f>25.7*59.4</f>
        <v>1526.58</v>
      </c>
      <c r="T66" s="128"/>
      <c r="U66" s="101" t="s">
        <v>122</v>
      </c>
      <c r="V66" s="101">
        <f t="shared" si="6"/>
        <v>1.5</v>
      </c>
      <c r="W66" s="94"/>
      <c r="AI66" s="70">
        <v>7</v>
      </c>
      <c r="AJ66" s="70" t="s">
        <v>267</v>
      </c>
      <c r="AM66" s="134"/>
    </row>
    <row r="67" spans="1:40" x14ac:dyDescent="0.25">
      <c r="A67" s="70">
        <v>8</v>
      </c>
      <c r="B67" s="109">
        <v>8</v>
      </c>
      <c r="C67" s="109" t="str">
        <f t="shared" si="10"/>
        <v>8_8</v>
      </c>
      <c r="D67" s="114" t="s">
        <v>6</v>
      </c>
      <c r="G67" s="94">
        <v>8</v>
      </c>
      <c r="H67" s="94">
        <v>8</v>
      </c>
      <c r="I67" s="94" t="str">
        <f t="shared" si="11"/>
        <v>8_8</v>
      </c>
      <c r="J67" s="107" t="s">
        <v>6</v>
      </c>
      <c r="K67" s="94"/>
      <c r="L67" s="105" t="s">
        <v>122</v>
      </c>
      <c r="M67" s="105"/>
      <c r="N67" s="94"/>
      <c r="O67" s="99"/>
      <c r="Q67" s="108">
        <v>5</v>
      </c>
      <c r="R67" s="94" t="s">
        <v>120</v>
      </c>
      <c r="S67" s="128" t="s">
        <v>302</v>
      </c>
      <c r="T67" s="128"/>
      <c r="U67" s="101" t="s">
        <v>122</v>
      </c>
      <c r="V67" s="101" t="str">
        <f t="shared" si="6"/>
        <v/>
      </c>
      <c r="W67" s="94" t="s">
        <v>139</v>
      </c>
      <c r="AI67" s="70">
        <v>8</v>
      </c>
      <c r="AJ67" s="70" t="s">
        <v>188</v>
      </c>
      <c r="AL67" s="70">
        <v>1040</v>
      </c>
      <c r="AM67" s="134">
        <f t="shared" si="12"/>
        <v>1.04</v>
      </c>
    </row>
    <row r="68" spans="1:40" x14ac:dyDescent="0.25">
      <c r="G68" s="94">
        <v>1</v>
      </c>
      <c r="H68" s="94">
        <v>9</v>
      </c>
      <c r="I68" s="94" t="str">
        <f t="shared" ref="I68:I75" si="13">H68&amp;"_" &amp;G68</f>
        <v>9_1</v>
      </c>
      <c r="J68" s="104" t="s">
        <v>1</v>
      </c>
      <c r="K68" s="94"/>
      <c r="L68" s="105" t="s">
        <v>122</v>
      </c>
      <c r="M68" s="105"/>
      <c r="N68" s="94"/>
      <c r="O68" s="99"/>
      <c r="Q68" s="108">
        <v>5</v>
      </c>
      <c r="R68" s="94" t="s">
        <v>121</v>
      </c>
      <c r="S68" s="128">
        <f>39.5*50.9</f>
        <v>2010.55</v>
      </c>
      <c r="T68" s="128"/>
      <c r="U68" s="101" t="s">
        <v>122</v>
      </c>
      <c r="V68" s="101">
        <f t="shared" si="6"/>
        <v>2</v>
      </c>
      <c r="W68" s="94" t="s">
        <v>139</v>
      </c>
      <c r="AI68" s="70">
        <v>8</v>
      </c>
      <c r="AJ68" s="70" t="s">
        <v>228</v>
      </c>
      <c r="AL68" s="70">
        <v>0</v>
      </c>
      <c r="AM68" s="134">
        <f t="shared" si="12"/>
        <v>0</v>
      </c>
    </row>
    <row r="69" spans="1:40" x14ac:dyDescent="0.25">
      <c r="G69" s="94">
        <v>2</v>
      </c>
      <c r="H69" s="94">
        <v>9</v>
      </c>
      <c r="I69" s="94" t="str">
        <f t="shared" si="13"/>
        <v>9_2</v>
      </c>
      <c r="J69" s="107" t="s">
        <v>2</v>
      </c>
      <c r="K69" s="94"/>
      <c r="L69" s="105" t="s">
        <v>122</v>
      </c>
      <c r="M69" s="105"/>
      <c r="N69" s="94"/>
      <c r="O69" s="99"/>
      <c r="Q69" s="108">
        <v>6</v>
      </c>
      <c r="R69" s="101" t="s">
        <v>167</v>
      </c>
      <c r="S69" s="101"/>
      <c r="T69" s="101"/>
      <c r="U69" s="101"/>
      <c r="V69" s="101" t="str">
        <f>noerror(ROUND(#REF!,-ROUNDDOWN(LOG(#REF!)-1,0))/1000)</f>
        <v/>
      </c>
      <c r="W69" s="94"/>
      <c r="AI69" s="70">
        <v>8</v>
      </c>
      <c r="AJ69" s="70" t="s">
        <v>189</v>
      </c>
      <c r="AL69" s="70">
        <v>1040</v>
      </c>
      <c r="AM69" s="134">
        <f t="shared" si="12"/>
        <v>1.04</v>
      </c>
      <c r="AN69" s="111" t="s">
        <v>222</v>
      </c>
    </row>
    <row r="70" spans="1:40" x14ac:dyDescent="0.25">
      <c r="G70" s="94">
        <v>3</v>
      </c>
      <c r="H70" s="94">
        <v>9</v>
      </c>
      <c r="I70" s="94" t="str">
        <f t="shared" si="13"/>
        <v>9_3</v>
      </c>
      <c r="J70" s="107" t="s">
        <v>8</v>
      </c>
      <c r="K70" s="94"/>
      <c r="L70" s="105" t="s">
        <v>122</v>
      </c>
      <c r="M70" s="105"/>
      <c r="N70" s="94"/>
      <c r="O70" s="99"/>
      <c r="Q70" s="108">
        <v>6</v>
      </c>
      <c r="R70" s="101" t="s">
        <v>168</v>
      </c>
      <c r="S70" s="101"/>
      <c r="T70" s="101"/>
      <c r="U70" s="101"/>
      <c r="V70" s="101" t="str">
        <f>noerror(ROUND(#REF!,-ROUNDDOWN(LOG(#REF!)-1,0))/1000)</f>
        <v/>
      </c>
      <c r="W70" s="94"/>
      <c r="AI70" s="70">
        <v>8</v>
      </c>
      <c r="AJ70" s="70" t="s">
        <v>220</v>
      </c>
      <c r="AL70" s="70">
        <v>1180</v>
      </c>
      <c r="AM70" s="134">
        <f t="shared" si="12"/>
        <v>1.18</v>
      </c>
    </row>
    <row r="71" spans="1:40" x14ac:dyDescent="0.25">
      <c r="G71" s="94">
        <v>4</v>
      </c>
      <c r="H71" s="94">
        <v>9</v>
      </c>
      <c r="I71" s="94" t="str">
        <f t="shared" si="13"/>
        <v>9_4</v>
      </c>
      <c r="J71" s="107" t="s">
        <v>4</v>
      </c>
      <c r="K71" s="94"/>
      <c r="L71" s="105" t="s">
        <v>122</v>
      </c>
      <c r="M71" s="105"/>
      <c r="N71" s="94"/>
      <c r="O71" s="99"/>
      <c r="Q71" s="108">
        <v>6</v>
      </c>
      <c r="R71" s="101" t="s">
        <v>169</v>
      </c>
      <c r="S71" s="94"/>
      <c r="T71" s="128">
        <v>2690</v>
      </c>
      <c r="U71" s="101"/>
      <c r="V71" s="101">
        <f>T71/1000</f>
        <v>2.69</v>
      </c>
      <c r="W71" s="94"/>
      <c r="AI71" s="70">
        <v>8</v>
      </c>
      <c r="AJ71" s="70" t="s">
        <v>227</v>
      </c>
      <c r="AL71" s="70">
        <v>50</v>
      </c>
      <c r="AM71" s="134">
        <f t="shared" si="12"/>
        <v>0.05</v>
      </c>
    </row>
    <row r="72" spans="1:40" x14ac:dyDescent="0.25">
      <c r="G72" s="94">
        <v>5</v>
      </c>
      <c r="H72" s="94">
        <v>9</v>
      </c>
      <c r="I72" s="94" t="str">
        <f t="shared" si="13"/>
        <v>9_5</v>
      </c>
      <c r="J72" s="107" t="s">
        <v>5</v>
      </c>
      <c r="K72" s="94"/>
      <c r="L72" s="105" t="s">
        <v>122</v>
      </c>
      <c r="M72" s="105"/>
      <c r="N72" s="94"/>
      <c r="O72" s="99"/>
      <c r="Q72" s="108">
        <v>6</v>
      </c>
      <c r="R72" s="104" t="s">
        <v>170</v>
      </c>
      <c r="S72" s="94"/>
      <c r="T72" s="128">
        <v>2257</v>
      </c>
      <c r="U72" s="104"/>
      <c r="V72" s="101">
        <f>T72/1000</f>
        <v>2.2570000000000001</v>
      </c>
      <c r="W72" s="94"/>
      <c r="AI72" s="70">
        <v>8</v>
      </c>
      <c r="AJ72" s="70" t="s">
        <v>186</v>
      </c>
      <c r="AL72" s="70">
        <v>3080</v>
      </c>
      <c r="AM72" s="134">
        <f t="shared" si="12"/>
        <v>3.08</v>
      </c>
      <c r="AN72" s="70" t="s">
        <v>192</v>
      </c>
    </row>
    <row r="73" spans="1:40" x14ac:dyDescent="0.25">
      <c r="G73" s="94">
        <v>6</v>
      </c>
      <c r="H73" s="94">
        <v>9</v>
      </c>
      <c r="I73" s="94" t="str">
        <f t="shared" si="13"/>
        <v>9_6</v>
      </c>
      <c r="J73" s="107" t="s">
        <v>7</v>
      </c>
      <c r="K73" s="94"/>
      <c r="L73" s="105" t="s">
        <v>122</v>
      </c>
      <c r="M73" s="105"/>
      <c r="N73" s="94"/>
      <c r="O73" s="99"/>
      <c r="Q73" s="108">
        <v>6</v>
      </c>
      <c r="R73" s="108" t="s">
        <v>171</v>
      </c>
      <c r="S73" s="94"/>
      <c r="T73" s="128"/>
      <c r="U73" s="108"/>
      <c r="V73" s="101" t="str">
        <f>noerror(ROUND(T73,-ROUNDDOWN(LOG(T73)-1,0))/1000)</f>
        <v/>
      </c>
      <c r="W73" s="94"/>
      <c r="AI73" s="70">
        <v>8</v>
      </c>
      <c r="AJ73" s="70" t="s">
        <v>191</v>
      </c>
      <c r="AL73" s="70">
        <v>3080</v>
      </c>
      <c r="AM73" s="134">
        <f t="shared" si="12"/>
        <v>3.08</v>
      </c>
      <c r="AN73" s="70" t="s">
        <v>192</v>
      </c>
    </row>
    <row r="74" spans="1:40" x14ac:dyDescent="0.25">
      <c r="G74" s="94">
        <v>7</v>
      </c>
      <c r="H74" s="94">
        <v>9</v>
      </c>
      <c r="I74" s="94" t="str">
        <f t="shared" si="13"/>
        <v>9_7</v>
      </c>
      <c r="J74" s="107" t="s">
        <v>3</v>
      </c>
      <c r="K74" s="94"/>
      <c r="L74" s="105" t="s">
        <v>122</v>
      </c>
      <c r="M74" s="105"/>
      <c r="N74" s="94"/>
      <c r="O74" s="99"/>
      <c r="Q74" s="108">
        <v>6</v>
      </c>
      <c r="R74" s="94" t="s">
        <v>172</v>
      </c>
      <c r="S74" s="94"/>
      <c r="T74" s="128"/>
      <c r="U74" s="94"/>
      <c r="V74" s="101" t="str">
        <f>noerror(ROUND(T74,-ROUNDDOWN(LOG(T74)-1,0))/1000)</f>
        <v/>
      </c>
      <c r="W74" s="94"/>
      <c r="AI74" s="70">
        <v>8</v>
      </c>
      <c r="AJ74" s="70" t="s">
        <v>187</v>
      </c>
      <c r="AL74" s="70">
        <v>2310</v>
      </c>
      <c r="AM74" s="134">
        <f t="shared" si="12"/>
        <v>2.31</v>
      </c>
    </row>
    <row r="75" spans="1:40" x14ac:dyDescent="0.25">
      <c r="G75" s="94">
        <v>8</v>
      </c>
      <c r="H75" s="94">
        <v>9</v>
      </c>
      <c r="I75" s="94" t="str">
        <f t="shared" si="13"/>
        <v>9_8</v>
      </c>
      <c r="J75" s="107" t="s">
        <v>6</v>
      </c>
      <c r="K75" s="94"/>
      <c r="L75" s="105" t="s">
        <v>122</v>
      </c>
      <c r="M75" s="105"/>
      <c r="N75" s="94"/>
      <c r="O75" s="99"/>
      <c r="Q75" s="108">
        <v>6</v>
      </c>
      <c r="R75" s="94" t="s">
        <v>173</v>
      </c>
      <c r="S75" s="94"/>
      <c r="T75" s="128"/>
      <c r="U75" s="94"/>
      <c r="V75" s="101" t="str">
        <f>noerror(ROUND(T75,-ROUNDDOWN(LOG(T75)-1,0))/1000)</f>
        <v/>
      </c>
      <c r="W75" s="94"/>
      <c r="AI75" s="70">
        <v>9</v>
      </c>
      <c r="AJ75" s="70" t="s">
        <v>214</v>
      </c>
      <c r="AL75" s="70">
        <v>1040</v>
      </c>
      <c r="AM75" s="134">
        <f t="shared" si="12"/>
        <v>1.04</v>
      </c>
    </row>
    <row r="76" spans="1:40" x14ac:dyDescent="0.25">
      <c r="Q76" s="108">
        <v>6</v>
      </c>
      <c r="R76" s="94" t="s">
        <v>174</v>
      </c>
      <c r="S76" s="94"/>
      <c r="T76" s="128"/>
      <c r="U76" s="94"/>
      <c r="V76" s="101" t="str">
        <f>noerror(ROUND(T76,-ROUNDDOWN(LOG(T76)-1,0))/1000)</f>
        <v/>
      </c>
      <c r="W76" s="94"/>
      <c r="AI76" s="70">
        <v>9</v>
      </c>
      <c r="AJ76" s="70" t="s">
        <v>224</v>
      </c>
      <c r="AL76" s="70">
        <v>0</v>
      </c>
      <c r="AM76" s="134">
        <f t="shared" si="12"/>
        <v>0</v>
      </c>
    </row>
    <row r="77" spans="1:40" x14ac:dyDescent="0.25">
      <c r="Q77" s="108">
        <v>6</v>
      </c>
      <c r="R77" s="94" t="s">
        <v>177</v>
      </c>
      <c r="S77" s="94"/>
      <c r="T77" s="128">
        <v>1527</v>
      </c>
      <c r="U77" s="94"/>
      <c r="V77" s="101">
        <f>T77/1000</f>
        <v>1.5269999999999999</v>
      </c>
      <c r="W77" s="94"/>
      <c r="AI77" s="70">
        <v>9</v>
      </c>
      <c r="AJ77" s="70" t="s">
        <v>213</v>
      </c>
      <c r="AL77" s="70">
        <v>1040</v>
      </c>
      <c r="AM77" s="134">
        <f t="shared" si="12"/>
        <v>1.04</v>
      </c>
      <c r="AN77" s="111" t="s">
        <v>222</v>
      </c>
    </row>
    <row r="78" spans="1:40" x14ac:dyDescent="0.25">
      <c r="Q78" s="108">
        <v>6</v>
      </c>
      <c r="R78" s="94" t="s">
        <v>176</v>
      </c>
      <c r="S78" s="94"/>
      <c r="T78" s="128"/>
      <c r="U78" s="94"/>
      <c r="V78" s="101" t="str">
        <f>noerror(ROUND(T78,-ROUNDDOWN(LOG(T78)-1,0))/1000)</f>
        <v/>
      </c>
      <c r="W78" s="94"/>
      <c r="AI78" s="70">
        <v>9</v>
      </c>
      <c r="AJ78" s="70" t="s">
        <v>218</v>
      </c>
      <c r="AL78" s="70">
        <v>1180</v>
      </c>
      <c r="AM78" s="134">
        <f t="shared" si="12"/>
        <v>1.18</v>
      </c>
    </row>
    <row r="79" spans="1:40" x14ac:dyDescent="0.25">
      <c r="Q79" s="108">
        <v>6</v>
      </c>
      <c r="R79" s="94" t="s">
        <v>175</v>
      </c>
      <c r="S79" s="94"/>
      <c r="T79" s="128">
        <v>2010</v>
      </c>
      <c r="U79" s="94"/>
      <c r="V79" s="101">
        <f>T79/1000</f>
        <v>2.0099999999999998</v>
      </c>
      <c r="W79" s="94"/>
      <c r="AI79" s="70">
        <v>9</v>
      </c>
      <c r="AJ79" s="70" t="s">
        <v>223</v>
      </c>
      <c r="AL79" s="70">
        <v>50</v>
      </c>
      <c r="AM79" s="134">
        <f t="shared" si="12"/>
        <v>0.05</v>
      </c>
    </row>
    <row r="80" spans="1:40" x14ac:dyDescent="0.25">
      <c r="Q80" s="108">
        <v>7</v>
      </c>
      <c r="R80" s="101" t="s">
        <v>157</v>
      </c>
      <c r="S80" s="101"/>
      <c r="T80" s="101"/>
      <c r="U80" s="101"/>
      <c r="V80" s="101" t="str">
        <f>noerror(ROUND(#REF!,-ROUNDDOWN(LOG(#REF!)-1,0))/1000)</f>
        <v/>
      </c>
      <c r="W80" s="94"/>
      <c r="AI80" s="70">
        <v>9</v>
      </c>
      <c r="AJ80" s="70" t="s">
        <v>215</v>
      </c>
      <c r="AL80" s="70">
        <v>2770</v>
      </c>
      <c r="AM80" s="134">
        <f t="shared" si="12"/>
        <v>2.77</v>
      </c>
    </row>
    <row r="81" spans="17:39" x14ac:dyDescent="0.25">
      <c r="Q81" s="108">
        <v>7</v>
      </c>
      <c r="R81" s="101" t="s">
        <v>158</v>
      </c>
      <c r="S81" s="101"/>
      <c r="T81" s="101"/>
      <c r="U81" s="101"/>
      <c r="V81" s="101" t="str">
        <f>noerror(ROUND(#REF!,-ROUNDDOWN(LOG(#REF!)-1,0))/1000)</f>
        <v/>
      </c>
      <c r="W81" s="94"/>
      <c r="AI81" s="70">
        <v>9</v>
      </c>
      <c r="AJ81" s="70" t="s">
        <v>216</v>
      </c>
      <c r="AL81" s="70">
        <v>2770</v>
      </c>
      <c r="AM81" s="134">
        <f t="shared" si="12"/>
        <v>2.77</v>
      </c>
    </row>
    <row r="82" spans="17:39" x14ac:dyDescent="0.25">
      <c r="Q82" s="108">
        <v>7</v>
      </c>
      <c r="R82" s="101" t="s">
        <v>159</v>
      </c>
      <c r="S82" s="101"/>
      <c r="T82" s="101"/>
      <c r="U82" s="101"/>
      <c r="V82" s="101" t="str">
        <f>noerror(ROUND(#REF!,-ROUNDDOWN(LOG(#REF!)-1,0))/1000)</f>
        <v/>
      </c>
      <c r="W82" s="94"/>
      <c r="AI82" s="70">
        <v>9</v>
      </c>
      <c r="AJ82" s="70" t="s">
        <v>217</v>
      </c>
      <c r="AL82" s="70">
        <v>2080</v>
      </c>
      <c r="AM82" s="134">
        <f t="shared" si="12"/>
        <v>2.08</v>
      </c>
    </row>
    <row r="83" spans="17:39" x14ac:dyDescent="0.25">
      <c r="Q83" s="108">
        <v>7</v>
      </c>
      <c r="R83" s="104" t="s">
        <v>160</v>
      </c>
      <c r="S83" s="104"/>
      <c r="T83" s="104"/>
      <c r="U83" s="104"/>
      <c r="V83" s="101" t="str">
        <f>noerror(ROUND(#REF!,-ROUNDDOWN(LOG(#REF!)-1,0))/1000)</f>
        <v/>
      </c>
      <c r="W83" s="94"/>
    </row>
    <row r="84" spans="17:39" x14ac:dyDescent="0.25">
      <c r="Q84" s="108">
        <v>7</v>
      </c>
      <c r="R84" s="108" t="s">
        <v>161</v>
      </c>
      <c r="S84" s="108"/>
      <c r="T84" s="108"/>
      <c r="U84" s="108"/>
      <c r="V84" s="101" t="str">
        <f>noerror(ROUND(#REF!,-ROUNDDOWN(LOG(#REF!)-1,0))/1000)</f>
        <v/>
      </c>
      <c r="W84" s="94"/>
    </row>
    <row r="85" spans="17:39" x14ac:dyDescent="0.25">
      <c r="Q85" s="108">
        <v>7</v>
      </c>
      <c r="R85" s="94" t="s">
        <v>162</v>
      </c>
      <c r="S85" s="94"/>
      <c r="T85" s="94"/>
      <c r="U85" s="94"/>
      <c r="V85" s="101" t="str">
        <f>noerror(ROUND(#REF!,-ROUNDDOWN(LOG(#REF!)-1,0))/1000)</f>
        <v/>
      </c>
      <c r="W85" s="94"/>
    </row>
    <row r="86" spans="17:39" x14ac:dyDescent="0.25">
      <c r="Q86" s="108">
        <v>7</v>
      </c>
      <c r="R86" s="94" t="s">
        <v>163</v>
      </c>
      <c r="S86" s="94"/>
      <c r="T86" s="94"/>
      <c r="U86" s="94"/>
      <c r="V86" s="101" t="str">
        <f>noerror(ROUND(#REF!,-ROUNDDOWN(LOG(#REF!)-1,0))/1000)</f>
        <v/>
      </c>
      <c r="W86" s="94"/>
    </row>
    <row r="87" spans="17:39" x14ac:dyDescent="0.25">
      <c r="Q87" s="108">
        <v>7</v>
      </c>
      <c r="R87" s="94" t="s">
        <v>164</v>
      </c>
      <c r="S87" s="94"/>
      <c r="T87" s="94"/>
      <c r="U87" s="94"/>
      <c r="V87" s="101" t="str">
        <f>noerror(ROUND(#REF!,-ROUNDDOWN(LOG(#REF!)-1,0))/1000)</f>
        <v/>
      </c>
      <c r="W87" s="94"/>
      <c r="Y87" s="70" t="s">
        <v>276</v>
      </c>
    </row>
    <row r="88" spans="17:39" x14ac:dyDescent="0.25">
      <c r="Q88" s="108">
        <v>7</v>
      </c>
      <c r="R88" s="94" t="s">
        <v>165</v>
      </c>
      <c r="S88" s="94"/>
      <c r="T88" s="94"/>
      <c r="U88" s="94"/>
      <c r="V88" s="101" t="str">
        <f>noerror(ROUND(#REF!,-ROUNDDOWN(LOG(#REF!)-1,0))/1000)</f>
        <v/>
      </c>
      <c r="W88" s="94"/>
    </row>
    <row r="89" spans="17:39" x14ac:dyDescent="0.25">
      <c r="Q89" s="108">
        <v>7</v>
      </c>
      <c r="R89" s="94" t="s">
        <v>166</v>
      </c>
      <c r="S89" s="94"/>
      <c r="T89" s="94"/>
      <c r="U89" s="94"/>
      <c r="V89" s="101" t="str">
        <f>noerror(ROUND(#REF!,-ROUNDDOWN(LOG(#REF!)-1,0))/1000)</f>
        <v/>
      </c>
      <c r="W89" s="94"/>
    </row>
    <row r="90" spans="17:39" x14ac:dyDescent="0.25">
      <c r="Q90" s="108">
        <v>7</v>
      </c>
      <c r="R90" s="94" t="s">
        <v>156</v>
      </c>
      <c r="S90" s="94"/>
      <c r="T90" s="94"/>
      <c r="U90" s="94"/>
      <c r="V90" s="101" t="str">
        <f>noerror(ROUND(#REF!,-ROUNDDOWN(LOG(#REF!)-1,0))/1000)</f>
        <v/>
      </c>
      <c r="W90" s="94"/>
    </row>
    <row r="91" spans="17:39" x14ac:dyDescent="0.25">
      <c r="Q91" s="108">
        <v>8</v>
      </c>
      <c r="R91" s="101" t="s">
        <v>145</v>
      </c>
      <c r="S91" s="101"/>
      <c r="T91" s="128" t="s">
        <v>302</v>
      </c>
      <c r="U91" s="101"/>
      <c r="V91" s="101" t="str">
        <f>noerror(ROUND(T91,-ROUNDDOWN(LOG(T91)-1,0))/1000)</f>
        <v/>
      </c>
      <c r="W91" s="94"/>
    </row>
    <row r="92" spans="17:39" x14ac:dyDescent="0.25">
      <c r="Q92" s="108">
        <v>8</v>
      </c>
      <c r="R92" s="101" t="s">
        <v>146</v>
      </c>
      <c r="S92" s="101"/>
      <c r="T92" s="128">
        <v>3180</v>
      </c>
      <c r="U92" s="101"/>
      <c r="V92" s="101">
        <f>T92/1000</f>
        <v>3.18</v>
      </c>
      <c r="W92" s="94"/>
    </row>
    <row r="93" spans="17:39" x14ac:dyDescent="0.25">
      <c r="Q93" s="108">
        <v>8</v>
      </c>
      <c r="R93" s="101" t="s">
        <v>147</v>
      </c>
      <c r="S93" s="101"/>
      <c r="T93" s="128">
        <v>3180</v>
      </c>
      <c r="U93" s="101"/>
      <c r="V93" s="101">
        <f>T93/1000</f>
        <v>3.18</v>
      </c>
      <c r="W93" s="94"/>
    </row>
    <row r="94" spans="17:39" x14ac:dyDescent="0.25">
      <c r="Q94" s="108">
        <v>8</v>
      </c>
      <c r="R94" s="104" t="s">
        <v>148</v>
      </c>
      <c r="S94" s="104"/>
      <c r="T94" s="128">
        <v>2893</v>
      </c>
      <c r="U94" s="104"/>
      <c r="V94" s="101">
        <f>T94/1000</f>
        <v>2.8929999999999998</v>
      </c>
      <c r="W94" s="94"/>
    </row>
    <row r="95" spans="17:39" x14ac:dyDescent="0.25">
      <c r="Q95" s="108">
        <v>8</v>
      </c>
      <c r="R95" s="108" t="s">
        <v>149</v>
      </c>
      <c r="S95" s="108"/>
      <c r="T95" s="128">
        <v>2697</v>
      </c>
      <c r="U95" s="108"/>
      <c r="V95" s="101">
        <f>T95/1000</f>
        <v>2.6970000000000001</v>
      </c>
      <c r="W95" s="94"/>
    </row>
    <row r="96" spans="17:39" x14ac:dyDescent="0.25">
      <c r="Q96" s="108">
        <v>8</v>
      </c>
      <c r="R96" s="94" t="s">
        <v>150</v>
      </c>
      <c r="S96" s="94"/>
      <c r="T96" s="128" t="s">
        <v>302</v>
      </c>
      <c r="U96" s="94"/>
      <c r="V96" s="101" t="str">
        <f>noerror(ROUND(T96,-ROUNDDOWN(LOG(T96)-1,0))/1000)</f>
        <v/>
      </c>
      <c r="W96" s="94"/>
    </row>
    <row r="97" spans="17:23" x14ac:dyDescent="0.25">
      <c r="Q97" s="108">
        <v>8</v>
      </c>
      <c r="R97" s="94" t="s">
        <v>151</v>
      </c>
      <c r="S97" s="94"/>
      <c r="T97" s="128" t="s">
        <v>302</v>
      </c>
      <c r="U97" s="94"/>
      <c r="V97" s="101" t="str">
        <f>noerror(ROUND(T97,-ROUNDDOWN(LOG(T97)-1,0))/1000)</f>
        <v/>
      </c>
      <c r="W97" s="94"/>
    </row>
    <row r="98" spans="17:23" x14ac:dyDescent="0.25">
      <c r="Q98" s="108">
        <v>8</v>
      </c>
      <c r="R98" s="94" t="s">
        <v>152</v>
      </c>
      <c r="S98" s="94"/>
      <c r="T98" s="128">
        <v>3263</v>
      </c>
      <c r="U98" s="94"/>
      <c r="V98" s="101">
        <f>T98/1000</f>
        <v>3.2629999999999999</v>
      </c>
      <c r="W98" s="94" t="s">
        <v>275</v>
      </c>
    </row>
    <row r="99" spans="17:23" x14ac:dyDescent="0.25">
      <c r="Q99" s="108">
        <v>8</v>
      </c>
      <c r="R99" s="94" t="s">
        <v>153</v>
      </c>
      <c r="S99" s="94"/>
      <c r="T99" s="128">
        <v>1863</v>
      </c>
      <c r="U99" s="94"/>
      <c r="V99" s="101">
        <f>T99/1000</f>
        <v>1.863</v>
      </c>
      <c r="W99" s="94"/>
    </row>
    <row r="100" spans="17:23" x14ac:dyDescent="0.25">
      <c r="Q100" s="108">
        <v>8</v>
      </c>
      <c r="R100" s="94" t="s">
        <v>154</v>
      </c>
      <c r="S100" s="94"/>
      <c r="T100" s="128" t="s">
        <v>302</v>
      </c>
      <c r="U100" s="94"/>
      <c r="V100" s="101" t="str">
        <f>noerror(ROUND(T100,-ROUNDDOWN(LOG(T100)-1,0))/1000)</f>
        <v/>
      </c>
      <c r="W100" s="94"/>
    </row>
    <row r="101" spans="17:23" x14ac:dyDescent="0.25">
      <c r="Q101" s="108">
        <v>8</v>
      </c>
      <c r="R101" s="94" t="s">
        <v>155</v>
      </c>
      <c r="S101" s="94"/>
      <c r="T101" s="128">
        <v>2358</v>
      </c>
      <c r="U101" s="94"/>
      <c r="V101" s="101">
        <f>T101/1000</f>
        <v>2.3580000000000001</v>
      </c>
      <c r="W101" s="94"/>
    </row>
    <row r="102" spans="17:23" x14ac:dyDescent="0.25">
      <c r="Q102" s="108">
        <v>9</v>
      </c>
      <c r="R102" s="101" t="s">
        <v>198</v>
      </c>
      <c r="S102" s="101"/>
      <c r="T102" s="128" t="s">
        <v>302</v>
      </c>
      <c r="U102" s="101"/>
      <c r="V102" s="101" t="str">
        <f>noerror(ROUND(T102,-ROUNDDOWN(LOG(T102)-1,0))/1000)</f>
        <v/>
      </c>
      <c r="W102" s="94"/>
    </row>
    <row r="103" spans="17:23" x14ac:dyDescent="0.25">
      <c r="Q103" s="108">
        <v>9</v>
      </c>
      <c r="R103" s="101" t="s">
        <v>199</v>
      </c>
      <c r="S103" s="101"/>
      <c r="T103" s="128" t="s">
        <v>302</v>
      </c>
      <c r="U103" s="101"/>
      <c r="V103" s="101" t="str">
        <f>noerror(ROUND(T103,-ROUNDDOWN(LOG(T103)-1,0))/1000)</f>
        <v/>
      </c>
      <c r="W103" s="94"/>
    </row>
    <row r="104" spans="17:23" x14ac:dyDescent="0.25">
      <c r="Q104" s="108">
        <v>9</v>
      </c>
      <c r="R104" s="101" t="s">
        <v>200</v>
      </c>
      <c r="S104" s="101"/>
      <c r="T104" s="128">
        <v>3180</v>
      </c>
      <c r="U104" s="101"/>
      <c r="V104" s="101">
        <f>T104/1000</f>
        <v>3.18</v>
      </c>
      <c r="W104" s="94"/>
    </row>
    <row r="105" spans="17:23" x14ac:dyDescent="0.25">
      <c r="Q105" s="108">
        <v>9</v>
      </c>
      <c r="R105" s="104" t="s">
        <v>201</v>
      </c>
      <c r="S105" s="104"/>
      <c r="T105" s="128">
        <v>2893</v>
      </c>
      <c r="U105" s="104"/>
      <c r="V105" s="101">
        <f>T105/1000</f>
        <v>2.8929999999999998</v>
      </c>
      <c r="W105" s="94"/>
    </row>
    <row r="106" spans="17:23" x14ac:dyDescent="0.25">
      <c r="Q106" s="108">
        <v>9</v>
      </c>
      <c r="R106" s="108" t="s">
        <v>202</v>
      </c>
      <c r="S106" s="108"/>
      <c r="T106" s="128">
        <v>2697</v>
      </c>
      <c r="U106" s="108"/>
      <c r="V106" s="101">
        <f>T106/1000</f>
        <v>2.6970000000000001</v>
      </c>
      <c r="W106" s="94"/>
    </row>
    <row r="107" spans="17:23" x14ac:dyDescent="0.25">
      <c r="Q107" s="108">
        <v>9</v>
      </c>
      <c r="R107" s="94" t="s">
        <v>203</v>
      </c>
      <c r="S107" s="94"/>
      <c r="T107" s="128" t="s">
        <v>302</v>
      </c>
      <c r="U107" s="94"/>
      <c r="V107" s="101" t="str">
        <f>noerror(ROUND(T107,-ROUNDDOWN(LOG(T107)-1,0))/1000)</f>
        <v/>
      </c>
      <c r="W107" s="94"/>
    </row>
    <row r="108" spans="17:23" x14ac:dyDescent="0.25">
      <c r="Q108" s="108">
        <v>9</v>
      </c>
      <c r="R108" s="94" t="s">
        <v>204</v>
      </c>
      <c r="S108" s="94"/>
      <c r="T108" s="128" t="s">
        <v>302</v>
      </c>
      <c r="U108" s="94"/>
      <c r="V108" s="101" t="str">
        <f>noerror(ROUND(T108,-ROUNDDOWN(LOG(T108)-1,0))/1000)</f>
        <v/>
      </c>
      <c r="W108" s="94"/>
    </row>
    <row r="109" spans="17:23" x14ac:dyDescent="0.25">
      <c r="Q109" s="108">
        <v>9</v>
      </c>
      <c r="R109" s="94" t="s">
        <v>205</v>
      </c>
      <c r="S109" s="94"/>
      <c r="T109" s="128">
        <v>3263</v>
      </c>
      <c r="U109" s="94"/>
      <c r="V109" s="101">
        <f>T109/1000</f>
        <v>3.2629999999999999</v>
      </c>
      <c r="W109" s="94" t="s">
        <v>207</v>
      </c>
    </row>
    <row r="110" spans="17:23" x14ac:dyDescent="0.25">
      <c r="Q110" s="108">
        <v>9</v>
      </c>
      <c r="R110" s="94" t="s">
        <v>206</v>
      </c>
      <c r="S110" s="94"/>
      <c r="T110" s="128">
        <v>1863</v>
      </c>
      <c r="U110" s="94"/>
      <c r="V110" s="101">
        <f>T110/1000</f>
        <v>1.863</v>
      </c>
      <c r="W110" s="94"/>
    </row>
    <row r="111" spans="17:23" x14ac:dyDescent="0.25">
      <c r="Q111" s="108">
        <v>9</v>
      </c>
      <c r="R111" s="94" t="s">
        <v>197</v>
      </c>
      <c r="S111" s="94"/>
      <c r="T111" s="128" t="s">
        <v>302</v>
      </c>
      <c r="U111" s="94"/>
      <c r="V111" s="101" t="str">
        <f>noerror(ROUND(T111,-ROUNDDOWN(LOG(T111)-1,0))/1000)</f>
        <v/>
      </c>
      <c r="W111" s="94"/>
    </row>
    <row r="112" spans="17:23" x14ac:dyDescent="0.25">
      <c r="Q112" s="108">
        <v>9</v>
      </c>
      <c r="R112" s="94" t="s">
        <v>196</v>
      </c>
      <c r="S112" s="94"/>
      <c r="T112" s="128">
        <v>2358</v>
      </c>
      <c r="U112" s="94"/>
      <c r="V112" s="101">
        <f>T112/1000</f>
        <v>2.3580000000000001</v>
      </c>
      <c r="W112" s="94"/>
    </row>
    <row r="113" spans="17:23" x14ac:dyDescent="0.25">
      <c r="Q113" s="94"/>
      <c r="R113" s="94"/>
      <c r="S113" s="94"/>
      <c r="T113" s="94"/>
      <c r="U113" s="94"/>
      <c r="V113" s="124"/>
      <c r="W113" s="94"/>
    </row>
  </sheetData>
  <sheetProtection sheet="1" objects="1" scenarios="1"/>
  <phoneticPr fontId="0" type="noConversion"/>
  <pageMargins left="0.75" right="0.75" top="1" bottom="1" header="0.5" footer="0.5"/>
  <pageSetup paperSize="9" orientation="portrait" verticalDpi="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About</vt:lpstr>
      <vt:lpstr>Activity A</vt:lpstr>
      <vt:lpstr>Activity B</vt:lpstr>
      <vt:lpstr>Activity C</vt:lpstr>
      <vt:lpstr>Activity D</vt:lpstr>
      <vt:lpstr>KPI</vt:lpstr>
      <vt:lpstr>Summary</vt:lpstr>
      <vt:lpstr>cfg</vt:lpstr>
      <vt:lpstr>factors</vt:lpstr>
      <vt:lpstr>Wrkb</vt:lpstr>
      <vt:lpstr>Units</vt:lpstr>
    </vt:vector>
  </TitlesOfParts>
  <Company>Australian Greenhouse Office - The Greenhouse Challenge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Emissions spreadsheet</dc:title>
  <dc:subject>greenhouse gasses</dc:subject>
  <dc:creator>Tom Birch Hansen</dc:creator>
  <cp:lastModifiedBy>Aniket Gupta</cp:lastModifiedBy>
  <cp:lastPrinted>2003-05-13T04:26:22Z</cp:lastPrinted>
  <dcterms:created xsi:type="dcterms:W3CDTF">2003-03-05T06:02:58Z</dcterms:created>
  <dcterms:modified xsi:type="dcterms:W3CDTF">2024-02-03T22:29:43Z</dcterms:modified>
</cp:coreProperties>
</file>