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1F13B9C9-9028-4394-936D-0E450E0FE6D3}" xr6:coauthVersionLast="47" xr6:coauthVersionMax="47" xr10:uidLastSave="{00000000-0000-0000-0000-000000000000}"/>
  <bookViews>
    <workbookView xWindow="3348" yWindow="3348" windowWidth="17280" windowHeight="8880"/>
  </bookViews>
  <sheets>
    <sheet name="P&amp;G Income Statement" sheetId="1" r:id="rId1"/>
    <sheet name="P&amp;G Balance Sheet" sheetId="2" r:id="rId2"/>
    <sheet name="P&amp;G Cash Flow" sheetId="3" r:id="rId3"/>
    <sheet name="Merck Income Statement" sheetId="4" r:id="rId4"/>
    <sheet name="Merck Balance Sheet" sheetId="5" r:id="rId5"/>
    <sheet name="Merck Cash Flow" sheetId="6" r:id="rId6"/>
    <sheet name="Metals Income Statement" sheetId="7" r:id="rId7"/>
    <sheet name="Metals Balance Sheet" sheetId="8" r:id="rId8"/>
    <sheet name="Merck Valuation" sheetId="9" r:id="rId9"/>
    <sheet name="P&amp;G Ratios" sheetId="13" r:id="rId10"/>
  </sheets>
  <definedNames>
    <definedName name="_xlnm.Print_Area" localSheetId="6">'Metals Income Statement'!$A$1:$J$36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5" l="1"/>
  <c r="D14" i="5"/>
  <c r="B23" i="5"/>
  <c r="D23" i="5"/>
  <c r="D25" i="5" s="1"/>
  <c r="D29" i="5" s="1"/>
  <c r="B25" i="5"/>
  <c r="B29" i="5"/>
  <c r="B38" i="5"/>
  <c r="D38" i="5"/>
  <c r="B47" i="5"/>
  <c r="D47" i="5"/>
  <c r="B48" i="5"/>
  <c r="D48" i="5"/>
  <c r="B50" i="5"/>
  <c r="B51" i="5" s="1"/>
  <c r="D50" i="5"/>
  <c r="D51" i="5" s="1"/>
  <c r="B14" i="6"/>
  <c r="D14" i="6"/>
  <c r="F14" i="6"/>
  <c r="B15" i="6"/>
  <c r="D15" i="6"/>
  <c r="D17" i="6" s="1"/>
  <c r="B17" i="6"/>
  <c r="F17" i="6"/>
  <c r="B25" i="6"/>
  <c r="D25" i="6"/>
  <c r="F25" i="6"/>
  <c r="B28" i="6"/>
  <c r="B35" i="6" s="1"/>
  <c r="D28" i="6"/>
  <c r="D35" i="6" s="1"/>
  <c r="B34" i="6"/>
  <c r="D34" i="6"/>
  <c r="F34" i="6"/>
  <c r="B16" i="4"/>
  <c r="D16" i="4"/>
  <c r="D18" i="4" s="1"/>
  <c r="D20" i="4" s="1"/>
  <c r="F16" i="4"/>
  <c r="F18" i="4" s="1"/>
  <c r="F20" i="4" s="1"/>
  <c r="B18" i="4"/>
  <c r="B20" i="4" s="1"/>
  <c r="B13" i="9"/>
  <c r="B21" i="9" s="1"/>
  <c r="B44" i="9" s="1"/>
  <c r="D13" i="9"/>
  <c r="D21" i="9" s="1"/>
  <c r="B19" i="9"/>
  <c r="D19" i="9"/>
  <c r="B30" i="9"/>
  <c r="B32" i="9" s="1"/>
  <c r="B33" i="9" s="1"/>
  <c r="B46" i="9" s="1"/>
  <c r="D30" i="9"/>
  <c r="D33" i="9" s="1"/>
  <c r="D32" i="9"/>
  <c r="B39" i="9"/>
  <c r="B41" i="9"/>
  <c r="B45" i="9"/>
  <c r="B9" i="8"/>
  <c r="B14" i="8" s="1"/>
  <c r="B31" i="8" s="1"/>
  <c r="D9" i="8"/>
  <c r="F9" i="8"/>
  <c r="H9" i="8"/>
  <c r="J9" i="8"/>
  <c r="J14" i="8" s="1"/>
  <c r="J31" i="8" s="1"/>
  <c r="D14" i="8"/>
  <c r="F14" i="8"/>
  <c r="F31" i="8" s="1"/>
  <c r="H14" i="8"/>
  <c r="H31" i="8" s="1"/>
  <c r="B19" i="8"/>
  <c r="D19" i="8"/>
  <c r="F19" i="8"/>
  <c r="H19" i="8"/>
  <c r="J19" i="8"/>
  <c r="D31" i="8"/>
  <c r="B49" i="8"/>
  <c r="D49" i="8"/>
  <c r="D66" i="8" s="1"/>
  <c r="F49" i="8"/>
  <c r="H49" i="8"/>
  <c r="H66" i="8" s="1"/>
  <c r="J49" i="8"/>
  <c r="J66" i="8" s="1"/>
  <c r="B55" i="8"/>
  <c r="D55" i="8"/>
  <c r="F55" i="8"/>
  <c r="H55" i="8"/>
  <c r="H64" i="8" s="1"/>
  <c r="J55" i="8"/>
  <c r="B62" i="8"/>
  <c r="B64" i="8" s="1"/>
  <c r="B66" i="8" s="1"/>
  <c r="D62" i="8"/>
  <c r="D64" i="8" s="1"/>
  <c r="F62" i="8"/>
  <c r="F64" i="8" s="1"/>
  <c r="H62" i="8"/>
  <c r="J62" i="8"/>
  <c r="J64" i="8"/>
  <c r="B11" i="7"/>
  <c r="B13" i="7" s="1"/>
  <c r="D11" i="7"/>
  <c r="D13" i="7" s="1"/>
  <c r="F11" i="7"/>
  <c r="F13" i="7" s="1"/>
  <c r="H11" i="7"/>
  <c r="H13" i="7" s="1"/>
  <c r="J11" i="7"/>
  <c r="J13" i="7"/>
  <c r="B17" i="7"/>
  <c r="D17" i="7"/>
  <c r="F17" i="7"/>
  <c r="H17" i="7"/>
  <c r="J17" i="7"/>
  <c r="B25" i="7"/>
  <c r="B26" i="7" s="1"/>
  <c r="D25" i="7"/>
  <c r="D26" i="7" s="1"/>
  <c r="F25" i="7"/>
  <c r="F26" i="7" s="1"/>
  <c r="H25" i="7"/>
  <c r="H26" i="7" s="1"/>
  <c r="J25" i="7"/>
  <c r="J26" i="7" s="1"/>
  <c r="B30" i="7"/>
  <c r="D30" i="7"/>
  <c r="F30" i="7"/>
  <c r="H30" i="7"/>
  <c r="J30" i="7"/>
  <c r="B34" i="7"/>
  <c r="D34" i="7"/>
  <c r="F34" i="7"/>
  <c r="H34" i="7"/>
  <c r="J34" i="7"/>
  <c r="B17" i="2"/>
  <c r="B33" i="2" s="1"/>
  <c r="D17" i="2"/>
  <c r="B22" i="2"/>
  <c r="D22" i="2"/>
  <c r="B24" i="2"/>
  <c r="D24" i="2"/>
  <c r="B28" i="2"/>
  <c r="D28" i="2"/>
  <c r="D30" i="2" s="1"/>
  <c r="B30" i="2"/>
  <c r="B41" i="2"/>
  <c r="B45" i="2" s="1"/>
  <c r="B55" i="2" s="1"/>
  <c r="D41" i="2"/>
  <c r="D45" i="2"/>
  <c r="D55" i="2" s="1"/>
  <c r="B54" i="2"/>
  <c r="D54" i="2"/>
  <c r="B13" i="3"/>
  <c r="D13" i="3"/>
  <c r="F13" i="3"/>
  <c r="F15" i="3" s="1"/>
  <c r="F35" i="3" s="1"/>
  <c r="B15" i="3"/>
  <c r="B35" i="3" s="1"/>
  <c r="D15" i="3"/>
  <c r="D35" i="3" s="1"/>
  <c r="B22" i="3"/>
  <c r="D22" i="3"/>
  <c r="F22" i="3"/>
  <c r="B25" i="3"/>
  <c r="B29" i="3" s="1"/>
  <c r="D25" i="3"/>
  <c r="F25" i="3"/>
  <c r="F29" i="3" s="1"/>
  <c r="B28" i="3"/>
  <c r="D28" i="3"/>
  <c r="F28" i="3"/>
  <c r="D29" i="3"/>
  <c r="B9" i="1"/>
  <c r="D9" i="1"/>
  <c r="D12" i="1" s="1"/>
  <c r="D16" i="1" s="1"/>
  <c r="D19" i="1" s="1"/>
  <c r="F9" i="1"/>
  <c r="B12" i="1"/>
  <c r="F12" i="1"/>
  <c r="F16" i="1" s="1"/>
  <c r="F19" i="1" s="1"/>
  <c r="B16" i="1"/>
  <c r="B19" i="1" s="1"/>
  <c r="C7" i="13"/>
  <c r="D7" i="13"/>
  <c r="C9" i="13"/>
  <c r="C10" i="13"/>
  <c r="C38" i="13" s="1"/>
  <c r="C11" i="13"/>
  <c r="C12" i="13"/>
  <c r="C13" i="13"/>
  <c r="C14" i="13"/>
  <c r="C17" i="13"/>
  <c r="C18" i="13"/>
  <c r="C22" i="13"/>
  <c r="C23" i="13"/>
  <c r="C24" i="13"/>
  <c r="C27" i="13"/>
  <c r="C28" i="13"/>
  <c r="C31" i="13"/>
  <c r="C32" i="13"/>
  <c r="C35" i="13"/>
  <c r="C36" i="13"/>
  <c r="C37" i="13"/>
  <c r="C39" i="13"/>
  <c r="C40" i="13"/>
  <c r="C43" i="13"/>
  <c r="C44" i="13"/>
  <c r="C45" i="13"/>
  <c r="C46" i="13"/>
  <c r="F66" i="8" l="1"/>
  <c r="B49" i="9"/>
  <c r="D33" i="2"/>
  <c r="C19" i="13"/>
</calcChain>
</file>

<file path=xl/sharedStrings.xml><?xml version="1.0" encoding="utf-8"?>
<sst xmlns="http://schemas.openxmlformats.org/spreadsheetml/2006/main" count="388" uniqueCount="293">
  <si>
    <t>THE PROCTER &amp; GAMBLE COMPANY and SUBSIDIARIES</t>
  </si>
  <si>
    <t>Consolidated Statements of Earnings</t>
  </si>
  <si>
    <t>($millions)</t>
  </si>
  <si>
    <t>Years ended June 30,</t>
  </si>
  <si>
    <t>1997</t>
  </si>
  <si>
    <t>Net Sales</t>
  </si>
  <si>
    <t>Cost of Products Sold</t>
  </si>
  <si>
    <t>Gross Margin</t>
  </si>
  <si>
    <t>Marketing, Research, Admin. Expenses</t>
  </si>
  <si>
    <t>Operating Income</t>
  </si>
  <si>
    <t>Interest Expense</t>
  </si>
  <si>
    <t>Other Income, net</t>
  </si>
  <si>
    <t>Earnings before Income Taxes</t>
  </si>
  <si>
    <t>Income Taxes</t>
  </si>
  <si>
    <t>Net Earnings</t>
  </si>
  <si>
    <t>Earnings per Common Share</t>
  </si>
  <si>
    <t>Fully Diluted Earnings per Common Share</t>
  </si>
  <si>
    <t>Dividends per Common Share</t>
  </si>
  <si>
    <t>Average Common Shares Outstanding</t>
  </si>
  <si>
    <t>Common Stock Data</t>
  </si>
  <si>
    <t xml:space="preserve">     Ticker Symbol  PG</t>
  </si>
  <si>
    <t xml:space="preserve">        Low</t>
  </si>
  <si>
    <t xml:space="preserve">        High</t>
  </si>
  <si>
    <t xml:space="preserve">        Last</t>
  </si>
  <si>
    <t>Consolidated Balance Sheets</t>
  </si>
  <si>
    <t>ASSETS</t>
  </si>
  <si>
    <t>Current Assets</t>
  </si>
  <si>
    <t xml:space="preserve">   Cash</t>
  </si>
  <si>
    <t xml:space="preserve">   Investments</t>
  </si>
  <si>
    <t xml:space="preserve">   Accounts Receivable</t>
  </si>
  <si>
    <t xml:space="preserve">   Inventories</t>
  </si>
  <si>
    <t xml:space="preserve">      Materials and Supplies</t>
  </si>
  <si>
    <t xml:space="preserve">      Work in Process</t>
  </si>
  <si>
    <t xml:space="preserve">      Finished Goods</t>
  </si>
  <si>
    <t xml:space="preserve">   Deferred Income Taxes</t>
  </si>
  <si>
    <t xml:space="preserve">   Prepaid Expenses</t>
  </si>
  <si>
    <t>Total Current Assets</t>
  </si>
  <si>
    <t>Property, Plant, and Equipment</t>
  </si>
  <si>
    <t xml:space="preserve">   Buildings</t>
  </si>
  <si>
    <t xml:space="preserve">   Machinery and Equipment</t>
  </si>
  <si>
    <t xml:space="preserve">   Land</t>
  </si>
  <si>
    <t xml:space="preserve">   Less Accumulated Depreciation</t>
  </si>
  <si>
    <t>Total Property, Plant, and Equipment</t>
  </si>
  <si>
    <t>Goodwill and Other Intangible Assets</t>
  </si>
  <si>
    <t xml:space="preserve">   Goodwill</t>
  </si>
  <si>
    <t xml:space="preserve">   Trademarks and Other Intangible Assets</t>
  </si>
  <si>
    <t xml:space="preserve">   Less Accumulated Amortization</t>
  </si>
  <si>
    <t>Total Goodwill and Other Intangible Assets</t>
  </si>
  <si>
    <t>Other Non-Current Assets</t>
  </si>
  <si>
    <t>Total Assets</t>
  </si>
  <si>
    <t>LIABILITIES and SHAREHOLDERS' EQUITY</t>
  </si>
  <si>
    <t>Current Liabilities</t>
  </si>
  <si>
    <t xml:space="preserve">   Accounts Payable</t>
  </si>
  <si>
    <t xml:space="preserve">   Accrued Liabilities</t>
  </si>
  <si>
    <t xml:space="preserve">   Taxes Payable</t>
  </si>
  <si>
    <t xml:space="preserve">   Debt due within one year</t>
  </si>
  <si>
    <t>Total Current Liabilities</t>
  </si>
  <si>
    <t>Long-Term Debt</t>
  </si>
  <si>
    <t>Deferred Income Taxes</t>
  </si>
  <si>
    <t>Other Non-current Liabilities</t>
  </si>
  <si>
    <t>Total Liabilities</t>
  </si>
  <si>
    <t>Shareholders' Equity</t>
  </si>
  <si>
    <t xml:space="preserve">   Convertible Preferred Stock</t>
  </si>
  <si>
    <t xml:space="preserve">   Common Stock</t>
  </si>
  <si>
    <t xml:space="preserve">   Paid-in Capital</t>
  </si>
  <si>
    <t xml:space="preserve">   Currency adjustments</t>
  </si>
  <si>
    <t xml:space="preserve">   Reserve for ESOP</t>
  </si>
  <si>
    <t xml:space="preserve">   Retained Earnings</t>
  </si>
  <si>
    <t>Total Shareholders' Equity</t>
  </si>
  <si>
    <t>Total Liabilities and Shareholders' Equity</t>
  </si>
  <si>
    <t>Consolidated Statements of Cash Flows</t>
  </si>
  <si>
    <t>Cash and Equivalents, Beginning of Year</t>
  </si>
  <si>
    <t>Operating Activities</t>
  </si>
  <si>
    <t xml:space="preserve">     Net Earnings</t>
  </si>
  <si>
    <t xml:space="preserve">     Depreciation and Amortization</t>
  </si>
  <si>
    <t xml:space="preserve">     Deferred Income Taxes</t>
  </si>
  <si>
    <t xml:space="preserve">     Other</t>
  </si>
  <si>
    <t>Investing Activities</t>
  </si>
  <si>
    <t xml:space="preserve">     Capital Expenditures</t>
  </si>
  <si>
    <t xml:space="preserve">     Proceeds from Asset Sales</t>
  </si>
  <si>
    <t xml:space="preserve">     Acquisitions</t>
  </si>
  <si>
    <t xml:space="preserve">     Change in Investment Securities</t>
  </si>
  <si>
    <t>Financing Activities</t>
  </si>
  <si>
    <t xml:space="preserve">     Dividends to Shareholders</t>
  </si>
  <si>
    <t xml:space="preserve">     Reductions in Long-term Debt</t>
  </si>
  <si>
    <t xml:space="preserve">     Treasury Purchases</t>
  </si>
  <si>
    <t>Effect of Exchange Rate Changes</t>
  </si>
  <si>
    <t>Change in Cash and Cash Equivalents</t>
  </si>
  <si>
    <t>Cash and Equivalents, End of Year</t>
  </si>
  <si>
    <t>MERCK &amp; CO., INC. and SUBSIDIARIES</t>
  </si>
  <si>
    <t>Years ended December 31,</t>
  </si>
  <si>
    <t>Sales</t>
  </si>
  <si>
    <t>Materials and Production Expense</t>
  </si>
  <si>
    <t>Marketing and Administration</t>
  </si>
  <si>
    <t>Research and Development</t>
  </si>
  <si>
    <t>Equity Income from Affiliates</t>
  </si>
  <si>
    <t>Gains on Sales of Businesses</t>
  </si>
  <si>
    <t>Other (income), expense, net</t>
  </si>
  <si>
    <t>Income before Taxes</t>
  </si>
  <si>
    <t>Taxes on Income</t>
  </si>
  <si>
    <t>Net Income</t>
  </si>
  <si>
    <t>Earnings per Common Share Assuming Dilution</t>
  </si>
  <si>
    <t xml:space="preserve">     Ticker Symbol  MRK</t>
  </si>
  <si>
    <t>Consolidated Balance Sheet</t>
  </si>
  <si>
    <t xml:space="preserve">   Short-term Investments</t>
  </si>
  <si>
    <t xml:space="preserve">   Prepaid Expenses and Taxes</t>
  </si>
  <si>
    <t>Investments</t>
  </si>
  <si>
    <t>Property, Plant and Equipment</t>
  </si>
  <si>
    <t xml:space="preserve">   Machinery, Equipment and Office Furnishings</t>
  </si>
  <si>
    <t xml:space="preserve">   Construction in Progress</t>
  </si>
  <si>
    <t xml:space="preserve">   Less Allowance for Depreciation</t>
  </si>
  <si>
    <t>Goodwill &amp; Other Intangibles (net of amort.)</t>
  </si>
  <si>
    <t>Other Assets</t>
  </si>
  <si>
    <t>LIABILITIES and STOCKHOLDERS' EQUITY</t>
  </si>
  <si>
    <t xml:space="preserve">   Loans and Current Portion of Long-term Debt</t>
  </si>
  <si>
    <t xml:space="preserve">   Income Taxes Payable</t>
  </si>
  <si>
    <t xml:space="preserve">   Dividends Payable</t>
  </si>
  <si>
    <t>Deferred Taxes and Non-current Liabilities</t>
  </si>
  <si>
    <t>Minority Interests</t>
  </si>
  <si>
    <t>Stockholders' Equity</t>
  </si>
  <si>
    <t xml:space="preserve">   Less Treasury Stock</t>
  </si>
  <si>
    <t>Total Stockholders' Equity</t>
  </si>
  <si>
    <t>Total Liabilities and Stockholders' Equity</t>
  </si>
  <si>
    <t>Consolidated Statement of Cash Flows</t>
  </si>
  <si>
    <t>Cash Flows from Operating Activities</t>
  </si>
  <si>
    <t xml:space="preserve">     Income before taxes</t>
  </si>
  <si>
    <t xml:space="preserve">     Adjustments to reconcile income to cash:</t>
  </si>
  <si>
    <t xml:space="preserve">        Gains on sale of businesses</t>
  </si>
  <si>
    <t xml:space="preserve">        Depreciation and amortization</t>
  </si>
  <si>
    <t xml:space="preserve">        Other</t>
  </si>
  <si>
    <t xml:space="preserve">        Net changes in assets and liabilities</t>
  </si>
  <si>
    <t>Cash Provided by Operating Activities bef. Taxes</t>
  </si>
  <si>
    <t>Income Taxes Paid</t>
  </si>
  <si>
    <t>Net Cash Provided by Operating Activities</t>
  </si>
  <si>
    <t>Cash Flows from Investing Activities</t>
  </si>
  <si>
    <t xml:space="preserve">     Purchase of securities, etc.</t>
  </si>
  <si>
    <t xml:space="preserve">     Proceeds from sale of securities, etc.</t>
  </si>
  <si>
    <t xml:space="preserve">     Proceeds from sale of businesses</t>
  </si>
  <si>
    <t>Net Cash Used by Investing Activities</t>
  </si>
  <si>
    <t>Cash Flows from Financing Activities</t>
  </si>
  <si>
    <t xml:space="preserve">     Proceeds from issuance of debt</t>
  </si>
  <si>
    <t xml:space="preserve">     Payments on debt</t>
  </si>
  <si>
    <t xml:space="preserve">     Redemption of preferred stock</t>
  </si>
  <si>
    <t xml:space="preserve">     Proceeds from issuance of preferred stock</t>
  </si>
  <si>
    <t>Net Cash Used by Financing Activities</t>
  </si>
  <si>
    <t>Net (Decrease) Increase in Cash and Cash Equivalents</t>
  </si>
  <si>
    <t>AVERAGE COMPOSITE INCOME STATEMENT</t>
  </si>
  <si>
    <t>FOR A GROUP OF COMPANIES CLASSIFIED IN</t>
  </si>
  <si>
    <t>MAJOR SIC GROUP 33 - PRIMARY METAL INDUSTRY</t>
  </si>
  <si>
    <t>($ MILLIONS)</t>
  </si>
  <si>
    <t>Year-1</t>
  </si>
  <si>
    <t>Year-2</t>
  </si>
  <si>
    <t>Year-3</t>
  </si>
  <si>
    <t>Year-4</t>
  </si>
  <si>
    <t>Year-5</t>
  </si>
  <si>
    <t xml:space="preserve">  Cost of Goods Sold</t>
  </si>
  <si>
    <t>Gross Profit</t>
  </si>
  <si>
    <t xml:space="preserve">  Selling, General, &amp;</t>
  </si>
  <si>
    <t xml:space="preserve">     Administrative Expense</t>
  </si>
  <si>
    <t>Operating Income Before Deprec.</t>
  </si>
  <si>
    <t xml:space="preserve">  Depreciation, Depletion, &amp;</t>
  </si>
  <si>
    <t xml:space="preserve">     Amortization</t>
  </si>
  <si>
    <t>Operating Profit</t>
  </si>
  <si>
    <t>Other Income/Expense</t>
  </si>
  <si>
    <t xml:space="preserve">   Non-Operating Income/Expense</t>
  </si>
  <si>
    <t xml:space="preserve">   Special Items</t>
  </si>
  <si>
    <t>Earnings Before Interest</t>
  </si>
  <si>
    <t xml:space="preserve"> and Income Taxes</t>
  </si>
  <si>
    <t xml:space="preserve">   Interest Expense</t>
  </si>
  <si>
    <t>Pretax Income</t>
  </si>
  <si>
    <t xml:space="preserve">  Total Income Taxes</t>
  </si>
  <si>
    <t xml:space="preserve">  Minority Interest</t>
  </si>
  <si>
    <t>Income Before Extraordinary</t>
  </si>
  <si>
    <t xml:space="preserve">     Items &amp; Discontinued Operations</t>
  </si>
  <si>
    <t xml:space="preserve">  Preferred Dividends</t>
  </si>
  <si>
    <t>Available for Common</t>
  </si>
  <si>
    <t>AVERAGE COMPOSITE BALANCE SHEET</t>
  </si>
  <si>
    <t xml:space="preserve">  Cash &amp; Equivalents</t>
  </si>
  <si>
    <t xml:space="preserve">  Net Receivables</t>
  </si>
  <si>
    <t xml:space="preserve">  Inventories</t>
  </si>
  <si>
    <t xml:space="preserve">  Prepaid Expenses</t>
  </si>
  <si>
    <t xml:space="preserve">  Other Current Assets</t>
  </si>
  <si>
    <t xml:space="preserve"> Total Current Assets</t>
  </si>
  <si>
    <t xml:space="preserve">   Gross Plant,Property &amp; Equipment</t>
  </si>
  <si>
    <t xml:space="preserve">   Accumulated Depreciation</t>
  </si>
  <si>
    <t xml:space="preserve">  Net Plant,Property &amp; Equipment</t>
  </si>
  <si>
    <t xml:space="preserve">  Investments at Equity</t>
  </si>
  <si>
    <t xml:space="preserve">  Other Investments</t>
  </si>
  <si>
    <t xml:space="preserve">  Intangibles</t>
  </si>
  <si>
    <t xml:space="preserve">  Deferred Charges</t>
  </si>
  <si>
    <t xml:space="preserve">  Other Assets</t>
  </si>
  <si>
    <t>TOTAL ASSETS</t>
  </si>
  <si>
    <t>LIABILITIES</t>
  </si>
  <si>
    <t xml:space="preserve">  Long Term Debt Due In One Year</t>
  </si>
  <si>
    <t xml:space="preserve">  Notes Payable</t>
  </si>
  <si>
    <t xml:space="preserve">  Accounts Payable</t>
  </si>
  <si>
    <t xml:space="preserve">  Taxes Payable</t>
  </si>
  <si>
    <t xml:space="preserve">  Accrued Expenses</t>
  </si>
  <si>
    <t xml:space="preserve">  Other Current Liabilities</t>
  </si>
  <si>
    <t xml:space="preserve"> Total Current Liabilities</t>
  </si>
  <si>
    <t xml:space="preserve">  Long Term Debt</t>
  </si>
  <si>
    <t xml:space="preserve">  Deferred Taxes</t>
  </si>
  <si>
    <t xml:space="preserve">  Investment Tax Credit</t>
  </si>
  <si>
    <t xml:space="preserve">  Other Liabilities</t>
  </si>
  <si>
    <t>TOTAL LIABILITIES</t>
  </si>
  <si>
    <t>EQUITY</t>
  </si>
  <si>
    <t xml:space="preserve">  Preferred Stock - Redeemable</t>
  </si>
  <si>
    <t xml:space="preserve">  Preferred Stock - Nonredeemable</t>
  </si>
  <si>
    <t xml:space="preserve">Total Preferred Stock </t>
  </si>
  <si>
    <t xml:space="preserve">  Common Stock</t>
  </si>
  <si>
    <t xml:space="preserve">  Capital Surplus</t>
  </si>
  <si>
    <t xml:space="preserve">  Retained Earnings</t>
  </si>
  <si>
    <t xml:space="preserve">  Less: Treasury Stock</t>
  </si>
  <si>
    <t xml:space="preserve"> Total Common Equity</t>
  </si>
  <si>
    <t>TOTAL EQUITY</t>
  </si>
  <si>
    <t>TOTAL LIABILITIES &amp; EQUITY</t>
  </si>
  <si>
    <t>Market Capitalization</t>
  </si>
  <si>
    <t xml:space="preserve">     Value of Common Equity</t>
  </si>
  <si>
    <t xml:space="preserve">     Book Value of Long-term Debt</t>
  </si>
  <si>
    <t>Valuation of Underlying Assets</t>
  </si>
  <si>
    <t>MONETARY ASSETS (net working capital)</t>
  </si>
  <si>
    <t>TANGIBLE ASSETS</t>
  </si>
  <si>
    <t>BUSINESS ENTERPRISE VALUE</t>
  </si>
  <si>
    <t xml:space="preserve">     Common Shares Outstanding (millions)</t>
  </si>
  <si>
    <t xml:space="preserve">     Year-end Price</t>
  </si>
  <si>
    <t xml:space="preserve">     Common Equity Value (millions)</t>
  </si>
  <si>
    <t xml:space="preserve">     Long-term Debt (millions)</t>
  </si>
  <si>
    <t>LESS:</t>
  </si>
  <si>
    <t xml:space="preserve">     Value of Monetary Assets</t>
  </si>
  <si>
    <t xml:space="preserve">     Value of Investments</t>
  </si>
  <si>
    <t xml:space="preserve">     Value of Tangible Assets</t>
  </si>
  <si>
    <t>EQUALS:</t>
  </si>
  <si>
    <t xml:space="preserve">     Value of Intangible Assets</t>
  </si>
  <si>
    <t>Growth Rates</t>
  </si>
  <si>
    <t>Net Working Capital</t>
  </si>
  <si>
    <t>PROCTER &amp; GAMBLE FINANCIAL RATIOS</t>
  </si>
  <si>
    <t>Average Inventory</t>
  </si>
  <si>
    <t>Average Common Equity</t>
  </si>
  <si>
    <t>Average Working Capital</t>
  </si>
  <si>
    <t>Average Fixed Assets</t>
  </si>
  <si>
    <t>Average Total Assets</t>
  </si>
  <si>
    <t>Short-Term Liquidity</t>
  </si>
  <si>
    <t>Current Ratio</t>
  </si>
  <si>
    <t>"Acid Test" Ratio</t>
  </si>
  <si>
    <t>Inventory Turnover</t>
  </si>
  <si>
    <t>cash + cash equivalents+receivables / current liabilities</t>
  </si>
  <si>
    <t>current assets / current liabilities</t>
  </si>
  <si>
    <t>cost of goods sold / average inventory</t>
  </si>
  <si>
    <t>Capital Structure - Long-term Solvency</t>
  </si>
  <si>
    <t>Debt to Equity Ratio</t>
  </si>
  <si>
    <t>long-term debt / equity</t>
  </si>
  <si>
    <t>long-term liabilities / equity</t>
  </si>
  <si>
    <t>Interest Coverage</t>
  </si>
  <si>
    <t>income before interest and taxes / interest</t>
  </si>
  <si>
    <t xml:space="preserve">Return on Investment </t>
  </si>
  <si>
    <t>Return on Total Assets</t>
  </si>
  <si>
    <t>Return on Equity</t>
  </si>
  <si>
    <t>net income+interest / average total assets</t>
  </si>
  <si>
    <t>net income / average equity</t>
  </si>
  <si>
    <t>Operating Performance</t>
  </si>
  <si>
    <t>Gross Margin Ratio</t>
  </si>
  <si>
    <t>Net Income to Sales Ratio</t>
  </si>
  <si>
    <t>gross profit / sales</t>
  </si>
  <si>
    <t>net income / sales</t>
  </si>
  <si>
    <t>Asset Utilization</t>
  </si>
  <si>
    <t>Sales to Inventories Ratio</t>
  </si>
  <si>
    <t>Sales to Accounts Receivable Ratio</t>
  </si>
  <si>
    <t>sales / accounts receivable</t>
  </si>
  <si>
    <t>Sales to Fixed Assets Ratio</t>
  </si>
  <si>
    <t>sales / average accounts receivable</t>
  </si>
  <si>
    <t>sales / average inventory</t>
  </si>
  <si>
    <t>sales / inventory</t>
  </si>
  <si>
    <t>sales / fixed assets</t>
  </si>
  <si>
    <t>sales / average fixed assets</t>
  </si>
  <si>
    <t>Average Accounts Receivable</t>
  </si>
  <si>
    <t>Market Measures</t>
  </si>
  <si>
    <t>Price-earnings Ratio</t>
  </si>
  <si>
    <t>Earnings Yield</t>
  </si>
  <si>
    <t>Dividend Yield</t>
  </si>
  <si>
    <t>Dividend Payout Ratio</t>
  </si>
  <si>
    <t>market price / earnings per share</t>
  </si>
  <si>
    <t>earnings per share / market price</t>
  </si>
  <si>
    <t>dividends per share / market price</t>
  </si>
  <si>
    <t>dividends per share / earnings per share</t>
  </si>
  <si>
    <t xml:space="preserve">     1999 Price Range:</t>
  </si>
  <si>
    <t xml:space="preserve">     December 1999 Price Range</t>
  </si>
  <si>
    <t xml:space="preserve">     Changes in Receivables, Inventory, Payables</t>
  </si>
  <si>
    <t xml:space="preserve">     Additions to Long and Short-term Debt</t>
  </si>
  <si>
    <t>Acquired research</t>
  </si>
  <si>
    <t xml:space="preserve">         Acquired research</t>
  </si>
  <si>
    <t>(p. 42 Annual Report)</t>
  </si>
  <si>
    <t>Research &amp; Development Expense</t>
  </si>
  <si>
    <t>Advertising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</si>
</sst>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$&quot;#,##0.00"/>
    <numFmt numFmtId="166" formatCode="_(* #,##0.0_);_(* \(#,##0.0\);_(* &quot;-&quot;?_);_(@_)"/>
    <numFmt numFmtId="167" formatCode="&quot;$&quot;#,##0.0"/>
    <numFmt numFmtId="168" formatCode="#,##0.0"/>
    <numFmt numFmtId="169" formatCode="_(&quot;$&quot;* #,##0.0_);_(&quot;$&quot;* \(#,##0.0\);_(&quot;$&quot;* &quot;-&quot;?_);_(@_)"/>
    <numFmt numFmtId="170" formatCode="_(&quot;$&quot;* #,##0.000_);_(&quot;$&quot;* \(#,##0.000\);_(&quot;$&quot;* &quot;-&quot;??_);_(@_)"/>
    <numFmt numFmtId="171" formatCode="_(* #,##0.000_);_(* \(#,##0.000\);_(* &quot;-&quot;??_);_(@_)"/>
    <numFmt numFmtId="176" formatCode="0.0%"/>
    <numFmt numFmtId="178" formatCode="#,##0.0_);\(#,##0.0\)"/>
  </numFmts>
  <fonts count="8" x14ac:knownFonts="1">
    <font>
      <sz val="10"/>
      <name val="Arial"/>
    </font>
    <font>
      <b/>
      <sz val="10"/>
      <name val="Arial"/>
    </font>
    <font>
      <sz val="10"/>
      <name val="Arial"/>
    </font>
    <font>
      <sz val="8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8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1">
    <xf numFmtId="0" fontId="0" fillId="0" borderId="0" xfId="0"/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1" fillId="0" borderId="0" xfId="0" quotePrefix="1" applyFont="1" applyAlignment="1">
      <alignment horizontal="centerContinuous"/>
    </xf>
    <xf numFmtId="0" fontId="0" fillId="0" borderId="0" xfId="0" quotePrefix="1"/>
    <xf numFmtId="0" fontId="3" fillId="0" borderId="0" xfId="0" applyFont="1" applyAlignment="1">
      <alignment horizontal="right"/>
    </xf>
    <xf numFmtId="0" fontId="1" fillId="0" borderId="1" xfId="0" quotePrefix="1" applyFont="1" applyBorder="1" applyAlignment="1">
      <alignment horizontal="center"/>
    </xf>
    <xf numFmtId="0" fontId="4" fillId="0" borderId="0" xfId="0" quotePrefix="1" applyFont="1" applyBorder="1" applyAlignment="1">
      <alignment horizontal="center"/>
    </xf>
    <xf numFmtId="164" fontId="0" fillId="0" borderId="0" xfId="0" applyNumberFormat="1"/>
    <xf numFmtId="3" fontId="0" fillId="0" borderId="1" xfId="0" applyNumberFormat="1" applyBorder="1"/>
    <xf numFmtId="0" fontId="0" fillId="0" borderId="0" xfId="0" applyAlignment="1">
      <alignment horizontal="right"/>
    </xf>
    <xf numFmtId="3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 applyBorder="1"/>
    <xf numFmtId="168" fontId="0" fillId="0" borderId="0" xfId="0" applyNumberFormat="1"/>
    <xf numFmtId="168" fontId="0" fillId="0" borderId="1" xfId="0" applyNumberFormat="1" applyBorder="1"/>
    <xf numFmtId="0" fontId="1" fillId="0" borderId="0" xfId="0" applyFont="1"/>
    <xf numFmtId="0" fontId="1" fillId="0" borderId="0" xfId="0" quotePrefix="1" applyFont="1" applyBorder="1" applyAlignment="1">
      <alignment horizontal="center"/>
    </xf>
    <xf numFmtId="0" fontId="5" fillId="0" borderId="0" xfId="0" applyFont="1"/>
    <xf numFmtId="0" fontId="1" fillId="0" borderId="0" xfId="0" quotePrefix="1" applyFont="1"/>
    <xf numFmtId="0" fontId="1" fillId="0" borderId="0" xfId="0" applyFont="1" applyAlignment="1">
      <alignment horizontal="right"/>
    </xf>
    <xf numFmtId="41" fontId="0" fillId="0" borderId="0" xfId="0" applyNumberFormat="1"/>
    <xf numFmtId="42" fontId="0" fillId="0" borderId="0" xfId="0" applyNumberFormat="1"/>
    <xf numFmtId="41" fontId="0" fillId="0" borderId="1" xfId="0" applyNumberFormat="1" applyBorder="1"/>
    <xf numFmtId="42" fontId="0" fillId="0" borderId="2" xfId="0" applyNumberFormat="1" applyBorder="1"/>
    <xf numFmtId="0" fontId="0" fillId="0" borderId="1" xfId="0" applyBorder="1"/>
    <xf numFmtId="42" fontId="0" fillId="0" borderId="0" xfId="0" applyNumberFormat="1" applyBorder="1"/>
    <xf numFmtId="166" fontId="0" fillId="0" borderId="1" xfId="0" applyNumberFormat="1" applyBorder="1"/>
    <xf numFmtId="169" fontId="0" fillId="0" borderId="0" xfId="0" applyNumberFormat="1"/>
    <xf numFmtId="169" fontId="0" fillId="0" borderId="2" xfId="0" applyNumberFormat="1" applyBorder="1"/>
    <xf numFmtId="169" fontId="0" fillId="0" borderId="3" xfId="0" applyNumberFormat="1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3" fontId="0" fillId="0" borderId="0" xfId="0" applyNumberFormat="1" applyBorder="1"/>
    <xf numFmtId="164" fontId="1" fillId="0" borderId="0" xfId="0" applyNumberFormat="1" applyFont="1"/>
    <xf numFmtId="169" fontId="0" fillId="0" borderId="0" xfId="0" applyNumberFormat="1" applyBorder="1"/>
    <xf numFmtId="166" fontId="0" fillId="0" borderId="0" xfId="0" applyNumberFormat="1" applyBorder="1"/>
    <xf numFmtId="169" fontId="1" fillId="0" borderId="0" xfId="0" applyNumberFormat="1" applyFont="1"/>
    <xf numFmtId="13" fontId="0" fillId="0" borderId="0" xfId="0" applyNumberFormat="1"/>
    <xf numFmtId="0" fontId="1" fillId="0" borderId="4" xfId="0" applyFont="1" applyBorder="1"/>
    <xf numFmtId="0" fontId="0" fillId="0" borderId="5" xfId="0" applyBorder="1"/>
    <xf numFmtId="169" fontId="1" fillId="0" borderId="5" xfId="0" applyNumberFormat="1" applyFont="1" applyBorder="1"/>
    <xf numFmtId="169" fontId="1" fillId="0" borderId="6" xfId="0" applyNumberFormat="1" applyFont="1" applyBorder="1"/>
    <xf numFmtId="166" fontId="1" fillId="0" borderId="5" xfId="0" applyNumberFormat="1" applyFont="1" applyBorder="1"/>
    <xf numFmtId="166" fontId="1" fillId="0" borderId="6" xfId="0" applyNumberFormat="1" applyFont="1" applyBorder="1"/>
    <xf numFmtId="167" fontId="1" fillId="0" borderId="3" xfId="0" applyNumberFormat="1" applyFont="1" applyBorder="1"/>
    <xf numFmtId="166" fontId="1" fillId="0" borderId="2" xfId="0" applyNumberFormat="1" applyFont="1" applyBorder="1"/>
    <xf numFmtId="0" fontId="6" fillId="0" borderId="0" xfId="0" applyFont="1" applyAlignment="1">
      <alignment horizontal="centerContinuous"/>
    </xf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0" fontId="0" fillId="0" borderId="0" xfId="2" applyNumberFormat="1" applyFont="1"/>
    <xf numFmtId="171" fontId="0" fillId="0" borderId="0" xfId="1" applyNumberFormat="1" applyFont="1"/>
    <xf numFmtId="171" fontId="0" fillId="0" borderId="1" xfId="1" applyNumberFormat="1" applyFont="1" applyBorder="1"/>
    <xf numFmtId="170" fontId="0" fillId="0" borderId="7" xfId="2" applyNumberFormat="1" applyFont="1" applyBorder="1"/>
    <xf numFmtId="171" fontId="0" fillId="0" borderId="0" xfId="1" applyNumberFormat="1" applyFont="1" applyBorder="1"/>
    <xf numFmtId="170" fontId="2" fillId="0" borderId="0" xfId="2" applyNumberFormat="1"/>
    <xf numFmtId="171" fontId="2" fillId="0" borderId="1" xfId="1" applyNumberFormat="1" applyBorder="1"/>
    <xf numFmtId="171" fontId="2" fillId="0" borderId="0" xfId="1" applyNumberFormat="1"/>
    <xf numFmtId="170" fontId="2" fillId="0" borderId="7" xfId="2" applyNumberFormat="1" applyBorder="1"/>
    <xf numFmtId="176" fontId="0" fillId="0" borderId="0" xfId="0" applyNumberFormat="1"/>
    <xf numFmtId="0" fontId="0" fillId="0" borderId="0" xfId="0" applyBorder="1"/>
    <xf numFmtId="41" fontId="0" fillId="0" borderId="8" xfId="0" applyNumberFormat="1" applyBorder="1"/>
    <xf numFmtId="0" fontId="7" fillId="0" borderId="0" xfId="0" applyFont="1"/>
    <xf numFmtId="0" fontId="4" fillId="0" borderId="0" xfId="0" quotePrefix="1" applyFont="1" applyAlignment="1">
      <alignment horizontal="center"/>
    </xf>
    <xf numFmtId="0" fontId="4" fillId="0" borderId="0" xfId="0" applyFont="1" applyAlignment="1">
      <alignment horizontal="center"/>
    </xf>
    <xf numFmtId="43" fontId="0" fillId="0" borderId="0" xfId="0" applyNumberFormat="1"/>
    <xf numFmtId="178" fontId="0" fillId="0" borderId="0" xfId="0" applyNumberFormat="1"/>
    <xf numFmtId="0" fontId="7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9"/>
  <sheetViews>
    <sheetView tabSelected="1" workbookViewId="0"/>
  </sheetViews>
  <sheetFormatPr defaultColWidth="9.6640625" defaultRowHeight="13.2" x14ac:dyDescent="0.25"/>
  <cols>
    <col min="1" max="1" width="40.6640625" customWidth="1"/>
    <col min="3" max="3" width="5.6640625" customWidth="1"/>
    <col min="5" max="5" width="5.6640625" customWidth="1"/>
    <col min="7" max="7" width="5.6640625" customWidth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x14ac:dyDescent="0.25">
      <c r="A2" s="1" t="s">
        <v>1</v>
      </c>
      <c r="B2" s="2"/>
      <c r="C2" s="2"/>
      <c r="D2" s="2"/>
      <c r="E2" s="2"/>
      <c r="F2" s="2"/>
      <c r="G2" s="2"/>
      <c r="H2" s="2"/>
    </row>
    <row r="3" spans="1:8" x14ac:dyDescent="0.25">
      <c r="A3" s="3" t="s">
        <v>2</v>
      </c>
      <c r="B3" s="2"/>
      <c r="C3" s="2"/>
      <c r="D3" s="2"/>
      <c r="E3" s="2"/>
      <c r="F3" s="2"/>
      <c r="G3" s="2"/>
      <c r="H3" s="2"/>
    </row>
    <row r="4" spans="1:8" x14ac:dyDescent="0.25">
      <c r="A4" s="4"/>
    </row>
    <row r="5" spans="1:8" x14ac:dyDescent="0.25">
      <c r="A5" s="4"/>
    </row>
    <row r="6" spans="1:8" x14ac:dyDescent="0.25">
      <c r="A6" s="5" t="s">
        <v>3</v>
      </c>
      <c r="B6" s="6">
        <v>1999</v>
      </c>
      <c r="C6" s="7"/>
      <c r="D6" s="6">
        <v>1998</v>
      </c>
      <c r="E6" s="7"/>
      <c r="F6" s="6" t="s">
        <v>4</v>
      </c>
      <c r="G6" s="7"/>
    </row>
    <row r="7" spans="1:8" x14ac:dyDescent="0.25">
      <c r="A7" t="s">
        <v>5</v>
      </c>
      <c r="B7" s="8">
        <v>38125</v>
      </c>
      <c r="D7" s="8">
        <v>37154</v>
      </c>
      <c r="F7" s="8">
        <v>35764</v>
      </c>
    </row>
    <row r="8" spans="1:8" x14ac:dyDescent="0.25">
      <c r="A8" t="s">
        <v>6</v>
      </c>
      <c r="B8" s="9">
        <v>21206</v>
      </c>
      <c r="D8" s="9">
        <v>21064</v>
      </c>
      <c r="F8" s="9">
        <v>20316</v>
      </c>
    </row>
    <row r="9" spans="1:8" x14ac:dyDescent="0.25">
      <c r="A9" s="10" t="s">
        <v>7</v>
      </c>
      <c r="B9" s="11">
        <f>+B7-B8</f>
        <v>16919</v>
      </c>
      <c r="D9" s="11">
        <f>+D7-D8</f>
        <v>16090</v>
      </c>
      <c r="F9" s="11">
        <f>+F7-F8</f>
        <v>15448</v>
      </c>
    </row>
    <row r="10" spans="1:8" x14ac:dyDescent="0.25">
      <c r="B10" s="11"/>
      <c r="D10" s="11"/>
      <c r="F10" s="11"/>
    </row>
    <row r="11" spans="1:8" x14ac:dyDescent="0.25">
      <c r="A11" t="s">
        <v>8</v>
      </c>
      <c r="B11" s="9">
        <v>10666</v>
      </c>
      <c r="D11" s="9">
        <v>10035</v>
      </c>
      <c r="F11" s="9">
        <v>9960</v>
      </c>
    </row>
    <row r="12" spans="1:8" x14ac:dyDescent="0.25">
      <c r="A12" s="10" t="s">
        <v>9</v>
      </c>
      <c r="B12" s="11">
        <f>+B9-B11</f>
        <v>6253</v>
      </c>
      <c r="D12" s="11">
        <f>+D9-D11</f>
        <v>6055</v>
      </c>
      <c r="F12" s="11">
        <f>+F9-F11</f>
        <v>5488</v>
      </c>
    </row>
    <row r="13" spans="1:8" x14ac:dyDescent="0.25">
      <c r="B13" s="11"/>
      <c r="D13" s="11"/>
      <c r="F13" s="11"/>
    </row>
    <row r="14" spans="1:8" x14ac:dyDescent="0.25">
      <c r="A14" t="s">
        <v>10</v>
      </c>
      <c r="B14" s="11">
        <v>650</v>
      </c>
      <c r="D14" s="11">
        <v>548</v>
      </c>
      <c r="F14" s="11">
        <v>457</v>
      </c>
    </row>
    <row r="15" spans="1:8" x14ac:dyDescent="0.25">
      <c r="A15" t="s">
        <v>11</v>
      </c>
      <c r="B15" s="9">
        <v>235</v>
      </c>
      <c r="D15" s="9">
        <v>201</v>
      </c>
      <c r="F15" s="9">
        <v>218</v>
      </c>
    </row>
    <row r="16" spans="1:8" x14ac:dyDescent="0.25">
      <c r="A16" s="10" t="s">
        <v>12</v>
      </c>
      <c r="B16" s="11">
        <f>+B12-B14+B15</f>
        <v>5838</v>
      </c>
      <c r="D16" s="11">
        <f>+D12-D14+D15</f>
        <v>5708</v>
      </c>
      <c r="F16" s="11">
        <f>+F12-F14+F15</f>
        <v>5249</v>
      </c>
    </row>
    <row r="17" spans="1:6" x14ac:dyDescent="0.25">
      <c r="B17" s="11"/>
      <c r="D17" s="11"/>
      <c r="F17" s="11"/>
    </row>
    <row r="18" spans="1:6" x14ac:dyDescent="0.25">
      <c r="A18" t="s">
        <v>13</v>
      </c>
      <c r="B18" s="9">
        <v>2075</v>
      </c>
      <c r="D18" s="9">
        <v>1928</v>
      </c>
      <c r="F18" s="9">
        <v>1834</v>
      </c>
    </row>
    <row r="19" spans="1:6" x14ac:dyDescent="0.25">
      <c r="A19" s="10" t="s">
        <v>14</v>
      </c>
      <c r="B19" s="8">
        <f>+B16-B18</f>
        <v>3763</v>
      </c>
      <c r="D19" s="8">
        <f>+D16-D18</f>
        <v>3780</v>
      </c>
      <c r="F19" s="8">
        <f>+F16-F18</f>
        <v>3415</v>
      </c>
    </row>
    <row r="22" spans="1:6" x14ac:dyDescent="0.25">
      <c r="A22" t="s">
        <v>15</v>
      </c>
      <c r="B22" s="12">
        <v>2.75</v>
      </c>
      <c r="D22" s="12">
        <v>2.74</v>
      </c>
      <c r="F22" s="12">
        <v>2.4300000000000002</v>
      </c>
    </row>
    <row r="23" spans="1:6" x14ac:dyDescent="0.25">
      <c r="A23" t="s">
        <v>16</v>
      </c>
      <c r="B23" s="12">
        <v>2.59</v>
      </c>
      <c r="D23" s="12">
        <v>2.56</v>
      </c>
      <c r="F23" s="12">
        <v>2.2799999999999998</v>
      </c>
    </row>
    <row r="24" spans="1:6" x14ac:dyDescent="0.25">
      <c r="A24" t="s">
        <v>17</v>
      </c>
      <c r="B24" s="12">
        <v>1.1399999999999999</v>
      </c>
      <c r="D24" s="12">
        <v>1.01</v>
      </c>
      <c r="F24" s="12">
        <v>0.9</v>
      </c>
    </row>
    <row r="25" spans="1:6" x14ac:dyDescent="0.25">
      <c r="A25" t="s">
        <v>18</v>
      </c>
      <c r="B25" s="13">
        <v>1328.1</v>
      </c>
      <c r="D25" s="13">
        <v>1343.4</v>
      </c>
      <c r="F25" s="13">
        <v>1360.3</v>
      </c>
    </row>
    <row r="28" spans="1:6" x14ac:dyDescent="0.25">
      <c r="A28" s="18" t="s">
        <v>19</v>
      </c>
    </row>
    <row r="29" spans="1:6" x14ac:dyDescent="0.25">
      <c r="A29" t="s">
        <v>20</v>
      </c>
    </row>
    <row r="30" spans="1:6" x14ac:dyDescent="0.25">
      <c r="A30" t="s">
        <v>284</v>
      </c>
    </row>
    <row r="31" spans="1:6" x14ac:dyDescent="0.25">
      <c r="A31" t="s">
        <v>21</v>
      </c>
      <c r="B31" s="40">
        <v>82</v>
      </c>
    </row>
    <row r="32" spans="1:6" x14ac:dyDescent="0.25">
      <c r="A32" t="s">
        <v>22</v>
      </c>
      <c r="B32" s="40">
        <v>115.625</v>
      </c>
    </row>
    <row r="33" spans="1:2" x14ac:dyDescent="0.25">
      <c r="A33" t="s">
        <v>285</v>
      </c>
    </row>
    <row r="34" spans="1:2" x14ac:dyDescent="0.25">
      <c r="A34" t="s">
        <v>22</v>
      </c>
      <c r="B34" s="40">
        <v>115.625</v>
      </c>
    </row>
    <row r="35" spans="1:2" x14ac:dyDescent="0.25">
      <c r="A35" t="s">
        <v>21</v>
      </c>
      <c r="B35" s="40">
        <v>103.5</v>
      </c>
    </row>
    <row r="36" spans="1:2" x14ac:dyDescent="0.25">
      <c r="A36" t="s">
        <v>23</v>
      </c>
      <c r="B36" s="40">
        <v>109.5</v>
      </c>
    </row>
    <row r="38" spans="1:2" x14ac:dyDescent="0.25">
      <c r="A38" s="18"/>
    </row>
    <row r="39" spans="1:2" x14ac:dyDescent="0.25">
      <c r="B39" s="23"/>
    </row>
  </sheetData>
  <pageMargins left="0.75" right="0.75" top="1" bottom="1" header="0.5" footer="0.5"/>
  <pageSetup scale="94" orientation="portrait" horizontalDpi="300" verticalDpi="300" r:id="rId1"/>
  <headerFooter alignWithMargins="0">
    <oddHeader>FPLC-IPSI-Student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2"/>
  <sheetViews>
    <sheetView workbookViewId="0">
      <selection sqref="A1:H1"/>
    </sheetView>
  </sheetViews>
  <sheetFormatPr defaultColWidth="11.6640625" defaultRowHeight="13.2" x14ac:dyDescent="0.25"/>
  <cols>
    <col min="1" max="1" width="35.6640625" customWidth="1"/>
    <col min="2" max="2" width="4.6640625" customWidth="1"/>
  </cols>
  <sheetData>
    <row r="1" spans="1:8" ht="15.6" x14ac:dyDescent="0.3">
      <c r="A1" s="70" t="s">
        <v>235</v>
      </c>
      <c r="B1" s="70"/>
      <c r="C1" s="70"/>
      <c r="D1" s="70"/>
      <c r="E1" s="70"/>
      <c r="F1" s="70"/>
      <c r="G1" s="70"/>
      <c r="H1" s="70"/>
    </row>
    <row r="2" spans="1:8" ht="15.6" x14ac:dyDescent="0.3">
      <c r="A2" s="65"/>
    </row>
    <row r="3" spans="1:8" x14ac:dyDescent="0.25">
      <c r="C3" s="66">
        <v>1999</v>
      </c>
      <c r="D3" s="67">
        <v>1998</v>
      </c>
    </row>
    <row r="4" spans="1:8" x14ac:dyDescent="0.25">
      <c r="A4" s="20" t="s">
        <v>234</v>
      </c>
      <c r="E4" s="63"/>
    </row>
    <row r="5" spans="1:8" x14ac:dyDescent="0.25">
      <c r="A5" s="10" t="s">
        <v>26</v>
      </c>
      <c r="C5" s="24">
        <v>11358</v>
      </c>
      <c r="D5" s="24">
        <v>10577</v>
      </c>
    </row>
    <row r="6" spans="1:8" x14ac:dyDescent="0.25">
      <c r="A6" s="10" t="s">
        <v>51</v>
      </c>
      <c r="C6" s="23">
        <v>10761</v>
      </c>
      <c r="D6" s="23">
        <v>9250</v>
      </c>
    </row>
    <row r="7" spans="1:8" x14ac:dyDescent="0.25">
      <c r="C7" s="64">
        <f>+C5-C6</f>
        <v>597</v>
      </c>
      <c r="D7" s="64">
        <f>+D5-D6</f>
        <v>1327</v>
      </c>
    </row>
    <row r="9" spans="1:8" x14ac:dyDescent="0.25">
      <c r="A9" s="20" t="s">
        <v>238</v>
      </c>
      <c r="C9" s="24">
        <f>+(C7+D7)/2</f>
        <v>962</v>
      </c>
    </row>
    <row r="10" spans="1:8" x14ac:dyDescent="0.25">
      <c r="A10" s="20" t="s">
        <v>236</v>
      </c>
      <c r="C10" s="24">
        <f>(1176+375+1787+1225+343+1716)/2</f>
        <v>3311</v>
      </c>
    </row>
    <row r="11" spans="1:8" x14ac:dyDescent="0.25">
      <c r="A11" s="20" t="s">
        <v>237</v>
      </c>
      <c r="C11" s="24">
        <f>(12058+12236)/2</f>
        <v>12147</v>
      </c>
    </row>
    <row r="12" spans="1:8" x14ac:dyDescent="0.25">
      <c r="A12" s="20" t="s">
        <v>239</v>
      </c>
      <c r="C12" s="24">
        <f>(12626+12180)/2</f>
        <v>12403</v>
      </c>
    </row>
    <row r="13" spans="1:8" x14ac:dyDescent="0.25">
      <c r="A13" s="20" t="s">
        <v>240</v>
      </c>
      <c r="C13" s="24">
        <f>(32113+30966)/2</f>
        <v>31539.5</v>
      </c>
    </row>
    <row r="14" spans="1:8" x14ac:dyDescent="0.25">
      <c r="A14" s="20" t="s">
        <v>274</v>
      </c>
      <c r="C14" s="24">
        <f>(2940+2781)/2</f>
        <v>2860.5</v>
      </c>
    </row>
    <row r="16" spans="1:8" x14ac:dyDescent="0.25">
      <c r="A16" s="20" t="s">
        <v>241</v>
      </c>
    </row>
    <row r="17" spans="1:5" x14ac:dyDescent="0.25">
      <c r="A17" s="10" t="s">
        <v>242</v>
      </c>
      <c r="C17" s="68">
        <f>11358/10761</f>
        <v>1.0554781154167829</v>
      </c>
      <c r="E17" t="s">
        <v>246</v>
      </c>
    </row>
    <row r="18" spans="1:5" x14ac:dyDescent="0.25">
      <c r="A18" s="10" t="s">
        <v>243</v>
      </c>
      <c r="C18" s="68">
        <f>(2294+2940)/10761</f>
        <v>0.48638602360375432</v>
      </c>
      <c r="E18" t="s">
        <v>245</v>
      </c>
    </row>
    <row r="19" spans="1:5" x14ac:dyDescent="0.25">
      <c r="A19" s="10" t="s">
        <v>244</v>
      </c>
      <c r="C19" s="68">
        <f>21206/C10</f>
        <v>6.4047115675022654</v>
      </c>
      <c r="E19" t="s">
        <v>247</v>
      </c>
    </row>
    <row r="21" spans="1:5" x14ac:dyDescent="0.25">
      <c r="A21" s="20" t="s">
        <v>248</v>
      </c>
    </row>
    <row r="22" spans="1:5" x14ac:dyDescent="0.25">
      <c r="A22" s="10" t="s">
        <v>249</v>
      </c>
      <c r="C22" s="68">
        <f>6231/12058</f>
        <v>0.51675236357604915</v>
      </c>
      <c r="E22" t="s">
        <v>250</v>
      </c>
    </row>
    <row r="23" spans="1:5" x14ac:dyDescent="0.25">
      <c r="A23" s="10" t="s">
        <v>249</v>
      </c>
      <c r="C23" s="68">
        <f>(6231+362+2701)/12058</f>
        <v>0.77077458948415989</v>
      </c>
      <c r="E23" t="s">
        <v>251</v>
      </c>
    </row>
    <row r="24" spans="1:5" x14ac:dyDescent="0.25">
      <c r="A24" s="10" t="s">
        <v>252</v>
      </c>
      <c r="C24" s="68">
        <f>(5838+650)/650</f>
        <v>9.9815384615384612</v>
      </c>
      <c r="E24" t="s">
        <v>253</v>
      </c>
    </row>
    <row r="26" spans="1:5" x14ac:dyDescent="0.25">
      <c r="A26" s="20" t="s">
        <v>254</v>
      </c>
    </row>
    <row r="27" spans="1:5" x14ac:dyDescent="0.25">
      <c r="A27" s="10" t="s">
        <v>255</v>
      </c>
      <c r="C27" s="62">
        <f>(3763+650)/C13</f>
        <v>0.13991978312909209</v>
      </c>
      <c r="E27" t="s">
        <v>257</v>
      </c>
    </row>
    <row r="28" spans="1:5" x14ac:dyDescent="0.25">
      <c r="A28" s="10" t="s">
        <v>256</v>
      </c>
      <c r="C28" s="62">
        <f>3764/C11</f>
        <v>0.30987074997941877</v>
      </c>
      <c r="E28" t="s">
        <v>258</v>
      </c>
    </row>
    <row r="30" spans="1:5" x14ac:dyDescent="0.25">
      <c r="A30" s="20" t="s">
        <v>259</v>
      </c>
    </row>
    <row r="31" spans="1:5" x14ac:dyDescent="0.25">
      <c r="A31" s="10" t="s">
        <v>260</v>
      </c>
      <c r="C31" s="62">
        <f>16919/38125</f>
        <v>0.44377704918032784</v>
      </c>
      <c r="E31" t="s">
        <v>262</v>
      </c>
    </row>
    <row r="32" spans="1:5" x14ac:dyDescent="0.25">
      <c r="A32" s="10" t="s">
        <v>261</v>
      </c>
      <c r="C32" s="62">
        <f>3763/38125</f>
        <v>9.8701639344262293E-2</v>
      </c>
      <c r="E32" t="s">
        <v>263</v>
      </c>
    </row>
    <row r="34" spans="1:5" x14ac:dyDescent="0.25">
      <c r="A34" s="20" t="s">
        <v>264</v>
      </c>
    </row>
    <row r="35" spans="1:5" x14ac:dyDescent="0.25">
      <c r="A35" s="10" t="s">
        <v>266</v>
      </c>
      <c r="C35" s="68">
        <f>38125/2940</f>
        <v>12.967687074829932</v>
      </c>
      <c r="E35" t="s">
        <v>267</v>
      </c>
    </row>
    <row r="36" spans="1:5" x14ac:dyDescent="0.25">
      <c r="A36" s="10" t="s">
        <v>266</v>
      </c>
      <c r="C36" s="68">
        <f>38125/C14</f>
        <v>13.328089494843558</v>
      </c>
      <c r="E36" t="s">
        <v>269</v>
      </c>
    </row>
    <row r="37" spans="1:5" x14ac:dyDescent="0.25">
      <c r="A37" s="10" t="s">
        <v>265</v>
      </c>
      <c r="C37" s="68">
        <f>38125/(1176+375+1787)</f>
        <v>11.421509886159377</v>
      </c>
      <c r="E37" t="s">
        <v>271</v>
      </c>
    </row>
    <row r="38" spans="1:5" x14ac:dyDescent="0.25">
      <c r="A38" s="10" t="s">
        <v>265</v>
      </c>
      <c r="C38" s="68">
        <f>38125/C10</f>
        <v>11.514648142555119</v>
      </c>
      <c r="E38" t="s">
        <v>270</v>
      </c>
    </row>
    <row r="39" spans="1:5" x14ac:dyDescent="0.25">
      <c r="A39" s="10" t="s">
        <v>268</v>
      </c>
      <c r="C39" s="68">
        <f>38125/12626</f>
        <v>3.0195628069063836</v>
      </c>
      <c r="E39" t="s">
        <v>272</v>
      </c>
    </row>
    <row r="40" spans="1:5" x14ac:dyDescent="0.25">
      <c r="A40" s="10" t="s">
        <v>268</v>
      </c>
      <c r="C40" s="68">
        <f>38125/C12</f>
        <v>3.073853100056438</v>
      </c>
      <c r="E40" t="s">
        <v>273</v>
      </c>
    </row>
    <row r="42" spans="1:5" x14ac:dyDescent="0.25">
      <c r="A42" s="20" t="s">
        <v>275</v>
      </c>
    </row>
    <row r="43" spans="1:5" x14ac:dyDescent="0.25">
      <c r="A43" t="s">
        <v>276</v>
      </c>
      <c r="C43" s="68">
        <f>109.5/2.75</f>
        <v>39.81818181818182</v>
      </c>
      <c r="E43" t="s">
        <v>280</v>
      </c>
    </row>
    <row r="44" spans="1:5" x14ac:dyDescent="0.25">
      <c r="A44" t="s">
        <v>277</v>
      </c>
      <c r="C44" s="62">
        <f>2.75/109.5</f>
        <v>2.5114155251141551E-2</v>
      </c>
      <c r="E44" t="s">
        <v>281</v>
      </c>
    </row>
    <row r="45" spans="1:5" x14ac:dyDescent="0.25">
      <c r="A45" t="s">
        <v>278</v>
      </c>
      <c r="C45" s="62">
        <f>1.14/109.5</f>
        <v>1.0410958904109589E-2</v>
      </c>
      <c r="E45" t="s">
        <v>282</v>
      </c>
    </row>
    <row r="46" spans="1:5" x14ac:dyDescent="0.25">
      <c r="A46" t="s">
        <v>279</v>
      </c>
      <c r="C46" s="62">
        <f>1.14/2.75</f>
        <v>0.41454545454545449</v>
      </c>
      <c r="E46" t="s">
        <v>283</v>
      </c>
    </row>
    <row r="48" spans="1:5" x14ac:dyDescent="0.25">
      <c r="A48" s="20" t="s">
        <v>233</v>
      </c>
      <c r="C48" s="67">
        <v>1999</v>
      </c>
      <c r="D48" s="67">
        <v>1995</v>
      </c>
      <c r="E48" t="s">
        <v>290</v>
      </c>
    </row>
    <row r="49" spans="1:5" x14ac:dyDescent="0.25">
      <c r="A49" s="10" t="s">
        <v>5</v>
      </c>
      <c r="C49" s="24">
        <v>38125</v>
      </c>
      <c r="D49" s="24">
        <v>33482</v>
      </c>
      <c r="E49" s="62">
        <v>3.3000000000000002E-2</v>
      </c>
    </row>
    <row r="50" spans="1:5" x14ac:dyDescent="0.25">
      <c r="A50" s="10" t="s">
        <v>14</v>
      </c>
      <c r="C50" s="24">
        <v>3763</v>
      </c>
      <c r="D50" s="24">
        <v>2645</v>
      </c>
      <c r="E50" s="62">
        <v>9.1999999999999998E-2</v>
      </c>
    </row>
    <row r="51" spans="1:5" x14ac:dyDescent="0.25">
      <c r="A51" s="10" t="s">
        <v>291</v>
      </c>
      <c r="C51" s="24">
        <v>1726</v>
      </c>
      <c r="D51" s="24">
        <v>1304</v>
      </c>
      <c r="E51" s="62">
        <v>7.2999999999999995E-2</v>
      </c>
    </row>
    <row r="52" spans="1:5" x14ac:dyDescent="0.25">
      <c r="A52" s="10" t="s">
        <v>292</v>
      </c>
      <c r="C52" s="24">
        <v>3538</v>
      </c>
      <c r="D52" s="24">
        <v>3284</v>
      </c>
      <c r="E52" s="62">
        <v>1.9E-2</v>
      </c>
    </row>
  </sheetData>
  <mergeCells count="1">
    <mergeCell ref="A1:H1"/>
  </mergeCells>
  <pageMargins left="0.75" right="0.75" top="0.75" bottom="0.75" header="0.5" footer="0.5"/>
  <pageSetup scale="82" orientation="portrait" horizontalDpi="300" verticalDpi="300" r:id="rId1"/>
  <headerFooter alignWithMargins="0"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8"/>
  <sheetViews>
    <sheetView workbookViewId="0"/>
  </sheetViews>
  <sheetFormatPr defaultRowHeight="13.2" x14ac:dyDescent="0.25"/>
  <cols>
    <col min="1" max="1" width="40.6640625" customWidth="1"/>
    <col min="3" max="3" width="5.6640625" customWidth="1"/>
    <col min="5" max="5" width="5.6640625" customWidth="1"/>
    <col min="7" max="7" width="5.6640625" customWidth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x14ac:dyDescent="0.25">
      <c r="A2" s="1" t="s">
        <v>24</v>
      </c>
      <c r="B2" s="2"/>
      <c r="C2" s="2"/>
      <c r="D2" s="2"/>
      <c r="E2" s="2"/>
      <c r="F2" s="2"/>
      <c r="G2" s="2"/>
      <c r="H2" s="2"/>
    </row>
    <row r="3" spans="1:8" x14ac:dyDescent="0.25">
      <c r="A3" s="3" t="s">
        <v>2</v>
      </c>
      <c r="B3" s="2"/>
      <c r="C3" s="2"/>
      <c r="D3" s="2"/>
      <c r="E3" s="2"/>
      <c r="F3" s="2"/>
      <c r="G3" s="2"/>
      <c r="H3" s="2"/>
    </row>
    <row r="4" spans="1:8" x14ac:dyDescent="0.25">
      <c r="A4" s="3"/>
      <c r="B4" s="2"/>
      <c r="C4" s="2"/>
      <c r="D4" s="2"/>
      <c r="E4" s="2"/>
      <c r="F4" s="2"/>
      <c r="G4" s="2"/>
      <c r="H4" s="2"/>
    </row>
    <row r="5" spans="1:8" x14ac:dyDescent="0.25">
      <c r="A5" s="5" t="s">
        <v>3</v>
      </c>
      <c r="B5" s="6">
        <v>1999</v>
      </c>
      <c r="C5" s="7"/>
      <c r="D5" s="6">
        <v>1998</v>
      </c>
      <c r="E5" s="7"/>
      <c r="F5" s="19"/>
      <c r="G5" s="2"/>
      <c r="H5" s="2"/>
    </row>
    <row r="6" spans="1:8" x14ac:dyDescent="0.25">
      <c r="A6" s="18" t="s">
        <v>25</v>
      </c>
    </row>
    <row r="7" spans="1:8" x14ac:dyDescent="0.25">
      <c r="A7" s="21" t="s">
        <v>26</v>
      </c>
    </row>
    <row r="8" spans="1:8" x14ac:dyDescent="0.25">
      <c r="A8" s="4" t="s">
        <v>27</v>
      </c>
      <c r="B8" s="24">
        <v>2294</v>
      </c>
      <c r="D8" s="24">
        <v>1549</v>
      </c>
    </row>
    <row r="9" spans="1:8" x14ac:dyDescent="0.25">
      <c r="A9" s="4" t="s">
        <v>28</v>
      </c>
      <c r="B9" s="23">
        <v>506</v>
      </c>
      <c r="D9" s="23">
        <v>857</v>
      </c>
    </row>
    <row r="10" spans="1:8" x14ac:dyDescent="0.25">
      <c r="A10" s="4" t="s">
        <v>29</v>
      </c>
      <c r="B10" s="23">
        <v>2940</v>
      </c>
      <c r="D10" s="23">
        <v>2781</v>
      </c>
    </row>
    <row r="11" spans="1:8" x14ac:dyDescent="0.25">
      <c r="A11" s="4" t="s">
        <v>30</v>
      </c>
      <c r="B11" s="23"/>
      <c r="D11" s="23"/>
    </row>
    <row r="12" spans="1:8" x14ac:dyDescent="0.25">
      <c r="A12" s="4" t="s">
        <v>31</v>
      </c>
      <c r="B12" s="23">
        <v>1176</v>
      </c>
      <c r="D12" s="23">
        <v>1225</v>
      </c>
    </row>
    <row r="13" spans="1:8" x14ac:dyDescent="0.25">
      <c r="A13" s="4" t="s">
        <v>32</v>
      </c>
      <c r="B13" s="23">
        <v>375</v>
      </c>
      <c r="D13" s="23">
        <v>343</v>
      </c>
    </row>
    <row r="14" spans="1:8" x14ac:dyDescent="0.25">
      <c r="A14" s="4" t="s">
        <v>33</v>
      </c>
      <c r="B14" s="23">
        <v>1787</v>
      </c>
      <c r="D14" s="23">
        <v>1716</v>
      </c>
    </row>
    <row r="15" spans="1:8" x14ac:dyDescent="0.25">
      <c r="A15" s="4" t="s">
        <v>34</v>
      </c>
      <c r="B15" s="23">
        <v>621</v>
      </c>
      <c r="D15" s="23">
        <v>595</v>
      </c>
    </row>
    <row r="16" spans="1:8" x14ac:dyDescent="0.25">
      <c r="A16" s="4" t="s">
        <v>35</v>
      </c>
      <c r="B16" s="25">
        <v>1659</v>
      </c>
      <c r="D16" s="25">
        <v>1511</v>
      </c>
    </row>
    <row r="17" spans="1:4" x14ac:dyDescent="0.25">
      <c r="A17" s="10" t="s">
        <v>36</v>
      </c>
      <c r="B17" s="23">
        <f>SUM(B8:B16)</f>
        <v>11358</v>
      </c>
      <c r="C17" s="23"/>
      <c r="D17" s="23">
        <f>SUM(D8:D16)</f>
        <v>10577</v>
      </c>
    </row>
    <row r="18" spans="1:4" x14ac:dyDescent="0.25">
      <c r="A18" s="18" t="s">
        <v>37</v>
      </c>
      <c r="B18" s="23"/>
      <c r="D18" s="23"/>
    </row>
    <row r="19" spans="1:4" x14ac:dyDescent="0.25">
      <c r="A19" s="4" t="s">
        <v>38</v>
      </c>
      <c r="B19" s="23">
        <v>3885</v>
      </c>
      <c r="D19" s="23">
        <v>3660</v>
      </c>
    </row>
    <row r="20" spans="1:4" x14ac:dyDescent="0.25">
      <c r="A20" s="4" t="s">
        <v>39</v>
      </c>
      <c r="B20" s="23">
        <v>16953</v>
      </c>
      <c r="D20" s="23">
        <v>15953</v>
      </c>
    </row>
    <row r="21" spans="1:4" x14ac:dyDescent="0.25">
      <c r="A21" s="4" t="s">
        <v>40</v>
      </c>
      <c r="B21" s="25">
        <v>562</v>
      </c>
      <c r="D21" s="25">
        <v>539</v>
      </c>
    </row>
    <row r="22" spans="1:4" x14ac:dyDescent="0.25">
      <c r="B22" s="23">
        <f>SUM(B19:B21)</f>
        <v>21400</v>
      </c>
      <c r="D22" s="23">
        <f>SUM(D19:D21)</f>
        <v>20152</v>
      </c>
    </row>
    <row r="23" spans="1:4" x14ac:dyDescent="0.25">
      <c r="A23" s="4" t="s">
        <v>41</v>
      </c>
      <c r="B23" s="25">
        <v>8774</v>
      </c>
      <c r="D23" s="25">
        <v>7972</v>
      </c>
    </row>
    <row r="24" spans="1:4" x14ac:dyDescent="0.25">
      <c r="A24" s="10" t="s">
        <v>42</v>
      </c>
      <c r="B24" s="23">
        <f>+B22-B23</f>
        <v>12626</v>
      </c>
      <c r="D24" s="23">
        <f>+D22-D23</f>
        <v>12180</v>
      </c>
    </row>
    <row r="25" spans="1:4" x14ac:dyDescent="0.25">
      <c r="A25" s="18" t="s">
        <v>43</v>
      </c>
      <c r="B25" s="23"/>
      <c r="D25" s="23"/>
    </row>
    <row r="26" spans="1:4" x14ac:dyDescent="0.25">
      <c r="A26" s="4" t="s">
        <v>44</v>
      </c>
      <c r="B26" s="23">
        <v>7062</v>
      </c>
      <c r="D26" s="23">
        <v>7023</v>
      </c>
    </row>
    <row r="27" spans="1:4" x14ac:dyDescent="0.25">
      <c r="A27" s="4" t="s">
        <v>45</v>
      </c>
      <c r="B27" s="25">
        <v>1115</v>
      </c>
      <c r="D27" s="25">
        <v>1157</v>
      </c>
    </row>
    <row r="28" spans="1:4" x14ac:dyDescent="0.25">
      <c r="B28" s="23">
        <f>SUM(B26:B27)</f>
        <v>8177</v>
      </c>
      <c r="D28" s="23">
        <f>SUM(D26:D27)</f>
        <v>8180</v>
      </c>
    </row>
    <row r="29" spans="1:4" x14ac:dyDescent="0.25">
      <c r="A29" s="4" t="s">
        <v>46</v>
      </c>
      <c r="B29" s="25">
        <v>1355</v>
      </c>
      <c r="D29" s="25">
        <v>1169</v>
      </c>
    </row>
    <row r="30" spans="1:4" x14ac:dyDescent="0.25">
      <c r="A30" s="10" t="s">
        <v>47</v>
      </c>
      <c r="B30" s="23">
        <f>+B28-B29</f>
        <v>6822</v>
      </c>
      <c r="D30" s="23">
        <f>+D28-D29</f>
        <v>7011</v>
      </c>
    </row>
    <row r="31" spans="1:4" x14ac:dyDescent="0.25">
      <c r="A31" s="18" t="s">
        <v>48</v>
      </c>
      <c r="B31" s="23">
        <v>1307</v>
      </c>
      <c r="D31" s="23">
        <v>1198</v>
      </c>
    </row>
    <row r="32" spans="1:4" x14ac:dyDescent="0.25">
      <c r="B32" s="23"/>
      <c r="D32" s="23"/>
    </row>
    <row r="33" spans="1:4" ht="13.8" thickBot="1" x14ac:dyDescent="0.3">
      <c r="A33" s="18" t="s">
        <v>49</v>
      </c>
      <c r="B33" s="26">
        <f>+B17+B24+B30+B31</f>
        <v>32113</v>
      </c>
      <c r="D33" s="26">
        <f>+D17+D24+D30+D31</f>
        <v>30966</v>
      </c>
    </row>
    <row r="34" spans="1:4" ht="13.8" thickTop="1" x14ac:dyDescent="0.25">
      <c r="B34" s="23"/>
      <c r="D34" s="23"/>
    </row>
    <row r="35" spans="1:4" x14ac:dyDescent="0.25">
      <c r="A35" s="20" t="s">
        <v>50</v>
      </c>
      <c r="B35" s="23"/>
      <c r="D35" s="23"/>
    </row>
    <row r="36" spans="1:4" x14ac:dyDescent="0.25">
      <c r="A36" s="18" t="s">
        <v>51</v>
      </c>
      <c r="B36" s="23"/>
      <c r="D36" s="23"/>
    </row>
    <row r="37" spans="1:4" x14ac:dyDescent="0.25">
      <c r="A37" s="4" t="s">
        <v>52</v>
      </c>
      <c r="B37" s="24">
        <v>2300</v>
      </c>
      <c r="D37" s="24">
        <v>2051</v>
      </c>
    </row>
    <row r="38" spans="1:4" x14ac:dyDescent="0.25">
      <c r="A38" s="4" t="s">
        <v>53</v>
      </c>
      <c r="B38" s="23">
        <v>4083</v>
      </c>
      <c r="D38" s="23">
        <v>3942</v>
      </c>
    </row>
    <row r="39" spans="1:4" x14ac:dyDescent="0.25">
      <c r="A39" s="4" t="s">
        <v>54</v>
      </c>
      <c r="B39" s="23">
        <v>1228</v>
      </c>
      <c r="D39" s="23">
        <v>976</v>
      </c>
    </row>
    <row r="40" spans="1:4" x14ac:dyDescent="0.25">
      <c r="A40" s="4" t="s">
        <v>55</v>
      </c>
      <c r="B40" s="25">
        <v>3150</v>
      </c>
      <c r="D40" s="25">
        <v>2281</v>
      </c>
    </row>
    <row r="41" spans="1:4" x14ac:dyDescent="0.25">
      <c r="A41" s="10" t="s">
        <v>56</v>
      </c>
      <c r="B41" s="23">
        <f>SUM(B37:B40)</f>
        <v>10761</v>
      </c>
      <c r="D41" s="23">
        <f>SUM(D37:D40)</f>
        <v>9250</v>
      </c>
    </row>
    <row r="42" spans="1:4" x14ac:dyDescent="0.25">
      <c r="A42" s="18" t="s">
        <v>57</v>
      </c>
      <c r="B42" s="23">
        <v>6231</v>
      </c>
      <c r="D42" s="23">
        <v>5765</v>
      </c>
    </row>
    <row r="43" spans="1:4" x14ac:dyDescent="0.25">
      <c r="A43" s="18" t="s">
        <v>58</v>
      </c>
      <c r="B43" s="23">
        <v>362</v>
      </c>
      <c r="D43" s="23">
        <v>428</v>
      </c>
    </row>
    <row r="44" spans="1:4" x14ac:dyDescent="0.25">
      <c r="A44" s="18" t="s">
        <v>59</v>
      </c>
      <c r="B44" s="25">
        <v>2701</v>
      </c>
      <c r="D44" s="25">
        <v>3287</v>
      </c>
    </row>
    <row r="45" spans="1:4" x14ac:dyDescent="0.25">
      <c r="A45" s="22" t="s">
        <v>60</v>
      </c>
      <c r="B45" s="23">
        <f>+B41+B42+B43+B44</f>
        <v>20055</v>
      </c>
      <c r="D45" s="23">
        <f>+D41+D42+D43+D44</f>
        <v>18730</v>
      </c>
    </row>
    <row r="46" spans="1:4" x14ac:dyDescent="0.25">
      <c r="B46" s="23"/>
      <c r="D46" s="23"/>
    </row>
    <row r="47" spans="1:4" x14ac:dyDescent="0.25">
      <c r="A47" s="18" t="s">
        <v>61</v>
      </c>
      <c r="B47" s="23"/>
      <c r="D47" s="23"/>
    </row>
    <row r="48" spans="1:4" x14ac:dyDescent="0.25">
      <c r="A48" s="4" t="s">
        <v>62</v>
      </c>
      <c r="B48" s="23">
        <v>1781</v>
      </c>
      <c r="D48" s="23">
        <v>1821</v>
      </c>
    </row>
    <row r="49" spans="1:4" x14ac:dyDescent="0.25">
      <c r="A49" s="4" t="s">
        <v>63</v>
      </c>
      <c r="B49" s="23">
        <v>1320</v>
      </c>
      <c r="D49" s="23">
        <v>1337</v>
      </c>
    </row>
    <row r="50" spans="1:4" x14ac:dyDescent="0.25">
      <c r="A50" s="4" t="s">
        <v>64</v>
      </c>
      <c r="B50" s="23">
        <v>1337</v>
      </c>
      <c r="D50" s="23">
        <v>907</v>
      </c>
    </row>
    <row r="51" spans="1:4" x14ac:dyDescent="0.25">
      <c r="A51" s="4" t="s">
        <v>65</v>
      </c>
      <c r="B51" s="23">
        <v>-1606</v>
      </c>
      <c r="D51" s="23">
        <v>-1357</v>
      </c>
    </row>
    <row r="52" spans="1:4" x14ac:dyDescent="0.25">
      <c r="A52" s="4" t="s">
        <v>66</v>
      </c>
      <c r="B52" s="23">
        <v>-1552</v>
      </c>
      <c r="D52" s="23">
        <v>-1616</v>
      </c>
    </row>
    <row r="53" spans="1:4" x14ac:dyDescent="0.25">
      <c r="A53" s="4" t="s">
        <v>67</v>
      </c>
      <c r="B53" s="25">
        <v>10778</v>
      </c>
      <c r="D53" s="25">
        <v>11144</v>
      </c>
    </row>
    <row r="54" spans="1:4" x14ac:dyDescent="0.25">
      <c r="A54" s="18" t="s">
        <v>68</v>
      </c>
      <c r="B54" s="23">
        <f>SUM(B48:B53)</f>
        <v>12058</v>
      </c>
      <c r="D54" s="23">
        <f>SUM(D48:D53)</f>
        <v>12236</v>
      </c>
    </row>
    <row r="55" spans="1:4" ht="13.8" thickBot="1" x14ac:dyDescent="0.3">
      <c r="A55" s="18" t="s">
        <v>69</v>
      </c>
      <c r="B55" s="26">
        <f>+B45+B54</f>
        <v>32113</v>
      </c>
      <c r="D55" s="26">
        <f>+D45+D54</f>
        <v>30966</v>
      </c>
    </row>
    <row r="56" spans="1:4" ht="13.8" thickTop="1" x14ac:dyDescent="0.25"/>
    <row r="57" spans="1:4" x14ac:dyDescent="0.25">
      <c r="B57" s="23"/>
    </row>
    <row r="58" spans="1:4" x14ac:dyDescent="0.25">
      <c r="B58" s="28"/>
    </row>
  </sheetData>
  <pageMargins left="0.75" right="0.75" top="1" bottom="1" header="0.5" footer="0.5"/>
  <pageSetup scale="93" orientation="portrait" horizontalDpi="300" verticalDpi="300" r:id="rId1"/>
  <headerFooter alignWithMargins="0">
    <oddHeader>FPLC-IPSI-Student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workbookViewId="0"/>
  </sheetViews>
  <sheetFormatPr defaultColWidth="9.6640625" defaultRowHeight="13.2" x14ac:dyDescent="0.25"/>
  <cols>
    <col min="1" max="1" width="40.6640625" customWidth="1"/>
    <col min="3" max="3" width="5.6640625" customWidth="1"/>
    <col min="5" max="5" width="5.6640625" customWidth="1"/>
    <col min="7" max="7" width="5.6640625" customWidth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x14ac:dyDescent="0.25">
      <c r="A2" s="1" t="s">
        <v>70</v>
      </c>
      <c r="B2" s="2"/>
      <c r="C2" s="2"/>
      <c r="D2" s="2"/>
      <c r="E2" s="2"/>
      <c r="F2" s="2"/>
      <c r="G2" s="2"/>
      <c r="H2" s="2"/>
    </row>
    <row r="3" spans="1:8" x14ac:dyDescent="0.25">
      <c r="A3" s="3" t="s">
        <v>2</v>
      </c>
      <c r="B3" s="2"/>
      <c r="C3" s="2"/>
      <c r="D3" s="2"/>
      <c r="E3" s="2"/>
      <c r="F3" s="2"/>
      <c r="G3" s="2"/>
      <c r="H3" s="2"/>
    </row>
    <row r="4" spans="1:8" x14ac:dyDescent="0.25">
      <c r="A4" s="4"/>
    </row>
    <row r="5" spans="1:8" x14ac:dyDescent="0.25">
      <c r="A5" s="4"/>
    </row>
    <row r="6" spans="1:8" x14ac:dyDescent="0.25">
      <c r="A6" s="5" t="s">
        <v>3</v>
      </c>
      <c r="B6" s="6">
        <v>1999</v>
      </c>
      <c r="C6" s="7"/>
      <c r="D6" s="6">
        <v>1998</v>
      </c>
      <c r="E6" s="7"/>
      <c r="F6" s="6" t="s">
        <v>4</v>
      </c>
      <c r="G6" s="7"/>
    </row>
    <row r="7" spans="1:8" x14ac:dyDescent="0.25">
      <c r="A7" s="18" t="s">
        <v>71</v>
      </c>
      <c r="B7" s="36">
        <v>1549</v>
      </c>
      <c r="D7" s="36">
        <v>2350</v>
      </c>
      <c r="F7" s="36">
        <v>2074</v>
      </c>
    </row>
    <row r="8" spans="1:8" x14ac:dyDescent="0.25">
      <c r="B8" s="35"/>
      <c r="D8" s="35"/>
      <c r="F8" s="35"/>
    </row>
    <row r="9" spans="1:8" x14ac:dyDescent="0.25">
      <c r="A9" s="34" t="s">
        <v>72</v>
      </c>
      <c r="B9" s="11"/>
      <c r="D9" s="11"/>
      <c r="F9" s="11"/>
    </row>
    <row r="10" spans="1:8" x14ac:dyDescent="0.25">
      <c r="A10" t="s">
        <v>73</v>
      </c>
      <c r="B10" s="11">
        <v>3763</v>
      </c>
      <c r="D10" s="11">
        <v>3780</v>
      </c>
      <c r="F10" s="11">
        <v>3415</v>
      </c>
    </row>
    <row r="11" spans="1:8" x14ac:dyDescent="0.25">
      <c r="A11" t="s">
        <v>74</v>
      </c>
      <c r="B11" s="35">
        <v>2148</v>
      </c>
      <c r="D11" s="35">
        <v>1598</v>
      </c>
      <c r="F11" s="35">
        <v>1487</v>
      </c>
    </row>
    <row r="12" spans="1:8" x14ac:dyDescent="0.25">
      <c r="A12" s="33" t="s">
        <v>75</v>
      </c>
      <c r="B12" s="23">
        <v>-60</v>
      </c>
      <c r="D12" s="23">
        <v>-101</v>
      </c>
      <c r="F12" s="23">
        <v>-26</v>
      </c>
    </row>
    <row r="13" spans="1:8" x14ac:dyDescent="0.25">
      <c r="A13" s="33" t="s">
        <v>286</v>
      </c>
      <c r="B13" s="23">
        <f>-207-96+792-926</f>
        <v>-437</v>
      </c>
      <c r="D13" s="23">
        <f>42-229-3-65</f>
        <v>-255</v>
      </c>
      <c r="F13" s="23">
        <f>8-71+561+503</f>
        <v>1001</v>
      </c>
    </row>
    <row r="14" spans="1:8" x14ac:dyDescent="0.25">
      <c r="A14" t="s">
        <v>76</v>
      </c>
      <c r="B14" s="9">
        <v>130</v>
      </c>
      <c r="D14" s="9">
        <v>-137</v>
      </c>
      <c r="F14" s="9">
        <v>5</v>
      </c>
    </row>
    <row r="15" spans="1:8" x14ac:dyDescent="0.25">
      <c r="B15" s="11">
        <f>SUM(B10:B14)</f>
        <v>5544</v>
      </c>
      <c r="D15" s="11">
        <f>SUM(D10:D14)</f>
        <v>4885</v>
      </c>
      <c r="F15" s="11">
        <f>SUM(F10:F14)</f>
        <v>5882</v>
      </c>
    </row>
    <row r="16" spans="1:8" x14ac:dyDescent="0.25">
      <c r="B16" s="35"/>
      <c r="D16" s="35"/>
      <c r="F16" s="35"/>
    </row>
    <row r="17" spans="1:6" x14ac:dyDescent="0.25">
      <c r="A17" s="34" t="s">
        <v>77</v>
      </c>
      <c r="B17" s="11"/>
      <c r="D17" s="11"/>
      <c r="F17" s="11"/>
    </row>
    <row r="18" spans="1:6" x14ac:dyDescent="0.25">
      <c r="A18" t="s">
        <v>78</v>
      </c>
      <c r="B18" s="23">
        <v>-2828</v>
      </c>
      <c r="D18" s="23">
        <v>-2559</v>
      </c>
      <c r="F18" s="23">
        <v>-2129</v>
      </c>
    </row>
    <row r="19" spans="1:6" x14ac:dyDescent="0.25">
      <c r="A19" t="s">
        <v>79</v>
      </c>
      <c r="B19" s="35">
        <v>434</v>
      </c>
      <c r="D19" s="35">
        <v>555</v>
      </c>
      <c r="F19" s="35">
        <v>520</v>
      </c>
    </row>
    <row r="20" spans="1:6" x14ac:dyDescent="0.25">
      <c r="A20" s="33" t="s">
        <v>80</v>
      </c>
      <c r="B20" s="23">
        <v>-137</v>
      </c>
      <c r="D20" s="23">
        <v>-3269</v>
      </c>
      <c r="F20" s="23">
        <v>-150</v>
      </c>
    </row>
    <row r="21" spans="1:6" x14ac:dyDescent="0.25">
      <c r="A21" t="s">
        <v>81</v>
      </c>
      <c r="B21" s="27">
        <v>356</v>
      </c>
      <c r="D21" s="27">
        <v>63</v>
      </c>
      <c r="F21" s="27">
        <v>-309</v>
      </c>
    </row>
    <row r="22" spans="1:6" x14ac:dyDescent="0.25">
      <c r="B22" s="23">
        <f>SUM(B18:B21)</f>
        <v>-2175</v>
      </c>
      <c r="D22" s="23">
        <f>SUM(D18:D21)</f>
        <v>-5210</v>
      </c>
      <c r="F22" s="23">
        <f>SUM(F18:F21)</f>
        <v>-2068</v>
      </c>
    </row>
    <row r="23" spans="1:6" x14ac:dyDescent="0.25">
      <c r="A23" s="18" t="s">
        <v>82</v>
      </c>
      <c r="B23" s="12"/>
      <c r="D23" s="12"/>
      <c r="F23" s="12"/>
    </row>
    <row r="24" spans="1:6" x14ac:dyDescent="0.25">
      <c r="A24" t="s">
        <v>83</v>
      </c>
      <c r="B24" s="23">
        <v>-1626</v>
      </c>
      <c r="D24" s="23">
        <v>-1462</v>
      </c>
      <c r="F24" s="23">
        <v>-1329</v>
      </c>
    </row>
    <row r="25" spans="1:6" x14ac:dyDescent="0.25">
      <c r="A25" t="s">
        <v>287</v>
      </c>
      <c r="B25" s="23">
        <f>689+986</f>
        <v>1675</v>
      </c>
      <c r="D25" s="23">
        <f>1315+1970</f>
        <v>3285</v>
      </c>
      <c r="F25" s="23">
        <f>-160+224</f>
        <v>64</v>
      </c>
    </row>
    <row r="26" spans="1:6" x14ac:dyDescent="0.25">
      <c r="A26" t="s">
        <v>84</v>
      </c>
      <c r="B26" s="23">
        <v>-334</v>
      </c>
      <c r="D26" s="23">
        <v>-432</v>
      </c>
      <c r="F26" s="23">
        <v>-724</v>
      </c>
    </row>
    <row r="27" spans="1:6" x14ac:dyDescent="0.25">
      <c r="A27" t="s">
        <v>76</v>
      </c>
      <c r="B27" s="23">
        <v>0</v>
      </c>
      <c r="D27" s="23">
        <v>0</v>
      </c>
      <c r="F27" s="23">
        <v>0</v>
      </c>
    </row>
    <row r="28" spans="1:6" x14ac:dyDescent="0.25">
      <c r="A28" t="s">
        <v>85</v>
      </c>
      <c r="B28" s="25">
        <f>212-2533</f>
        <v>-2321</v>
      </c>
      <c r="D28" s="25">
        <f>158-1929</f>
        <v>-1771</v>
      </c>
      <c r="F28" s="25">
        <f>134-1652</f>
        <v>-1518</v>
      </c>
    </row>
    <row r="29" spans="1:6" x14ac:dyDescent="0.25">
      <c r="B29" s="23">
        <f>SUM(B24:B28)</f>
        <v>-2606</v>
      </c>
      <c r="D29" s="23">
        <f>SUM(D24:D28)</f>
        <v>-380</v>
      </c>
      <c r="F29" s="23">
        <f>SUM(F24:F28)</f>
        <v>-3507</v>
      </c>
    </row>
    <row r="31" spans="1:6" x14ac:dyDescent="0.25">
      <c r="A31" s="18" t="s">
        <v>86</v>
      </c>
      <c r="B31" s="23">
        <v>-18</v>
      </c>
      <c r="D31" s="23">
        <v>-96</v>
      </c>
      <c r="F31" s="23">
        <v>-31</v>
      </c>
    </row>
    <row r="33" spans="1:6" x14ac:dyDescent="0.25">
      <c r="A33" s="18" t="s">
        <v>87</v>
      </c>
      <c r="B33">
        <v>745</v>
      </c>
      <c r="D33">
        <v>-801</v>
      </c>
      <c r="F33">
        <v>276</v>
      </c>
    </row>
    <row r="35" spans="1:6" x14ac:dyDescent="0.25">
      <c r="A35" s="18" t="s">
        <v>88</v>
      </c>
      <c r="B35" s="36">
        <f>B7+B15+B22+B29+B31</f>
        <v>2294</v>
      </c>
      <c r="D35" s="36">
        <f>D7+D15+D22+D29+D31</f>
        <v>1549</v>
      </c>
      <c r="F35" s="36">
        <f>F7+F15+F22+F29+F31</f>
        <v>2350</v>
      </c>
    </row>
  </sheetData>
  <pageMargins left="0.75" right="0.75" top="1" bottom="1" header="0.5" footer="0.5"/>
  <pageSetup scale="94" orientation="portrait" horizontalDpi="300" verticalDpi="300" r:id="rId1"/>
  <headerFooter alignWithMargins="0">
    <oddHeader>FPLC-IPSI-Student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9"/>
  <sheetViews>
    <sheetView workbookViewId="0"/>
  </sheetViews>
  <sheetFormatPr defaultColWidth="9.6640625" defaultRowHeight="13.2" x14ac:dyDescent="0.25"/>
  <cols>
    <col min="1" max="1" width="40.6640625" customWidth="1"/>
    <col min="3" max="3" width="5.6640625" customWidth="1"/>
    <col min="5" max="5" width="5.6640625" customWidth="1"/>
    <col min="7" max="7" width="5.6640625" customWidth="1"/>
  </cols>
  <sheetData>
    <row r="1" spans="1:8" x14ac:dyDescent="0.25">
      <c r="A1" s="1" t="s">
        <v>89</v>
      </c>
      <c r="B1" s="2"/>
      <c r="C1" s="2"/>
      <c r="D1" s="2"/>
      <c r="E1" s="2"/>
      <c r="F1" s="2"/>
      <c r="G1" s="2"/>
      <c r="H1" s="2"/>
    </row>
    <row r="2" spans="1:8" x14ac:dyDescent="0.25">
      <c r="A2" s="1" t="s">
        <v>1</v>
      </c>
      <c r="B2" s="2"/>
      <c r="C2" s="2"/>
      <c r="D2" s="2"/>
      <c r="E2" s="2"/>
      <c r="F2" s="2"/>
      <c r="G2" s="2"/>
      <c r="H2" s="2"/>
    </row>
    <row r="3" spans="1:8" x14ac:dyDescent="0.25">
      <c r="A3" s="3" t="s">
        <v>2</v>
      </c>
      <c r="B3" s="2"/>
      <c r="C3" s="2"/>
      <c r="D3" s="2"/>
      <c r="E3" s="2"/>
      <c r="F3" s="2"/>
      <c r="G3" s="2"/>
      <c r="H3" s="2"/>
    </row>
    <row r="4" spans="1:8" x14ac:dyDescent="0.25">
      <c r="A4" s="4"/>
    </row>
    <row r="5" spans="1:8" x14ac:dyDescent="0.25">
      <c r="A5" s="4"/>
    </row>
    <row r="6" spans="1:8" x14ac:dyDescent="0.25">
      <c r="A6" s="5" t="s">
        <v>90</v>
      </c>
      <c r="B6" s="6">
        <v>1999</v>
      </c>
      <c r="C6" s="7"/>
      <c r="D6" s="6">
        <v>1998</v>
      </c>
      <c r="E6" s="7"/>
      <c r="F6" s="6" t="s">
        <v>4</v>
      </c>
      <c r="G6" s="7"/>
    </row>
    <row r="7" spans="1:8" x14ac:dyDescent="0.25">
      <c r="A7" t="s">
        <v>91</v>
      </c>
      <c r="B7" s="14">
        <v>32714</v>
      </c>
      <c r="D7" s="14">
        <v>26898.2</v>
      </c>
      <c r="F7" s="14">
        <v>23636.9</v>
      </c>
    </row>
    <row r="9" spans="1:8" x14ac:dyDescent="0.25">
      <c r="A9" t="s">
        <v>92</v>
      </c>
      <c r="B9" s="15">
        <v>17534.2</v>
      </c>
      <c r="D9" s="15">
        <v>13925.4</v>
      </c>
      <c r="F9" s="15">
        <v>11790.3</v>
      </c>
    </row>
    <row r="10" spans="1:8" x14ac:dyDescent="0.25">
      <c r="A10" t="s">
        <v>93</v>
      </c>
      <c r="B10" s="16">
        <v>5199.8999999999996</v>
      </c>
      <c r="D10" s="16">
        <v>4511.3999999999996</v>
      </c>
      <c r="F10" s="16">
        <v>4299.2</v>
      </c>
    </row>
    <row r="11" spans="1:8" x14ac:dyDescent="0.25">
      <c r="A11" t="s">
        <v>94</v>
      </c>
      <c r="B11" s="15">
        <v>2068.3000000000002</v>
      </c>
      <c r="D11" s="15">
        <v>1821.1</v>
      </c>
      <c r="F11" s="15">
        <v>1683.7</v>
      </c>
    </row>
    <row r="12" spans="1:8" x14ac:dyDescent="0.25">
      <c r="A12" t="s">
        <v>288</v>
      </c>
      <c r="B12" s="15">
        <v>51.1</v>
      </c>
      <c r="D12" s="15">
        <v>1039.5</v>
      </c>
      <c r="F12" s="15">
        <v>0</v>
      </c>
    </row>
    <row r="13" spans="1:8" x14ac:dyDescent="0.25">
      <c r="A13" t="s">
        <v>95</v>
      </c>
      <c r="B13" s="69">
        <v>-762</v>
      </c>
      <c r="D13" s="16">
        <v>-884.3</v>
      </c>
      <c r="F13" s="69">
        <v>-727.9</v>
      </c>
    </row>
    <row r="14" spans="1:8" x14ac:dyDescent="0.25">
      <c r="A14" t="s">
        <v>96</v>
      </c>
      <c r="B14" s="16">
        <v>0</v>
      </c>
      <c r="D14" s="69">
        <v>-2147.6999999999998</v>
      </c>
      <c r="F14" s="69">
        <v>-213.4</v>
      </c>
    </row>
    <row r="15" spans="1:8" x14ac:dyDescent="0.25">
      <c r="A15" t="s">
        <v>97</v>
      </c>
      <c r="B15" s="17">
        <v>3</v>
      </c>
      <c r="D15" s="17">
        <v>499.7</v>
      </c>
      <c r="F15" s="17">
        <v>342.7</v>
      </c>
    </row>
    <row r="16" spans="1:8" x14ac:dyDescent="0.25">
      <c r="B16" s="16">
        <f>SUM(B9:B15)</f>
        <v>24094.499999999996</v>
      </c>
      <c r="D16" s="16">
        <f>SUM(D9:D15)</f>
        <v>18765.099999999999</v>
      </c>
      <c r="F16" s="16">
        <f>SUM(F9:F15)</f>
        <v>17174.599999999999</v>
      </c>
    </row>
    <row r="17" spans="1:6" x14ac:dyDescent="0.25">
      <c r="B17" s="16"/>
      <c r="D17" s="16"/>
      <c r="F17" s="16"/>
    </row>
    <row r="18" spans="1:6" x14ac:dyDescent="0.25">
      <c r="A18" s="10" t="s">
        <v>98</v>
      </c>
      <c r="B18" s="16">
        <f>+B7-B16</f>
        <v>8619.5000000000036</v>
      </c>
      <c r="D18" s="16">
        <f>+D7-D16</f>
        <v>8133.1000000000022</v>
      </c>
      <c r="F18" s="16">
        <f>+F7-F16</f>
        <v>6462.3000000000029</v>
      </c>
    </row>
    <row r="19" spans="1:6" x14ac:dyDescent="0.25">
      <c r="A19" t="s">
        <v>99</v>
      </c>
      <c r="B19" s="17">
        <v>2729</v>
      </c>
      <c r="D19" s="17">
        <v>2884.9</v>
      </c>
      <c r="F19" s="17">
        <v>1848.2</v>
      </c>
    </row>
    <row r="20" spans="1:6" x14ac:dyDescent="0.25">
      <c r="A20" s="10" t="s">
        <v>100</v>
      </c>
      <c r="B20" s="14">
        <f>+B18-B19</f>
        <v>5890.5000000000036</v>
      </c>
      <c r="D20" s="14">
        <f>+D18-D19</f>
        <v>5248.2000000000025</v>
      </c>
      <c r="F20" s="14">
        <f>+F18-F19</f>
        <v>4614.1000000000031</v>
      </c>
    </row>
    <row r="23" spans="1:6" x14ac:dyDescent="0.25">
      <c r="A23" t="s">
        <v>15</v>
      </c>
      <c r="B23" s="12">
        <v>2.5099999999999998</v>
      </c>
      <c r="D23" s="12">
        <v>2.21</v>
      </c>
      <c r="F23" s="12">
        <v>1.92</v>
      </c>
    </row>
    <row r="24" spans="1:6" x14ac:dyDescent="0.25">
      <c r="A24" t="s">
        <v>101</v>
      </c>
      <c r="B24" s="12">
        <v>2.4500000000000002</v>
      </c>
      <c r="D24" s="12">
        <v>2.15</v>
      </c>
      <c r="F24" s="12">
        <v>1.87</v>
      </c>
    </row>
    <row r="25" spans="1:6" x14ac:dyDescent="0.25">
      <c r="A25" t="s">
        <v>18</v>
      </c>
      <c r="B25" s="13">
        <v>2349</v>
      </c>
      <c r="D25" s="13">
        <v>2378.8000000000002</v>
      </c>
      <c r="F25" s="13">
        <v>2409</v>
      </c>
    </row>
    <row r="26" spans="1:6" x14ac:dyDescent="0.25">
      <c r="B26" s="13"/>
      <c r="D26" s="13"/>
      <c r="F26" s="13"/>
    </row>
    <row r="27" spans="1:6" x14ac:dyDescent="0.25">
      <c r="B27" s="13"/>
      <c r="D27" s="13"/>
      <c r="F27" s="13"/>
    </row>
    <row r="28" spans="1:6" x14ac:dyDescent="0.25">
      <c r="A28" s="18" t="s">
        <v>19</v>
      </c>
    </row>
    <row r="29" spans="1:6" x14ac:dyDescent="0.25">
      <c r="A29" t="s">
        <v>102</v>
      </c>
    </row>
    <row r="30" spans="1:6" x14ac:dyDescent="0.25">
      <c r="A30" t="s">
        <v>284</v>
      </c>
    </row>
    <row r="31" spans="1:6" x14ac:dyDescent="0.25">
      <c r="A31" t="s">
        <v>21</v>
      </c>
      <c r="B31" s="40">
        <v>60.875</v>
      </c>
    </row>
    <row r="32" spans="1:6" x14ac:dyDescent="0.25">
      <c r="A32" t="s">
        <v>22</v>
      </c>
      <c r="B32" s="40">
        <v>87.375</v>
      </c>
    </row>
    <row r="33" spans="1:2" x14ac:dyDescent="0.25">
      <c r="A33" t="s">
        <v>285</v>
      </c>
    </row>
    <row r="34" spans="1:2" x14ac:dyDescent="0.25">
      <c r="A34" t="s">
        <v>22</v>
      </c>
      <c r="B34" s="40">
        <v>78.125</v>
      </c>
    </row>
    <row r="35" spans="1:2" x14ac:dyDescent="0.25">
      <c r="A35" t="s">
        <v>21</v>
      </c>
      <c r="B35" s="40">
        <v>66.125</v>
      </c>
    </row>
    <row r="36" spans="1:2" x14ac:dyDescent="0.25">
      <c r="A36" t="s">
        <v>23</v>
      </c>
      <c r="B36" s="40">
        <v>67.25</v>
      </c>
    </row>
    <row r="38" spans="1:2" x14ac:dyDescent="0.25">
      <c r="A38" s="18"/>
    </row>
    <row r="39" spans="1:2" x14ac:dyDescent="0.25">
      <c r="B39" s="23"/>
    </row>
  </sheetData>
  <pageMargins left="0.75" right="0.75" top="1" bottom="1" header="0.5" footer="0.5"/>
  <pageSetup scale="94" orientation="portrait" horizontalDpi="300" verticalDpi="300" r:id="rId1"/>
  <headerFooter alignWithMargins="0">
    <oddHeader>FPLC-IPSI-Student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2"/>
  <sheetViews>
    <sheetView topLeftCell="A22" workbookViewId="0">
      <selection activeCell="D34" sqref="D34"/>
    </sheetView>
  </sheetViews>
  <sheetFormatPr defaultColWidth="9.6640625" defaultRowHeight="13.2" x14ac:dyDescent="0.25"/>
  <cols>
    <col min="1" max="1" width="40.6640625" customWidth="1"/>
    <col min="2" max="2" width="10.6640625" customWidth="1"/>
    <col min="3" max="3" width="5.6640625" customWidth="1"/>
    <col min="4" max="4" width="10.6640625" customWidth="1"/>
    <col min="5" max="5" width="5.6640625" customWidth="1"/>
    <col min="7" max="7" width="5.6640625" customWidth="1"/>
  </cols>
  <sheetData>
    <row r="1" spans="1:6" x14ac:dyDescent="0.25">
      <c r="A1" s="1" t="s">
        <v>89</v>
      </c>
      <c r="B1" s="2"/>
      <c r="C1" s="2"/>
      <c r="D1" s="2"/>
      <c r="E1" s="2"/>
      <c r="F1" s="2"/>
    </row>
    <row r="2" spans="1:6" x14ac:dyDescent="0.25">
      <c r="A2" s="1" t="s">
        <v>103</v>
      </c>
      <c r="B2" s="2"/>
      <c r="C2" s="2"/>
      <c r="D2" s="2"/>
      <c r="E2" s="2"/>
      <c r="F2" s="2"/>
    </row>
    <row r="3" spans="1:6" x14ac:dyDescent="0.25">
      <c r="A3" s="3" t="s">
        <v>2</v>
      </c>
      <c r="B3" s="2"/>
      <c r="C3" s="2"/>
      <c r="D3" s="2"/>
      <c r="E3" s="2"/>
      <c r="F3" s="2"/>
    </row>
    <row r="4" spans="1:6" x14ac:dyDescent="0.25">
      <c r="A4" s="4"/>
    </row>
    <row r="5" spans="1:6" x14ac:dyDescent="0.25">
      <c r="A5" s="4"/>
    </row>
    <row r="6" spans="1:6" x14ac:dyDescent="0.25">
      <c r="A6" s="5" t="s">
        <v>90</v>
      </c>
      <c r="B6" s="6">
        <v>1999</v>
      </c>
      <c r="C6" s="7"/>
      <c r="D6" s="6">
        <v>1998</v>
      </c>
      <c r="E6" s="7"/>
      <c r="F6" s="19"/>
    </row>
    <row r="7" spans="1:6" x14ac:dyDescent="0.25">
      <c r="A7" s="18" t="s">
        <v>25</v>
      </c>
    </row>
    <row r="8" spans="1:6" x14ac:dyDescent="0.25">
      <c r="A8" s="18" t="s">
        <v>26</v>
      </c>
    </row>
    <row r="9" spans="1:6" x14ac:dyDescent="0.25">
      <c r="A9" s="4" t="s">
        <v>27</v>
      </c>
      <c r="B9" s="30">
        <v>2021.9</v>
      </c>
      <c r="D9" s="30">
        <v>2606.1999999999998</v>
      </c>
    </row>
    <row r="10" spans="1:6" x14ac:dyDescent="0.25">
      <c r="A10" s="4" t="s">
        <v>104</v>
      </c>
      <c r="B10" s="13">
        <v>1180.5</v>
      </c>
      <c r="D10" s="13">
        <v>749.5</v>
      </c>
    </row>
    <row r="11" spans="1:6" x14ac:dyDescent="0.25">
      <c r="A11" s="4" t="s">
        <v>29</v>
      </c>
      <c r="B11" s="13">
        <v>4089</v>
      </c>
      <c r="D11" s="13">
        <v>3374.1</v>
      </c>
    </row>
    <row r="12" spans="1:6" x14ac:dyDescent="0.25">
      <c r="A12" s="4" t="s">
        <v>30</v>
      </c>
      <c r="B12" s="13">
        <v>2846.9</v>
      </c>
      <c r="D12" s="13">
        <v>2623.9</v>
      </c>
    </row>
    <row r="13" spans="1:6" x14ac:dyDescent="0.25">
      <c r="A13" s="4" t="s">
        <v>105</v>
      </c>
      <c r="B13" s="29">
        <v>1120.9000000000001</v>
      </c>
      <c r="D13" s="29">
        <v>874.8</v>
      </c>
    </row>
    <row r="14" spans="1:6" x14ac:dyDescent="0.25">
      <c r="A14" s="10" t="s">
        <v>36</v>
      </c>
      <c r="B14" s="13">
        <f>SUM(B9:B13)</f>
        <v>11259.199999999999</v>
      </c>
      <c r="D14" s="13">
        <f>SUM(D9:D13)</f>
        <v>10228.499999999998</v>
      </c>
    </row>
    <row r="15" spans="1:6" x14ac:dyDescent="0.25">
      <c r="B15" s="13"/>
      <c r="D15" s="13"/>
    </row>
    <row r="16" spans="1:6" x14ac:dyDescent="0.25">
      <c r="A16" s="18" t="s">
        <v>106</v>
      </c>
      <c r="B16" s="13">
        <v>4761.5</v>
      </c>
      <c r="D16" s="13">
        <v>3607.7</v>
      </c>
    </row>
    <row r="17" spans="1:4" x14ac:dyDescent="0.25">
      <c r="B17" s="13"/>
      <c r="D17" s="13"/>
    </row>
    <row r="18" spans="1:4" x14ac:dyDescent="0.25">
      <c r="A18" s="18" t="s">
        <v>107</v>
      </c>
      <c r="B18" s="13"/>
      <c r="D18" s="13"/>
    </row>
    <row r="19" spans="1:4" x14ac:dyDescent="0.25">
      <c r="A19" s="4" t="s">
        <v>40</v>
      </c>
      <c r="B19" s="13">
        <v>259.2</v>
      </c>
      <c r="D19" s="13">
        <v>228.8</v>
      </c>
    </row>
    <row r="20" spans="1:4" x14ac:dyDescent="0.25">
      <c r="A20" s="4" t="s">
        <v>38</v>
      </c>
      <c r="B20" s="13">
        <v>4465.8</v>
      </c>
      <c r="D20" s="13">
        <v>3664</v>
      </c>
    </row>
    <row r="21" spans="1:4" x14ac:dyDescent="0.25">
      <c r="A21" s="4" t="s">
        <v>108</v>
      </c>
      <c r="B21" s="13">
        <v>7385.7</v>
      </c>
      <c r="D21" s="13">
        <v>6211.7</v>
      </c>
    </row>
    <row r="22" spans="1:4" x14ac:dyDescent="0.25">
      <c r="A22" s="4" t="s">
        <v>109</v>
      </c>
      <c r="B22" s="29">
        <v>2236.3000000000002</v>
      </c>
      <c r="D22" s="29">
        <v>1782.1</v>
      </c>
    </row>
    <row r="23" spans="1:4" x14ac:dyDescent="0.25">
      <c r="B23" s="13">
        <f>SUM(B19:B22)</f>
        <v>14347</v>
      </c>
      <c r="D23" s="13">
        <f>SUM(D19:D22)</f>
        <v>11886.6</v>
      </c>
    </row>
    <row r="24" spans="1:4" x14ac:dyDescent="0.25">
      <c r="A24" s="4" t="s">
        <v>110</v>
      </c>
      <c r="B24" s="29">
        <v>4670.3</v>
      </c>
      <c r="D24" s="29">
        <v>4042.8</v>
      </c>
    </row>
    <row r="25" spans="1:4" x14ac:dyDescent="0.25">
      <c r="B25" s="13">
        <f>+B23-B24</f>
        <v>9676.7000000000007</v>
      </c>
      <c r="D25" s="13">
        <f>+D23-D24</f>
        <v>7843.8</v>
      </c>
    </row>
    <row r="26" spans="1:4" x14ac:dyDescent="0.25">
      <c r="A26" s="18" t="s">
        <v>111</v>
      </c>
      <c r="B26" s="13">
        <v>7584.2</v>
      </c>
      <c r="D26" s="13">
        <v>8287.2000000000007</v>
      </c>
    </row>
    <row r="27" spans="1:4" x14ac:dyDescent="0.25">
      <c r="B27" s="13"/>
      <c r="D27" s="13"/>
    </row>
    <row r="28" spans="1:4" x14ac:dyDescent="0.25">
      <c r="A28" s="18" t="s">
        <v>112</v>
      </c>
      <c r="B28" s="29">
        <v>2353.3000000000002</v>
      </c>
      <c r="D28" s="29">
        <v>1886.2</v>
      </c>
    </row>
    <row r="29" spans="1:4" ht="13.8" thickBot="1" x14ac:dyDescent="0.3">
      <c r="A29" s="18" t="s">
        <v>49</v>
      </c>
      <c r="B29" s="32">
        <f>+B14+B16+B25+B26+B28</f>
        <v>35634.9</v>
      </c>
      <c r="D29" s="32">
        <f>+D14+D16+D25+D26+D28</f>
        <v>31853.399999999998</v>
      </c>
    </row>
    <row r="30" spans="1:4" ht="13.8" thickTop="1" x14ac:dyDescent="0.25">
      <c r="B30" s="13"/>
      <c r="D30" s="13"/>
    </row>
    <row r="31" spans="1:4" x14ac:dyDescent="0.25">
      <c r="A31" s="18" t="s">
        <v>113</v>
      </c>
      <c r="B31" s="13"/>
      <c r="D31" s="13"/>
    </row>
    <row r="32" spans="1:4" x14ac:dyDescent="0.25">
      <c r="A32" s="18"/>
      <c r="B32" s="13"/>
      <c r="D32" s="13"/>
    </row>
    <row r="33" spans="1:4" x14ac:dyDescent="0.25">
      <c r="A33" s="18" t="s">
        <v>51</v>
      </c>
      <c r="B33" s="13"/>
      <c r="D33" s="13"/>
    </row>
    <row r="34" spans="1:4" x14ac:dyDescent="0.25">
      <c r="A34" s="4" t="s">
        <v>52</v>
      </c>
      <c r="B34" s="30">
        <v>4158.7</v>
      </c>
      <c r="D34" s="30">
        <v>3682.1</v>
      </c>
    </row>
    <row r="35" spans="1:4" x14ac:dyDescent="0.25">
      <c r="A35" s="4" t="s">
        <v>114</v>
      </c>
      <c r="B35" s="13">
        <v>2859</v>
      </c>
      <c r="D35" s="13">
        <v>624.20000000000005</v>
      </c>
    </row>
    <row r="36" spans="1:4" x14ac:dyDescent="0.25">
      <c r="A36" s="4" t="s">
        <v>115</v>
      </c>
      <c r="B36" s="13">
        <v>1064.0999999999999</v>
      </c>
      <c r="D36" s="13">
        <v>1125.0999999999999</v>
      </c>
    </row>
    <row r="37" spans="1:4" x14ac:dyDescent="0.25">
      <c r="A37" s="4" t="s">
        <v>116</v>
      </c>
      <c r="B37" s="29">
        <v>677</v>
      </c>
      <c r="D37" s="29">
        <v>637.4</v>
      </c>
    </row>
    <row r="38" spans="1:4" x14ac:dyDescent="0.25">
      <c r="A38" s="10" t="s">
        <v>56</v>
      </c>
      <c r="B38" s="13">
        <f>SUM(B34:B37)</f>
        <v>8758.7999999999993</v>
      </c>
      <c r="D38" s="13">
        <f>SUM(D34:D37)</f>
        <v>6068.7999999999993</v>
      </c>
    </row>
    <row r="39" spans="1:4" x14ac:dyDescent="0.25">
      <c r="B39" s="13"/>
      <c r="D39" s="13"/>
    </row>
    <row r="40" spans="1:4" x14ac:dyDescent="0.25">
      <c r="A40" s="18" t="s">
        <v>57</v>
      </c>
      <c r="B40" s="13">
        <v>3143.9</v>
      </c>
      <c r="D40" s="13">
        <v>3220.8</v>
      </c>
    </row>
    <row r="41" spans="1:4" x14ac:dyDescent="0.25">
      <c r="B41" s="13"/>
      <c r="D41" s="13"/>
    </row>
    <row r="42" spans="1:4" x14ac:dyDescent="0.25">
      <c r="A42" s="18" t="s">
        <v>117</v>
      </c>
      <c r="B42" s="13">
        <v>7030.1</v>
      </c>
      <c r="D42" s="13">
        <v>6057</v>
      </c>
    </row>
    <row r="43" spans="1:4" x14ac:dyDescent="0.25">
      <c r="B43" s="13"/>
      <c r="D43" s="13"/>
    </row>
    <row r="44" spans="1:4" x14ac:dyDescent="0.25">
      <c r="A44" s="18" t="s">
        <v>118</v>
      </c>
      <c r="B44" s="13">
        <v>3460.5</v>
      </c>
      <c r="D44" s="13">
        <v>3705</v>
      </c>
    </row>
    <row r="45" spans="1:4" x14ac:dyDescent="0.25">
      <c r="B45" s="13"/>
      <c r="D45" s="13"/>
    </row>
    <row r="46" spans="1:4" x14ac:dyDescent="0.25">
      <c r="A46" s="18" t="s">
        <v>119</v>
      </c>
      <c r="B46" s="13"/>
      <c r="D46" s="13"/>
    </row>
    <row r="47" spans="1:4" x14ac:dyDescent="0.25">
      <c r="A47" s="4" t="s">
        <v>63</v>
      </c>
      <c r="B47" s="13">
        <f>29.7+5920.5</f>
        <v>5950.2</v>
      </c>
      <c r="D47" s="13">
        <f>5614.5+29.7</f>
        <v>5644.2</v>
      </c>
    </row>
    <row r="48" spans="1:4" x14ac:dyDescent="0.25">
      <c r="A48" s="4" t="s">
        <v>67</v>
      </c>
      <c r="B48" s="13">
        <f>23447.9+8.1</f>
        <v>23456</v>
      </c>
      <c r="D48" s="13">
        <f>20186.7-21.3</f>
        <v>20165.400000000001</v>
      </c>
    </row>
    <row r="49" spans="1:4" x14ac:dyDescent="0.25">
      <c r="A49" s="4" t="s">
        <v>120</v>
      </c>
      <c r="B49" s="29">
        <v>16164.6</v>
      </c>
      <c r="D49" s="29">
        <v>13007.8</v>
      </c>
    </row>
    <row r="50" spans="1:4" x14ac:dyDescent="0.25">
      <c r="A50" s="10" t="s">
        <v>121</v>
      </c>
      <c r="B50" s="29">
        <f>+B47+B48-B49</f>
        <v>13241.6</v>
      </c>
      <c r="D50" s="29">
        <f>+D47+D48-D49</f>
        <v>12801.800000000003</v>
      </c>
    </row>
    <row r="51" spans="1:4" ht="13.8" thickBot="1" x14ac:dyDescent="0.3">
      <c r="A51" s="18" t="s">
        <v>122</v>
      </c>
      <c r="B51" s="31">
        <f>+B38+B40+B42+B44+B50</f>
        <v>35634.9</v>
      </c>
      <c r="D51" s="31">
        <f>+D38+D40+D42+D44+D50</f>
        <v>31853.4</v>
      </c>
    </row>
    <row r="52" spans="1:4" ht="13.8" thickTop="1" x14ac:dyDescent="0.25"/>
  </sheetData>
  <pageMargins left="0.75" right="0.75" top="1" bottom="1" header="0.5" footer="0.5"/>
  <pageSetup orientation="portrait" horizontalDpi="300" verticalDpi="300" r:id="rId1"/>
  <headerFooter alignWithMargins="0">
    <oddHeader>&amp;CFPLC-IPSI-Student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3"/>
  <sheetViews>
    <sheetView workbookViewId="0"/>
  </sheetViews>
  <sheetFormatPr defaultColWidth="9.6640625" defaultRowHeight="13.2" x14ac:dyDescent="0.25"/>
  <cols>
    <col min="1" max="1" width="50.6640625" customWidth="1"/>
    <col min="2" max="2" width="9.88671875" bestFit="1" customWidth="1"/>
    <col min="3" max="3" width="5.6640625" customWidth="1"/>
    <col min="4" max="4" width="9.88671875" bestFit="1" customWidth="1"/>
    <col min="5" max="5" width="5.6640625" customWidth="1"/>
    <col min="7" max="7" width="5.6640625" customWidth="1"/>
  </cols>
  <sheetData>
    <row r="1" spans="1:8" x14ac:dyDescent="0.25">
      <c r="A1" s="1" t="s">
        <v>89</v>
      </c>
      <c r="B1" s="2"/>
      <c r="C1" s="2"/>
      <c r="D1" s="2"/>
      <c r="E1" s="2"/>
      <c r="F1" s="2"/>
      <c r="G1" s="2"/>
      <c r="H1" s="2"/>
    </row>
    <row r="2" spans="1:8" x14ac:dyDescent="0.25">
      <c r="A2" s="1" t="s">
        <v>123</v>
      </c>
      <c r="B2" s="2"/>
      <c r="C2" s="2"/>
      <c r="D2" s="2"/>
      <c r="E2" s="2"/>
      <c r="F2" s="2"/>
      <c r="G2" s="2"/>
      <c r="H2" s="2"/>
    </row>
    <row r="3" spans="1:8" x14ac:dyDescent="0.25">
      <c r="A3" s="3" t="s">
        <v>2</v>
      </c>
      <c r="B3" s="2"/>
      <c r="C3" s="2"/>
      <c r="D3" s="2"/>
      <c r="E3" s="2"/>
      <c r="F3" s="2"/>
      <c r="G3" s="2"/>
      <c r="H3" s="2"/>
    </row>
    <row r="4" spans="1:8" x14ac:dyDescent="0.25">
      <c r="A4" s="4"/>
    </row>
    <row r="5" spans="1:8" x14ac:dyDescent="0.25">
      <c r="A5" s="4"/>
    </row>
    <row r="6" spans="1:8" x14ac:dyDescent="0.25">
      <c r="A6" s="5" t="s">
        <v>90</v>
      </c>
      <c r="B6" s="6">
        <v>1999</v>
      </c>
      <c r="C6" s="7"/>
      <c r="D6" s="6">
        <v>1998</v>
      </c>
      <c r="E6" s="7"/>
      <c r="F6" s="6" t="s">
        <v>4</v>
      </c>
      <c r="G6" s="7"/>
    </row>
    <row r="7" spans="1:8" x14ac:dyDescent="0.25">
      <c r="A7" s="34" t="s">
        <v>124</v>
      </c>
    </row>
    <row r="8" spans="1:8" x14ac:dyDescent="0.25">
      <c r="A8" t="s">
        <v>125</v>
      </c>
      <c r="B8" s="37">
        <v>8619.5</v>
      </c>
      <c r="D8" s="37">
        <v>8133.1</v>
      </c>
      <c r="F8" s="37">
        <v>6462.3</v>
      </c>
    </row>
    <row r="9" spans="1:8" x14ac:dyDescent="0.25">
      <c r="A9" t="s">
        <v>126</v>
      </c>
      <c r="B9" s="11"/>
      <c r="D9" s="11"/>
      <c r="F9" s="11"/>
    </row>
    <row r="10" spans="1:8" x14ac:dyDescent="0.25">
      <c r="A10" t="s">
        <v>289</v>
      </c>
      <c r="B10" s="13">
        <v>51.1</v>
      </c>
      <c r="D10" s="13">
        <v>1039.5</v>
      </c>
      <c r="F10" s="13">
        <v>0</v>
      </c>
    </row>
    <row r="11" spans="1:8" x14ac:dyDescent="0.25">
      <c r="A11" t="s">
        <v>127</v>
      </c>
      <c r="B11" s="13">
        <v>0</v>
      </c>
      <c r="D11" s="13">
        <v>-2147.6999999999998</v>
      </c>
      <c r="F11" s="13">
        <v>-213.4</v>
      </c>
    </row>
    <row r="12" spans="1:8" x14ac:dyDescent="0.25">
      <c r="A12" t="s">
        <v>128</v>
      </c>
      <c r="B12" s="38">
        <v>1144.8</v>
      </c>
      <c r="D12" s="38">
        <v>1015.1</v>
      </c>
      <c r="F12" s="38">
        <v>837.1</v>
      </c>
    </row>
    <row r="13" spans="1:8" x14ac:dyDescent="0.25">
      <c r="A13" s="33" t="s">
        <v>129</v>
      </c>
      <c r="B13" s="13">
        <v>-547.70000000000005</v>
      </c>
      <c r="D13" s="13">
        <v>156.6</v>
      </c>
      <c r="F13" s="13">
        <v>528.4</v>
      </c>
    </row>
    <row r="14" spans="1:8" x14ac:dyDescent="0.25">
      <c r="A14" t="s">
        <v>130</v>
      </c>
      <c r="B14" s="29">
        <f>-752.9-223+404.5-150.9+69.9</f>
        <v>-652.4</v>
      </c>
      <c r="D14" s="29">
        <f>-579.1-409.5+250.1-13+9.8</f>
        <v>-741.7</v>
      </c>
      <c r="F14" s="29">
        <f>+F15-F8-F11-F12-F13</f>
        <v>-2.9000000000000909</v>
      </c>
    </row>
    <row r="15" spans="1:8" x14ac:dyDescent="0.25">
      <c r="A15" t="s">
        <v>131</v>
      </c>
      <c r="B15" s="13">
        <f>SUM(B8:B14)</f>
        <v>8615.2999999999993</v>
      </c>
      <c r="D15" s="13">
        <f>SUM(D8:D14)</f>
        <v>7454.9000000000005</v>
      </c>
      <c r="F15" s="13">
        <v>7611.5</v>
      </c>
    </row>
    <row r="16" spans="1:8" x14ac:dyDescent="0.25">
      <c r="A16" t="s">
        <v>132</v>
      </c>
      <c r="B16" s="29">
        <v>-2484.6</v>
      </c>
      <c r="D16" s="29">
        <v>-2126.6</v>
      </c>
      <c r="F16" s="29">
        <v>-1294.9000000000001</v>
      </c>
    </row>
    <row r="17" spans="1:6" x14ac:dyDescent="0.25">
      <c r="A17" t="s">
        <v>133</v>
      </c>
      <c r="B17" s="29">
        <f>+B15+B16</f>
        <v>6130.6999999999989</v>
      </c>
      <c r="D17" s="29">
        <f>+D15+D16</f>
        <v>5328.3000000000011</v>
      </c>
      <c r="F17" s="29">
        <f>+F15+F16</f>
        <v>6316.6</v>
      </c>
    </row>
    <row r="18" spans="1:6" x14ac:dyDescent="0.25">
      <c r="B18" s="35"/>
      <c r="D18" s="35"/>
      <c r="F18" s="35"/>
    </row>
    <row r="19" spans="1:6" x14ac:dyDescent="0.25">
      <c r="A19" s="34" t="s">
        <v>134</v>
      </c>
      <c r="B19" s="11"/>
      <c r="D19" s="11"/>
      <c r="F19" s="11"/>
    </row>
    <row r="20" spans="1:6" x14ac:dyDescent="0.25">
      <c r="A20" t="s">
        <v>78</v>
      </c>
      <c r="B20" s="13">
        <v>-2560.5</v>
      </c>
      <c r="D20" s="13">
        <v>-1973.4</v>
      </c>
      <c r="F20" s="13">
        <v>-1448.8</v>
      </c>
    </row>
    <row r="21" spans="1:6" x14ac:dyDescent="0.25">
      <c r="A21" t="s">
        <v>135</v>
      </c>
      <c r="B21" s="13">
        <v>-42211.199999999997</v>
      </c>
      <c r="D21" s="13">
        <v>-29675.4</v>
      </c>
      <c r="F21" s="13">
        <v>-22986.7</v>
      </c>
    </row>
    <row r="22" spans="1:6" x14ac:dyDescent="0.25">
      <c r="A22" s="33" t="s">
        <v>136</v>
      </c>
      <c r="B22" s="38">
        <v>40308.699999999997</v>
      </c>
      <c r="D22" s="38">
        <v>28618.9</v>
      </c>
      <c r="F22" s="38">
        <v>22075.4</v>
      </c>
    </row>
    <row r="23" spans="1:6" x14ac:dyDescent="0.25">
      <c r="A23" t="s">
        <v>137</v>
      </c>
      <c r="B23" s="13">
        <v>1679.9</v>
      </c>
      <c r="D23" s="13">
        <v>2586.1999999999998</v>
      </c>
      <c r="F23" s="13">
        <v>910</v>
      </c>
    </row>
    <row r="24" spans="1:6" x14ac:dyDescent="0.25">
      <c r="A24" t="s">
        <v>76</v>
      </c>
      <c r="B24" s="29">
        <v>-33.9</v>
      </c>
      <c r="D24" s="29">
        <v>432.3</v>
      </c>
      <c r="F24" s="29">
        <v>-152.6</v>
      </c>
    </row>
    <row r="25" spans="1:6" x14ac:dyDescent="0.25">
      <c r="A25" t="s">
        <v>138</v>
      </c>
      <c r="B25" s="13">
        <f>SUM(B20:B24)</f>
        <v>-2817</v>
      </c>
      <c r="D25" s="13">
        <f>SUM(D20:D24)</f>
        <v>-11.400000000001626</v>
      </c>
      <c r="F25" s="13">
        <f>SUM(F20:F24)</f>
        <v>-1602.6999999999985</v>
      </c>
    </row>
    <row r="26" spans="1:6" x14ac:dyDescent="0.25">
      <c r="B26" s="13"/>
      <c r="D26" s="13"/>
      <c r="F26" s="13"/>
    </row>
    <row r="27" spans="1:6" x14ac:dyDescent="0.25">
      <c r="A27" s="18" t="s">
        <v>139</v>
      </c>
      <c r="B27" s="38"/>
      <c r="D27" s="38"/>
      <c r="F27" s="38"/>
    </row>
    <row r="28" spans="1:6" x14ac:dyDescent="0.25">
      <c r="A28" t="s">
        <v>140</v>
      </c>
      <c r="B28" s="13">
        <f>2137.9+11.6</f>
        <v>2149.5</v>
      </c>
      <c r="D28" s="13">
        <f>-457.2+2379.5</f>
        <v>1922.3</v>
      </c>
      <c r="F28" s="13">
        <v>653.1</v>
      </c>
    </row>
    <row r="29" spans="1:6" x14ac:dyDescent="0.25">
      <c r="A29" t="s">
        <v>141</v>
      </c>
      <c r="B29" s="13">
        <v>-17.5</v>
      </c>
      <c r="D29" s="13">
        <v>-340.6</v>
      </c>
      <c r="F29" s="13">
        <v>-590</v>
      </c>
    </row>
    <row r="30" spans="1:6" x14ac:dyDescent="0.25">
      <c r="A30" t="s">
        <v>142</v>
      </c>
      <c r="B30" s="13">
        <v>0</v>
      </c>
      <c r="D30" s="13">
        <v>0</v>
      </c>
      <c r="F30" s="13">
        <v>1000</v>
      </c>
    </row>
    <row r="31" spans="1:6" x14ac:dyDescent="0.25">
      <c r="A31" t="s">
        <v>143</v>
      </c>
      <c r="B31" s="13">
        <v>0</v>
      </c>
      <c r="D31" s="13">
        <v>0</v>
      </c>
      <c r="F31" s="13">
        <v>0</v>
      </c>
    </row>
    <row r="32" spans="1:6" x14ac:dyDescent="0.25">
      <c r="A32" t="s">
        <v>85</v>
      </c>
      <c r="B32" s="13">
        <v>-3582.1</v>
      </c>
      <c r="D32" s="13">
        <v>-3625.5</v>
      </c>
      <c r="F32" s="13">
        <v>-2572.8000000000002</v>
      </c>
    </row>
    <row r="33" spans="1:6" x14ac:dyDescent="0.25">
      <c r="A33" t="s">
        <v>83</v>
      </c>
      <c r="B33" s="13">
        <v>-2589.6999999999998</v>
      </c>
      <c r="D33" s="13">
        <v>-2253.1</v>
      </c>
      <c r="F33" s="13">
        <v>-2039.9</v>
      </c>
    </row>
    <row r="34" spans="1:6" x14ac:dyDescent="0.25">
      <c r="A34" t="s">
        <v>76</v>
      </c>
      <c r="B34" s="29">
        <f>322.9-152.5</f>
        <v>170.39999999999998</v>
      </c>
      <c r="D34" s="29">
        <f>490.1-114.1</f>
        <v>376</v>
      </c>
      <c r="F34" s="29">
        <f>+F35-F28-F29-F30-F31-F32-F33</f>
        <v>-1309.2999999999997</v>
      </c>
    </row>
    <row r="35" spans="1:6" x14ac:dyDescent="0.25">
      <c r="A35" t="s">
        <v>144</v>
      </c>
      <c r="B35" s="13">
        <f>SUM(B28:B34)</f>
        <v>-3869.3999999999996</v>
      </c>
      <c r="D35" s="13">
        <f>SUM(D28:D34)</f>
        <v>-3920.8999999999996</v>
      </c>
      <c r="F35" s="13">
        <v>-4858.8999999999996</v>
      </c>
    </row>
    <row r="37" spans="1:6" x14ac:dyDescent="0.25">
      <c r="A37" s="18" t="s">
        <v>86</v>
      </c>
      <c r="B37" s="13">
        <v>-28.6</v>
      </c>
      <c r="D37" s="13">
        <v>85.1</v>
      </c>
      <c r="F37" s="13">
        <v>-82.3</v>
      </c>
    </row>
    <row r="39" spans="1:6" x14ac:dyDescent="0.25">
      <c r="A39" s="18" t="s">
        <v>145</v>
      </c>
      <c r="B39" s="13">
        <v>-584.29999999999995</v>
      </c>
      <c r="D39" s="13">
        <v>1481.1</v>
      </c>
      <c r="F39" s="13">
        <v>-227.3</v>
      </c>
    </row>
    <row r="40" spans="1:6" x14ac:dyDescent="0.25">
      <c r="A40" s="18"/>
    </row>
    <row r="41" spans="1:6" x14ac:dyDescent="0.25">
      <c r="A41" s="18" t="s">
        <v>71</v>
      </c>
      <c r="B41" s="39">
        <v>2606.1999999999998</v>
      </c>
      <c r="D41" s="39">
        <v>1125.0999999999999</v>
      </c>
      <c r="F41" s="39">
        <v>1352.4</v>
      </c>
    </row>
    <row r="42" spans="1:6" x14ac:dyDescent="0.25">
      <c r="A42" s="18"/>
      <c r="B42" s="36"/>
      <c r="D42" s="36"/>
      <c r="F42" s="36"/>
    </row>
    <row r="43" spans="1:6" x14ac:dyDescent="0.25">
      <c r="A43" s="18" t="s">
        <v>88</v>
      </c>
      <c r="B43" s="39">
        <v>2021.9</v>
      </c>
      <c r="D43" s="39">
        <v>2606.1999999999998</v>
      </c>
      <c r="F43" s="39">
        <v>1125.0999999999999</v>
      </c>
    </row>
  </sheetData>
  <pageMargins left="0.75" right="0.75" top="1" bottom="1" header="0.5" footer="0.5"/>
  <pageSetup scale="85" orientation="portrait" horizontalDpi="300" verticalDpi="300" r:id="rId1"/>
  <headerFooter alignWithMargins="0">
    <oddHeader>FPLC-IPSI-Student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workbookViewId="0"/>
  </sheetViews>
  <sheetFormatPr defaultRowHeight="13.2" x14ac:dyDescent="0.25"/>
  <cols>
    <col min="1" max="1" width="31.109375" customWidth="1"/>
    <col min="2" max="2" width="11.33203125" customWidth="1"/>
    <col min="3" max="3" width="1.6640625" customWidth="1"/>
    <col min="4" max="4" width="11.33203125" customWidth="1"/>
    <col min="5" max="5" width="1.6640625" customWidth="1"/>
    <col min="6" max="6" width="11.33203125" customWidth="1"/>
    <col min="7" max="7" width="1.6640625" customWidth="1"/>
    <col min="8" max="8" width="11.33203125" customWidth="1"/>
    <col min="9" max="9" width="1.6640625" customWidth="1"/>
    <col min="10" max="10" width="11.33203125" customWidth="1"/>
  </cols>
  <sheetData>
    <row r="1" spans="1:10" x14ac:dyDescent="0.25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 t="s">
        <v>147</v>
      </c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 t="s">
        <v>148</v>
      </c>
      <c r="B3" s="1"/>
      <c r="C3" s="1"/>
      <c r="D3" s="1"/>
      <c r="E3" s="1"/>
      <c r="F3" s="1"/>
      <c r="G3" s="1"/>
      <c r="H3" s="1"/>
      <c r="I3" s="1"/>
      <c r="J3" s="1"/>
    </row>
    <row r="4" spans="1:10" x14ac:dyDescent="0.25">
      <c r="A4" s="49" t="s">
        <v>149</v>
      </c>
      <c r="B4" s="1"/>
      <c r="C4" s="1"/>
      <c r="D4" s="1"/>
      <c r="E4" s="1"/>
      <c r="F4" s="1"/>
      <c r="G4" s="1"/>
      <c r="H4" s="1"/>
      <c r="I4" s="1"/>
      <c r="J4" s="1"/>
    </row>
    <row r="6" spans="1:10" x14ac:dyDescent="0.25">
      <c r="B6" s="51" t="s">
        <v>150</v>
      </c>
      <c r="C6" s="52"/>
      <c r="D6" s="51" t="s">
        <v>151</v>
      </c>
      <c r="E6" s="52"/>
      <c r="F6" s="51" t="s">
        <v>152</v>
      </c>
      <c r="G6" s="52"/>
      <c r="H6" s="51" t="s">
        <v>153</v>
      </c>
      <c r="I6" s="52"/>
      <c r="J6" s="51" t="s">
        <v>154</v>
      </c>
    </row>
    <row r="8" spans="1:10" x14ac:dyDescent="0.25">
      <c r="A8" t="s">
        <v>91</v>
      </c>
      <c r="B8" s="58">
        <v>1463.039</v>
      </c>
      <c r="C8" s="58"/>
      <c r="D8" s="58">
        <v>1438.7360000000001</v>
      </c>
      <c r="E8" s="58"/>
      <c r="F8" s="58">
        <v>1355.348</v>
      </c>
      <c r="G8" s="58"/>
      <c r="H8" s="58">
        <v>1247.8820000000001</v>
      </c>
      <c r="I8" s="58"/>
      <c r="J8" s="58">
        <v>1189.354</v>
      </c>
    </row>
    <row r="9" spans="1:10" x14ac:dyDescent="0.25">
      <c r="A9" t="s">
        <v>155</v>
      </c>
      <c r="B9" s="59">
        <v>1170.232</v>
      </c>
      <c r="C9" s="60"/>
      <c r="D9" s="59">
        <v>1132.05</v>
      </c>
      <c r="E9" s="60"/>
      <c r="F9" s="59">
        <v>1051.057</v>
      </c>
      <c r="G9" s="60"/>
      <c r="H9" s="59">
        <v>1006.572</v>
      </c>
      <c r="I9" s="60"/>
      <c r="J9" s="59">
        <v>985.64700000000005</v>
      </c>
    </row>
    <row r="10" spans="1:10" x14ac:dyDescent="0.25">
      <c r="B10" s="60"/>
      <c r="C10" s="60"/>
      <c r="D10" s="60"/>
      <c r="E10" s="60"/>
      <c r="F10" s="60"/>
      <c r="G10" s="60"/>
      <c r="H10" s="60"/>
      <c r="I10" s="60"/>
      <c r="J10" s="60"/>
    </row>
    <row r="11" spans="1:10" x14ac:dyDescent="0.25">
      <c r="A11" t="s">
        <v>156</v>
      </c>
      <c r="B11" s="60">
        <f>B8-B9</f>
        <v>292.80700000000002</v>
      </c>
      <c r="C11" s="60"/>
      <c r="D11" s="60">
        <f>D8-D9</f>
        <v>306.68600000000015</v>
      </c>
      <c r="E11" s="60"/>
      <c r="F11" s="60">
        <f>F8-F9</f>
        <v>304.29099999999994</v>
      </c>
      <c r="G11" s="60"/>
      <c r="H11" s="60">
        <f>H8-H9</f>
        <v>241.31000000000006</v>
      </c>
      <c r="I11" s="60"/>
      <c r="J11" s="60">
        <f>J8-J9</f>
        <v>203.70699999999999</v>
      </c>
    </row>
    <row r="12" spans="1:10" x14ac:dyDescent="0.25">
      <c r="A12" t="s">
        <v>157</v>
      </c>
      <c r="B12" s="60"/>
      <c r="C12" s="60"/>
      <c r="D12" s="60"/>
      <c r="E12" s="60"/>
      <c r="F12" s="60"/>
      <c r="G12" s="60"/>
      <c r="H12" s="60"/>
      <c r="I12" s="60"/>
      <c r="J12" s="60"/>
    </row>
    <row r="13" spans="1:10" x14ac:dyDescent="0.25">
      <c r="A13" t="s">
        <v>158</v>
      </c>
      <c r="B13" s="59">
        <f>B11-B15</f>
        <v>80.02800000000002</v>
      </c>
      <c r="C13" s="60"/>
      <c r="D13" s="59">
        <f>D11-D15</f>
        <v>74.636000000000138</v>
      </c>
      <c r="E13" s="60"/>
      <c r="F13" s="59">
        <f>F11-F15</f>
        <v>72.91599999999994</v>
      </c>
      <c r="G13" s="60"/>
      <c r="H13" s="59">
        <f>H11-H15</f>
        <v>68.73500000000007</v>
      </c>
      <c r="I13" s="60"/>
      <c r="J13" s="59">
        <f>J11-J15</f>
        <v>72.692000000000007</v>
      </c>
    </row>
    <row r="14" spans="1:10" x14ac:dyDescent="0.25">
      <c r="B14" s="60"/>
      <c r="C14" s="60"/>
      <c r="D14" s="60"/>
      <c r="E14" s="60"/>
      <c r="F14" s="60"/>
      <c r="G14" s="60"/>
      <c r="H14" s="60"/>
      <c r="I14" s="60"/>
      <c r="J14" s="60"/>
    </row>
    <row r="15" spans="1:10" x14ac:dyDescent="0.25">
      <c r="A15" t="s">
        <v>159</v>
      </c>
      <c r="B15" s="60">
        <v>212.779</v>
      </c>
      <c r="C15" s="60"/>
      <c r="D15" s="60">
        <v>232.05</v>
      </c>
      <c r="E15" s="60"/>
      <c r="F15" s="60">
        <v>231.375</v>
      </c>
      <c r="G15" s="60"/>
      <c r="H15" s="60">
        <v>172.57499999999999</v>
      </c>
      <c r="I15" s="60"/>
      <c r="J15" s="60">
        <v>131.01499999999999</v>
      </c>
    </row>
    <row r="16" spans="1:10" x14ac:dyDescent="0.25">
      <c r="A16" t="s">
        <v>160</v>
      </c>
      <c r="B16" s="60"/>
      <c r="C16" s="60"/>
      <c r="D16" s="60"/>
      <c r="E16" s="60"/>
      <c r="F16" s="60"/>
      <c r="G16" s="60"/>
      <c r="H16" s="60"/>
      <c r="I16" s="60"/>
      <c r="J16" s="60"/>
    </row>
    <row r="17" spans="1:10" x14ac:dyDescent="0.25">
      <c r="A17" t="s">
        <v>161</v>
      </c>
      <c r="B17" s="59">
        <f>B15-B19</f>
        <v>87.641999999999996</v>
      </c>
      <c r="C17" s="60"/>
      <c r="D17" s="59">
        <f>D15-D19</f>
        <v>90.541000000000025</v>
      </c>
      <c r="E17" s="60"/>
      <c r="F17" s="59">
        <f>F15-F19</f>
        <v>80.51400000000001</v>
      </c>
      <c r="G17" s="60"/>
      <c r="H17" s="59">
        <f>H15-H19</f>
        <v>81.704999999999984</v>
      </c>
      <c r="I17" s="60"/>
      <c r="J17" s="59">
        <f>J15-J19</f>
        <v>83.749999999999986</v>
      </c>
    </row>
    <row r="18" spans="1:10" x14ac:dyDescent="0.25">
      <c r="B18" s="60"/>
      <c r="C18" s="60"/>
      <c r="D18" s="60"/>
      <c r="E18" s="60"/>
      <c r="F18" s="60"/>
      <c r="G18" s="60"/>
      <c r="H18" s="60"/>
      <c r="I18" s="60"/>
      <c r="J18" s="60"/>
    </row>
    <row r="19" spans="1:10" x14ac:dyDescent="0.25">
      <c r="A19" t="s">
        <v>162</v>
      </c>
      <c r="B19" s="60">
        <v>125.137</v>
      </c>
      <c r="C19" s="60"/>
      <c r="D19" s="60">
        <v>141.50899999999999</v>
      </c>
      <c r="E19" s="60"/>
      <c r="F19" s="60">
        <v>150.86099999999999</v>
      </c>
      <c r="G19" s="60"/>
      <c r="H19" s="60">
        <v>90.87</v>
      </c>
      <c r="I19" s="60"/>
      <c r="J19" s="60">
        <v>47.265000000000001</v>
      </c>
    </row>
    <row r="20" spans="1:10" x14ac:dyDescent="0.25">
      <c r="A20" t="s">
        <v>163</v>
      </c>
      <c r="B20" s="60"/>
      <c r="C20" s="60"/>
      <c r="D20" s="60"/>
      <c r="E20" s="60"/>
      <c r="F20" s="60"/>
      <c r="G20" s="60"/>
      <c r="H20" s="60"/>
      <c r="I20" s="60"/>
      <c r="J20" s="60"/>
    </row>
    <row r="21" spans="1:10" x14ac:dyDescent="0.25">
      <c r="A21" t="s">
        <v>164</v>
      </c>
      <c r="B21" s="60">
        <v>38.152999999999999</v>
      </c>
      <c r="C21" s="60"/>
      <c r="D21" s="60">
        <v>24.536000000000001</v>
      </c>
      <c r="E21" s="60"/>
      <c r="F21" s="60">
        <v>20.145</v>
      </c>
      <c r="G21" s="60"/>
      <c r="H21" s="60">
        <v>16.100000000000001</v>
      </c>
      <c r="I21" s="60"/>
      <c r="J21" s="60">
        <v>21.007000000000001</v>
      </c>
    </row>
    <row r="22" spans="1:10" x14ac:dyDescent="0.25">
      <c r="A22" t="s">
        <v>165</v>
      </c>
      <c r="B22" s="59">
        <v>1.64</v>
      </c>
      <c r="C22" s="60"/>
      <c r="D22" s="59">
        <v>-4.7610000000000001</v>
      </c>
      <c r="E22" s="60"/>
      <c r="F22" s="59">
        <v>-4.9580000000000002</v>
      </c>
      <c r="G22" s="60"/>
      <c r="H22" s="59">
        <v>-0.11</v>
      </c>
      <c r="I22" s="60"/>
      <c r="J22" s="59">
        <v>-16.478999999999999</v>
      </c>
    </row>
    <row r="23" spans="1:10" x14ac:dyDescent="0.25">
      <c r="B23" s="60"/>
      <c r="C23" s="60"/>
      <c r="D23" s="60"/>
      <c r="E23" s="60"/>
      <c r="F23" s="60"/>
      <c r="G23" s="60"/>
      <c r="H23" s="60"/>
      <c r="I23" s="60"/>
      <c r="J23" s="60"/>
    </row>
    <row r="24" spans="1:10" x14ac:dyDescent="0.25">
      <c r="A24" t="s">
        <v>166</v>
      </c>
      <c r="B24" s="60"/>
      <c r="C24" s="60"/>
      <c r="D24" s="60"/>
      <c r="E24" s="60"/>
      <c r="F24" s="60"/>
      <c r="G24" s="60"/>
      <c r="H24" s="60"/>
      <c r="I24" s="60"/>
      <c r="J24" s="60"/>
    </row>
    <row r="25" spans="1:10" x14ac:dyDescent="0.25">
      <c r="A25" t="s">
        <v>167</v>
      </c>
      <c r="B25" s="60">
        <f>B19+B21+B22</f>
        <v>164.92999999999998</v>
      </c>
      <c r="C25" s="60"/>
      <c r="D25" s="60">
        <f>D19+D21+D22</f>
        <v>161.28399999999999</v>
      </c>
      <c r="E25" s="60"/>
      <c r="F25" s="60">
        <f>F19+F21+F22</f>
        <v>166.048</v>
      </c>
      <c r="G25" s="60"/>
      <c r="H25" s="60">
        <f>H19+H21+H22</f>
        <v>106.86</v>
      </c>
      <c r="I25" s="60"/>
      <c r="J25" s="60">
        <f>J19+J21+J22</f>
        <v>51.793000000000006</v>
      </c>
    </row>
    <row r="26" spans="1:10" x14ac:dyDescent="0.25">
      <c r="A26" t="s">
        <v>168</v>
      </c>
      <c r="B26" s="59">
        <f>B25-B28</f>
        <v>41.370999999999981</v>
      </c>
      <c r="C26" s="60"/>
      <c r="D26" s="59">
        <f>D25-D28</f>
        <v>38.915999999999997</v>
      </c>
      <c r="E26" s="60"/>
      <c r="F26" s="59">
        <f>F25-F28</f>
        <v>34.725999999999999</v>
      </c>
      <c r="G26" s="60"/>
      <c r="H26" s="59">
        <f>H25-H28</f>
        <v>33.599999999999994</v>
      </c>
      <c r="I26" s="60"/>
      <c r="J26" s="59">
        <f>J25-J28</f>
        <v>36.499000000000009</v>
      </c>
    </row>
    <row r="28" spans="1:10" x14ac:dyDescent="0.25">
      <c r="A28" t="s">
        <v>169</v>
      </c>
      <c r="B28" s="60">
        <v>123.559</v>
      </c>
      <c r="C28" s="60"/>
      <c r="D28" s="60">
        <v>122.36799999999999</v>
      </c>
      <c r="E28" s="60"/>
      <c r="F28" s="60">
        <v>131.322</v>
      </c>
      <c r="G28" s="60"/>
      <c r="H28" s="60">
        <v>73.260000000000005</v>
      </c>
      <c r="I28" s="60"/>
      <c r="J28" s="60">
        <v>15.294</v>
      </c>
    </row>
    <row r="29" spans="1:10" x14ac:dyDescent="0.25">
      <c r="A29" t="s">
        <v>170</v>
      </c>
      <c r="B29" s="60">
        <v>40.055999999999997</v>
      </c>
      <c r="C29" s="60"/>
      <c r="D29" s="60">
        <v>40.72</v>
      </c>
      <c r="E29" s="60"/>
      <c r="F29" s="60">
        <v>42.667000000000002</v>
      </c>
      <c r="G29" s="60"/>
      <c r="H29" s="60">
        <v>19.459</v>
      </c>
      <c r="I29" s="60"/>
      <c r="J29" s="60">
        <v>6.7560000000000002</v>
      </c>
    </row>
    <row r="30" spans="1:10" x14ac:dyDescent="0.25">
      <c r="A30" t="s">
        <v>171</v>
      </c>
      <c r="B30" s="59">
        <f>B28-B29-B33</f>
        <v>5.3359999999999985</v>
      </c>
      <c r="C30" s="60"/>
      <c r="D30" s="59">
        <f>D28-D29-D33</f>
        <v>6.4599999999999937</v>
      </c>
      <c r="E30" s="60"/>
      <c r="F30" s="59">
        <f>F28-F29-F33</f>
        <v>7.4200000000000017</v>
      </c>
      <c r="G30" s="60"/>
      <c r="H30" s="59">
        <f>H28-H29-H33</f>
        <v>5.240000000000002</v>
      </c>
      <c r="I30" s="60"/>
      <c r="J30" s="59">
        <f>J28-J29-J33</f>
        <v>3.7670000000000003</v>
      </c>
    </row>
    <row r="31" spans="1:10" x14ac:dyDescent="0.25">
      <c r="B31" s="60"/>
      <c r="C31" s="60"/>
      <c r="D31" s="60"/>
      <c r="E31" s="60"/>
      <c r="F31" s="60"/>
      <c r="G31" s="60"/>
      <c r="H31" s="60"/>
      <c r="I31" s="60"/>
      <c r="J31" s="60"/>
    </row>
    <row r="32" spans="1:10" x14ac:dyDescent="0.25">
      <c r="A32" t="s">
        <v>172</v>
      </c>
      <c r="B32" s="60"/>
      <c r="C32" s="60"/>
      <c r="D32" s="60"/>
      <c r="E32" s="60"/>
      <c r="F32" s="60"/>
      <c r="G32" s="60"/>
      <c r="H32" s="60"/>
      <c r="I32" s="60"/>
      <c r="J32" s="60"/>
    </row>
    <row r="33" spans="1:10" x14ac:dyDescent="0.25">
      <c r="A33" t="s">
        <v>173</v>
      </c>
      <c r="B33" s="60">
        <v>78.167000000000002</v>
      </c>
      <c r="C33" s="60"/>
      <c r="D33" s="60">
        <v>75.188000000000002</v>
      </c>
      <c r="E33" s="60"/>
      <c r="F33" s="60">
        <v>81.234999999999999</v>
      </c>
      <c r="G33" s="60"/>
      <c r="H33" s="60">
        <v>48.561</v>
      </c>
      <c r="I33" s="60"/>
      <c r="J33" s="60">
        <v>4.7709999999999999</v>
      </c>
    </row>
    <row r="34" spans="1:10" x14ac:dyDescent="0.25">
      <c r="A34" t="s">
        <v>174</v>
      </c>
      <c r="B34" s="59">
        <f>B33-B36</f>
        <v>1.7199999999999989</v>
      </c>
      <c r="C34" s="60"/>
      <c r="D34" s="59">
        <f>D33-D36</f>
        <v>2.2909999999999968</v>
      </c>
      <c r="E34" s="60"/>
      <c r="F34" s="59">
        <f>F33-F36</f>
        <v>2.4650000000000034</v>
      </c>
      <c r="G34" s="60"/>
      <c r="H34" s="59">
        <f>H33-H36</f>
        <v>2.5030000000000001</v>
      </c>
      <c r="I34" s="60"/>
      <c r="J34" s="59">
        <f>J33-J36</f>
        <v>2.3079999999999998</v>
      </c>
    </row>
    <row r="35" spans="1:10" x14ac:dyDescent="0.25">
      <c r="B35" s="60"/>
      <c r="C35" s="60"/>
      <c r="D35" s="60"/>
      <c r="E35" s="60"/>
      <c r="F35" s="60"/>
      <c r="G35" s="60"/>
      <c r="H35" s="60"/>
      <c r="I35" s="60"/>
      <c r="J35" s="60"/>
    </row>
    <row r="36" spans="1:10" ht="13.8" thickBot="1" x14ac:dyDescent="0.3">
      <c r="A36" t="s">
        <v>175</v>
      </c>
      <c r="B36" s="61">
        <v>76.447000000000003</v>
      </c>
      <c r="C36" s="58"/>
      <c r="D36" s="61">
        <v>72.897000000000006</v>
      </c>
      <c r="E36" s="58"/>
      <c r="F36" s="61">
        <v>78.77</v>
      </c>
      <c r="G36" s="58"/>
      <c r="H36" s="61">
        <v>46.058</v>
      </c>
      <c r="I36" s="58"/>
      <c r="J36" s="61">
        <v>2.4630000000000001</v>
      </c>
    </row>
    <row r="37" spans="1:10" ht="13.8" thickTop="1" x14ac:dyDescent="0.25"/>
  </sheetData>
  <printOptions horizontalCentered="1"/>
  <pageMargins left="0.5" right="0.5" top="0.75" bottom="0.5" header="0.5" footer="0.5"/>
  <pageSetup orientation="portrait" horizontalDpi="4294967292" verticalDpi="300" r:id="rId1"/>
  <headerFooter alignWithMargins="0"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0"/>
  <sheetViews>
    <sheetView workbookViewId="0"/>
  </sheetViews>
  <sheetFormatPr defaultColWidth="11.6640625" defaultRowHeight="13.2" x14ac:dyDescent="0.25"/>
  <cols>
    <col min="1" max="1" width="35.6640625" customWidth="1"/>
    <col min="3" max="3" width="2.6640625" customWidth="1"/>
    <col min="5" max="5" width="2.6640625" customWidth="1"/>
    <col min="7" max="7" width="2.6640625" customWidth="1"/>
    <col min="9" max="9" width="2.6640625" customWidth="1"/>
  </cols>
  <sheetData>
    <row r="1" spans="1:10" x14ac:dyDescent="0.25">
      <c r="A1" s="1" t="s">
        <v>176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25">
      <c r="A2" s="1" t="s">
        <v>147</v>
      </c>
      <c r="B2" s="2"/>
      <c r="C2" s="2"/>
      <c r="D2" s="2"/>
      <c r="E2" s="2"/>
      <c r="F2" s="2"/>
      <c r="G2" s="2"/>
      <c r="H2" s="2"/>
      <c r="I2" s="2"/>
      <c r="J2" s="2"/>
    </row>
    <row r="3" spans="1:10" x14ac:dyDescent="0.25">
      <c r="A3" s="1" t="s">
        <v>148</v>
      </c>
      <c r="B3" s="2"/>
      <c r="C3" s="2"/>
      <c r="D3" s="2"/>
      <c r="E3" s="2"/>
      <c r="F3" s="2"/>
      <c r="G3" s="2"/>
      <c r="H3" s="2"/>
      <c r="I3" s="2"/>
      <c r="J3" s="2"/>
    </row>
    <row r="4" spans="1:10" x14ac:dyDescent="0.25">
      <c r="A4" s="49" t="s">
        <v>149</v>
      </c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50"/>
    </row>
    <row r="6" spans="1:10" x14ac:dyDescent="0.25">
      <c r="B6" s="51" t="s">
        <v>150</v>
      </c>
      <c r="C6" s="52"/>
      <c r="D6" s="51" t="s">
        <v>151</v>
      </c>
      <c r="E6" s="52"/>
      <c r="F6" s="51" t="s">
        <v>152</v>
      </c>
      <c r="G6" s="52"/>
      <c r="H6" s="51" t="s">
        <v>153</v>
      </c>
      <c r="I6" s="52"/>
      <c r="J6" s="51" t="s">
        <v>154</v>
      </c>
    </row>
    <row r="7" spans="1:10" x14ac:dyDescent="0.25">
      <c r="A7" s="18" t="s">
        <v>25</v>
      </c>
    </row>
    <row r="8" spans="1:10" x14ac:dyDescent="0.25">
      <c r="A8" t="s">
        <v>177</v>
      </c>
      <c r="B8" s="53">
        <v>133.07</v>
      </c>
      <c r="C8" s="53"/>
      <c r="D8" s="53">
        <v>123.89100000000001</v>
      </c>
      <c r="E8" s="53"/>
      <c r="F8" s="53">
        <v>114.173</v>
      </c>
      <c r="G8" s="53"/>
      <c r="H8" s="53">
        <v>103.22499999999999</v>
      </c>
      <c r="I8" s="53"/>
      <c r="J8" s="53">
        <v>82.628</v>
      </c>
    </row>
    <row r="9" spans="1:10" x14ac:dyDescent="0.25">
      <c r="A9" t="s">
        <v>178</v>
      </c>
      <c r="B9" s="54">
        <f>223.283-23.955</f>
        <v>199.32799999999997</v>
      </c>
      <c r="C9" s="54"/>
      <c r="D9" s="54">
        <f>222.646-21.71</f>
        <v>200.93599999999998</v>
      </c>
      <c r="E9" s="54"/>
      <c r="F9" s="54">
        <f>209.243-19.748</f>
        <v>189.495</v>
      </c>
      <c r="G9" s="54"/>
      <c r="H9" s="54">
        <f>193.428-7.446</f>
        <v>185.982</v>
      </c>
      <c r="I9" s="54"/>
      <c r="J9" s="54">
        <f>165.564-19.567</f>
        <v>145.99699999999999</v>
      </c>
    </row>
    <row r="10" spans="1:10" x14ac:dyDescent="0.25">
      <c r="A10" t="s">
        <v>179</v>
      </c>
      <c r="B10" s="54">
        <v>231.626</v>
      </c>
      <c r="C10" s="54"/>
      <c r="D10" s="54">
        <v>230.25399999999999</v>
      </c>
      <c r="E10" s="54"/>
      <c r="F10" s="54">
        <v>210.66900000000001</v>
      </c>
      <c r="G10" s="54"/>
      <c r="H10" s="54">
        <v>197.51400000000001</v>
      </c>
      <c r="I10" s="54"/>
      <c r="J10" s="54">
        <v>196.89400000000001</v>
      </c>
    </row>
    <row r="11" spans="1:10" x14ac:dyDescent="0.25">
      <c r="A11" t="s">
        <v>180</v>
      </c>
      <c r="B11" s="54">
        <v>9.27</v>
      </c>
      <c r="C11" s="54"/>
      <c r="D11" s="54">
        <v>10.597</v>
      </c>
      <c r="E11" s="54"/>
      <c r="F11" s="54">
        <v>7.9820000000000002</v>
      </c>
      <c r="G11" s="54"/>
      <c r="H11" s="54">
        <v>6.7060000000000004</v>
      </c>
      <c r="I11" s="54"/>
      <c r="J11" s="54">
        <v>7.21</v>
      </c>
    </row>
    <row r="12" spans="1:10" x14ac:dyDescent="0.25">
      <c r="A12" t="s">
        <v>181</v>
      </c>
      <c r="B12" s="55">
        <v>39.497</v>
      </c>
      <c r="C12" s="54"/>
      <c r="D12" s="55">
        <v>27.276</v>
      </c>
      <c r="E12" s="54"/>
      <c r="F12" s="55">
        <v>21.068000000000001</v>
      </c>
      <c r="G12" s="54"/>
      <c r="H12" s="55">
        <v>24.774000000000001</v>
      </c>
      <c r="I12" s="54"/>
      <c r="J12" s="55">
        <v>31.792000000000002</v>
      </c>
    </row>
    <row r="13" spans="1:10" x14ac:dyDescent="0.25">
      <c r="B13" s="54"/>
      <c r="C13" s="54"/>
      <c r="D13" s="54"/>
      <c r="E13" s="54"/>
      <c r="F13" s="54"/>
      <c r="G13" s="54"/>
      <c r="H13" s="54"/>
      <c r="I13" s="54"/>
      <c r="J13" s="54"/>
    </row>
    <row r="14" spans="1:10" x14ac:dyDescent="0.25">
      <c r="A14" t="s">
        <v>182</v>
      </c>
      <c r="B14" s="55">
        <f>SUM(B8:B12)</f>
        <v>612.79099999999994</v>
      </c>
      <c r="C14" s="54"/>
      <c r="D14" s="55">
        <f>SUM(D8:D12)</f>
        <v>592.95399999999995</v>
      </c>
      <c r="E14" s="54"/>
      <c r="F14" s="55">
        <f>SUM(F8:F12)</f>
        <v>543.38699999999994</v>
      </c>
      <c r="G14" s="54"/>
      <c r="H14" s="55">
        <f>SUM(H8:H12)</f>
        <v>518.20100000000002</v>
      </c>
      <c r="I14" s="54"/>
      <c r="J14" s="55">
        <f>SUM(J8:J12)</f>
        <v>464.52099999999996</v>
      </c>
    </row>
    <row r="15" spans="1:10" x14ac:dyDescent="0.25">
      <c r="B15" s="54"/>
      <c r="C15" s="54"/>
      <c r="D15" s="54"/>
      <c r="E15" s="54"/>
      <c r="F15" s="54"/>
      <c r="G15" s="54"/>
      <c r="H15" s="54"/>
      <c r="I15" s="54"/>
      <c r="J15" s="54"/>
    </row>
    <row r="16" spans="1:10" x14ac:dyDescent="0.25">
      <c r="A16" t="s">
        <v>183</v>
      </c>
      <c r="B16" s="54">
        <v>1796.489</v>
      </c>
      <c r="C16" s="54"/>
      <c r="D16" s="54">
        <v>1779.923</v>
      </c>
      <c r="E16" s="54"/>
      <c r="F16" s="54">
        <v>1562.5630000000001</v>
      </c>
      <c r="G16" s="54"/>
      <c r="H16" s="54">
        <v>1517.7750000000001</v>
      </c>
      <c r="I16" s="54"/>
      <c r="J16" s="54">
        <v>1513.751</v>
      </c>
    </row>
    <row r="17" spans="1:10" x14ac:dyDescent="0.25">
      <c r="A17" t="s">
        <v>184</v>
      </c>
      <c r="B17" s="55">
        <v>814.69299999999998</v>
      </c>
      <c r="C17" s="54"/>
      <c r="D17" s="55">
        <v>820.31399999999996</v>
      </c>
      <c r="E17" s="54"/>
      <c r="F17" s="55">
        <v>743.31200000000001</v>
      </c>
      <c r="G17" s="54"/>
      <c r="H17" s="55">
        <v>712.51800000000003</v>
      </c>
      <c r="I17" s="54"/>
      <c r="J17" s="55">
        <v>686.84500000000003</v>
      </c>
    </row>
    <row r="18" spans="1:10" x14ac:dyDescent="0.25">
      <c r="B18" s="54"/>
      <c r="C18" s="54"/>
      <c r="D18" s="54"/>
      <c r="E18" s="54"/>
      <c r="F18" s="54"/>
      <c r="G18" s="54"/>
      <c r="H18" s="54"/>
      <c r="I18" s="54"/>
      <c r="J18" s="54"/>
    </row>
    <row r="19" spans="1:10" x14ac:dyDescent="0.25">
      <c r="A19" t="s">
        <v>185</v>
      </c>
      <c r="B19" s="55">
        <f>B16-B17</f>
        <v>981.79600000000005</v>
      </c>
      <c r="C19" s="54"/>
      <c r="D19" s="55">
        <f>D16-D17</f>
        <v>959.60900000000004</v>
      </c>
      <c r="E19" s="54"/>
      <c r="F19" s="55">
        <f>F16-F17</f>
        <v>819.25100000000009</v>
      </c>
      <c r="G19" s="54"/>
      <c r="H19" s="55">
        <f>H16-H17</f>
        <v>805.25700000000006</v>
      </c>
      <c r="I19" s="54"/>
      <c r="J19" s="55">
        <f>J16-J17</f>
        <v>826.90599999999995</v>
      </c>
    </row>
    <row r="20" spans="1:10" x14ac:dyDescent="0.25">
      <c r="B20" s="54"/>
      <c r="C20" s="54"/>
      <c r="D20" s="54"/>
      <c r="E20" s="54"/>
      <c r="F20" s="54"/>
      <c r="G20" s="54"/>
      <c r="H20" s="54"/>
      <c r="I20" s="54"/>
      <c r="J20" s="54"/>
    </row>
    <row r="21" spans="1:10" x14ac:dyDescent="0.25">
      <c r="A21" t="s">
        <v>186</v>
      </c>
      <c r="B21" s="54">
        <v>88.227999999999994</v>
      </c>
      <c r="C21" s="54"/>
      <c r="D21" s="54">
        <v>88.046999999999997</v>
      </c>
      <c r="E21" s="54"/>
      <c r="F21" s="54">
        <v>103.405</v>
      </c>
      <c r="G21" s="54"/>
      <c r="H21" s="54">
        <v>107.19</v>
      </c>
      <c r="I21" s="54"/>
      <c r="J21" s="54">
        <v>110.172</v>
      </c>
    </row>
    <row r="22" spans="1:10" x14ac:dyDescent="0.25">
      <c r="B22" s="54"/>
      <c r="C22" s="54"/>
      <c r="D22" s="54"/>
      <c r="E22" s="54"/>
      <c r="F22" s="54"/>
      <c r="G22" s="54"/>
      <c r="H22" s="54"/>
      <c r="I22" s="54"/>
      <c r="J22" s="54"/>
    </row>
    <row r="23" spans="1:10" x14ac:dyDescent="0.25">
      <c r="A23" t="s">
        <v>187</v>
      </c>
      <c r="B23" s="54">
        <v>23.78</v>
      </c>
      <c r="C23" s="54"/>
      <c r="D23" s="54">
        <v>35.01</v>
      </c>
      <c r="E23" s="54"/>
      <c r="F23" s="54">
        <v>40.36</v>
      </c>
      <c r="G23" s="54"/>
      <c r="H23" s="54">
        <v>30.6</v>
      </c>
      <c r="I23" s="54"/>
      <c r="J23" s="54">
        <v>42.776000000000003</v>
      </c>
    </row>
    <row r="24" spans="1:10" x14ac:dyDescent="0.25">
      <c r="B24" s="54"/>
      <c r="C24" s="54"/>
      <c r="D24" s="54"/>
      <c r="E24" s="54"/>
      <c r="F24" s="54"/>
      <c r="G24" s="54"/>
      <c r="H24" s="54"/>
      <c r="I24" s="54"/>
      <c r="J24" s="54"/>
    </row>
    <row r="25" spans="1:10" x14ac:dyDescent="0.25">
      <c r="A25" t="s">
        <v>188</v>
      </c>
      <c r="B25" s="54">
        <v>45.713999999999999</v>
      </c>
      <c r="C25" s="54"/>
      <c r="D25" s="54">
        <v>41.673999999999999</v>
      </c>
      <c r="E25" s="54"/>
      <c r="F25" s="54">
        <v>39.972000000000001</v>
      </c>
      <c r="G25" s="54"/>
      <c r="H25" s="54">
        <v>33.636000000000003</v>
      </c>
      <c r="I25" s="54"/>
      <c r="J25" s="54">
        <v>34.225999999999999</v>
      </c>
    </row>
    <row r="26" spans="1:10" x14ac:dyDescent="0.25">
      <c r="B26" s="54"/>
      <c r="C26" s="54"/>
      <c r="D26" s="54"/>
      <c r="E26" s="54"/>
      <c r="F26" s="54"/>
      <c r="G26" s="54"/>
      <c r="H26" s="54"/>
      <c r="I26" s="54"/>
      <c r="J26" s="54"/>
    </row>
    <row r="27" spans="1:10" x14ac:dyDescent="0.25">
      <c r="A27" t="s">
        <v>189</v>
      </c>
      <c r="B27" s="54">
        <v>38.938000000000002</v>
      </c>
      <c r="C27" s="54"/>
      <c r="D27" s="54">
        <v>33.912999999999997</v>
      </c>
      <c r="E27" s="54"/>
      <c r="F27" s="54">
        <v>29.398</v>
      </c>
      <c r="G27" s="54"/>
      <c r="H27" s="54">
        <v>23.681000000000001</v>
      </c>
      <c r="I27" s="54"/>
      <c r="J27" s="54">
        <v>23.585000000000001</v>
      </c>
    </row>
    <row r="28" spans="1:10" x14ac:dyDescent="0.25">
      <c r="B28" s="54"/>
      <c r="C28" s="54"/>
      <c r="D28" s="54"/>
      <c r="E28" s="54"/>
      <c r="F28" s="54"/>
      <c r="G28" s="54"/>
      <c r="H28" s="54"/>
      <c r="I28" s="54"/>
      <c r="J28" s="54"/>
    </row>
    <row r="29" spans="1:10" x14ac:dyDescent="0.25">
      <c r="A29" t="s">
        <v>190</v>
      </c>
      <c r="B29" s="55">
        <v>119.44199999999999</v>
      </c>
      <c r="C29" s="54"/>
      <c r="D29" s="55">
        <v>90.233999999999995</v>
      </c>
      <c r="E29" s="54"/>
      <c r="F29" s="55">
        <v>90.606999999999999</v>
      </c>
      <c r="G29" s="54"/>
      <c r="H29" s="55">
        <v>88.396000000000001</v>
      </c>
      <c r="I29" s="54"/>
      <c r="J29" s="55">
        <v>92.242999999999995</v>
      </c>
    </row>
    <row r="30" spans="1:10" x14ac:dyDescent="0.25">
      <c r="B30" s="54"/>
      <c r="C30" s="54"/>
      <c r="D30" s="54"/>
      <c r="E30" s="54"/>
      <c r="F30" s="54"/>
      <c r="G30" s="54"/>
      <c r="H30" s="54"/>
      <c r="I30" s="54"/>
      <c r="J30" s="54"/>
    </row>
    <row r="31" spans="1:10" ht="13.8" thickBot="1" x14ac:dyDescent="0.3">
      <c r="A31" s="18" t="s">
        <v>191</v>
      </c>
      <c r="B31" s="56">
        <f>B14+B19+B21+B23+B25+B27+B29</f>
        <v>1910.6890000000001</v>
      </c>
      <c r="C31" s="53"/>
      <c r="D31" s="56">
        <f>D14+D19+D21+D23+D25+D27+D29</f>
        <v>1841.441</v>
      </c>
      <c r="E31" s="53"/>
      <c r="F31" s="56">
        <f>F14+F19+F21+F23+F25+F27+F29</f>
        <v>1666.3799999999997</v>
      </c>
      <c r="G31" s="53"/>
      <c r="H31" s="56">
        <f>H14+H19+H21+H23+H25+H27+H29</f>
        <v>1606.961</v>
      </c>
      <c r="I31" s="53"/>
      <c r="J31" s="56">
        <f>J14+J19+J21+J23+J25+J27+J29</f>
        <v>1594.4290000000001</v>
      </c>
    </row>
    <row r="32" spans="1:10" ht="13.8" thickTop="1" x14ac:dyDescent="0.25">
      <c r="B32" s="53"/>
      <c r="C32" s="53"/>
      <c r="D32" s="53"/>
      <c r="E32" s="53"/>
      <c r="F32" s="53"/>
      <c r="G32" s="53"/>
      <c r="H32" s="53"/>
      <c r="I32" s="53"/>
      <c r="J32" s="53"/>
    </row>
    <row r="33" spans="1:10" x14ac:dyDescent="0.25">
      <c r="A33" s="18" t="s">
        <v>192</v>
      </c>
      <c r="B33" s="54"/>
      <c r="C33" s="54"/>
      <c r="D33" s="54"/>
      <c r="E33" s="54"/>
      <c r="F33" s="54"/>
      <c r="G33" s="54"/>
      <c r="H33" s="54"/>
      <c r="I33" s="54"/>
      <c r="J33" s="57"/>
    </row>
    <row r="34" spans="1:10" x14ac:dyDescent="0.25">
      <c r="A34" t="s">
        <v>193</v>
      </c>
      <c r="B34" s="53">
        <v>53.906999999999996</v>
      </c>
      <c r="C34" s="53"/>
      <c r="D34" s="53">
        <v>48.06</v>
      </c>
      <c r="E34" s="53"/>
      <c r="F34" s="53">
        <v>37.073</v>
      </c>
      <c r="G34" s="53"/>
      <c r="H34" s="53">
        <v>35.113999999999997</v>
      </c>
      <c r="I34" s="53"/>
      <c r="J34" s="53">
        <v>43.573999999999998</v>
      </c>
    </row>
    <row r="35" spans="1:10" x14ac:dyDescent="0.25">
      <c r="A35" t="s">
        <v>194</v>
      </c>
      <c r="B35" s="54">
        <v>66.061999999999998</v>
      </c>
      <c r="C35" s="54"/>
      <c r="D35" s="54">
        <v>47.433999999999997</v>
      </c>
      <c r="E35" s="54"/>
      <c r="F35" s="54">
        <v>50.427999999999997</v>
      </c>
      <c r="G35" s="54"/>
      <c r="H35" s="54">
        <v>29.548999999999999</v>
      </c>
      <c r="I35" s="54"/>
      <c r="J35" s="54">
        <v>33.518000000000001</v>
      </c>
    </row>
    <row r="36" spans="1:10" x14ac:dyDescent="0.25">
      <c r="A36" t="s">
        <v>195</v>
      </c>
      <c r="B36" s="54">
        <v>128.67099999999999</v>
      </c>
      <c r="C36" s="54"/>
      <c r="D36" s="54">
        <v>131.76400000000001</v>
      </c>
      <c r="E36" s="54"/>
      <c r="F36" s="54">
        <v>118.68600000000001</v>
      </c>
      <c r="G36" s="54"/>
      <c r="H36" s="54">
        <v>113.633</v>
      </c>
      <c r="I36" s="54"/>
      <c r="J36" s="54">
        <v>105.08199999999999</v>
      </c>
    </row>
    <row r="37" spans="1:10" x14ac:dyDescent="0.25">
      <c r="A37" t="s">
        <v>196</v>
      </c>
      <c r="B37" s="54">
        <v>17.777999999999999</v>
      </c>
      <c r="C37" s="54"/>
      <c r="D37" s="54">
        <v>22.856000000000002</v>
      </c>
      <c r="E37" s="54"/>
      <c r="F37" s="54">
        <v>19.614999999999998</v>
      </c>
      <c r="G37" s="54"/>
      <c r="H37" s="54">
        <v>16.145</v>
      </c>
      <c r="I37" s="54"/>
      <c r="J37" s="54">
        <v>16.515999999999998</v>
      </c>
    </row>
    <row r="38" spans="1:10" x14ac:dyDescent="0.25">
      <c r="A38" t="s">
        <v>197</v>
      </c>
      <c r="B38" s="54">
        <v>72.757999999999996</v>
      </c>
      <c r="C38" s="54"/>
      <c r="D38" s="54">
        <v>71.179000000000002</v>
      </c>
      <c r="E38" s="54"/>
      <c r="F38" s="54">
        <v>71.953999999999994</v>
      </c>
      <c r="G38" s="54"/>
      <c r="H38" s="54">
        <v>73.798000000000002</v>
      </c>
      <c r="I38" s="54"/>
      <c r="J38" s="54">
        <v>80.38</v>
      </c>
    </row>
    <row r="39" spans="1:10" x14ac:dyDescent="0.25">
      <c r="A39" t="s">
        <v>198</v>
      </c>
      <c r="B39" s="55">
        <v>62.189</v>
      </c>
      <c r="C39" s="54"/>
      <c r="D39" s="55">
        <v>54.832999999999998</v>
      </c>
      <c r="E39" s="54"/>
      <c r="F39" s="55">
        <v>45.970999999999997</v>
      </c>
      <c r="G39" s="54"/>
      <c r="H39" s="55">
        <v>47.973999999999997</v>
      </c>
      <c r="I39" s="54"/>
      <c r="J39" s="55">
        <v>44.655000000000001</v>
      </c>
    </row>
    <row r="40" spans="1:10" x14ac:dyDescent="0.25">
      <c r="B40" s="54"/>
      <c r="C40" s="54"/>
      <c r="D40" s="54"/>
      <c r="E40" s="54"/>
      <c r="F40" s="54"/>
      <c r="G40" s="54"/>
      <c r="H40" s="54"/>
      <c r="I40" s="54"/>
      <c r="J40" s="54"/>
    </row>
    <row r="41" spans="1:10" x14ac:dyDescent="0.25">
      <c r="A41" t="s">
        <v>199</v>
      </c>
      <c r="B41" s="55">
        <v>389.88299999999998</v>
      </c>
      <c r="C41" s="54"/>
      <c r="D41" s="55">
        <v>366.68700000000001</v>
      </c>
      <c r="E41" s="54"/>
      <c r="F41" s="55">
        <v>335.70400000000001</v>
      </c>
      <c r="G41" s="54"/>
      <c r="H41" s="55">
        <v>308.02300000000002</v>
      </c>
      <c r="I41" s="54"/>
      <c r="J41" s="55">
        <v>314.76600000000002</v>
      </c>
    </row>
    <row r="42" spans="1:10" x14ac:dyDescent="0.25">
      <c r="B42" s="54"/>
      <c r="C42" s="54"/>
      <c r="D42" s="54"/>
      <c r="E42" s="54"/>
      <c r="F42" s="54"/>
      <c r="G42" s="54"/>
      <c r="H42" s="54"/>
      <c r="I42" s="54"/>
      <c r="J42" s="54"/>
    </row>
    <row r="43" spans="1:10" x14ac:dyDescent="0.25">
      <c r="A43" t="s">
        <v>200</v>
      </c>
      <c r="B43" s="54">
        <v>369.78199999999998</v>
      </c>
      <c r="C43" s="54"/>
      <c r="D43" s="54">
        <v>365.721</v>
      </c>
      <c r="E43" s="54"/>
      <c r="F43" s="54">
        <v>312.74400000000003</v>
      </c>
      <c r="G43" s="54"/>
      <c r="H43" s="54">
        <v>322.00799999999998</v>
      </c>
      <c r="I43" s="54"/>
      <c r="J43" s="54">
        <v>355.197</v>
      </c>
    </row>
    <row r="44" spans="1:10" x14ac:dyDescent="0.25">
      <c r="A44" t="s">
        <v>201</v>
      </c>
      <c r="B44" s="54">
        <v>55.518000000000001</v>
      </c>
      <c r="C44" s="54"/>
      <c r="D44" s="54">
        <v>59.914000000000001</v>
      </c>
      <c r="E44" s="54"/>
      <c r="F44" s="54">
        <v>47.302999999999997</v>
      </c>
      <c r="G44" s="54"/>
      <c r="H44" s="54">
        <v>42.084000000000003</v>
      </c>
      <c r="I44" s="54"/>
      <c r="J44" s="54">
        <v>42.558999999999997</v>
      </c>
    </row>
    <row r="45" spans="1:10" x14ac:dyDescent="0.25">
      <c r="A45" t="s">
        <v>202</v>
      </c>
      <c r="B45" s="54">
        <v>0</v>
      </c>
      <c r="C45" s="54"/>
      <c r="D45" s="54">
        <v>0</v>
      </c>
      <c r="E45" s="54"/>
      <c r="F45" s="54">
        <v>0</v>
      </c>
      <c r="G45" s="54"/>
      <c r="H45" s="54">
        <v>0</v>
      </c>
      <c r="I45" s="54"/>
      <c r="J45" s="54">
        <v>0</v>
      </c>
    </row>
    <row r="46" spans="1:10" x14ac:dyDescent="0.25">
      <c r="A46" t="s">
        <v>171</v>
      </c>
      <c r="B46" s="54">
        <v>87.192999999999998</v>
      </c>
      <c r="C46" s="54"/>
      <c r="D46" s="54">
        <v>95.414000000000001</v>
      </c>
      <c r="E46" s="54"/>
      <c r="F46" s="54">
        <v>69.406999999999996</v>
      </c>
      <c r="G46" s="54"/>
      <c r="H46" s="54">
        <v>71.742999999999995</v>
      </c>
      <c r="I46" s="54"/>
      <c r="J46" s="54">
        <v>56.271999999999998</v>
      </c>
    </row>
    <row r="47" spans="1:10" x14ac:dyDescent="0.25">
      <c r="A47" t="s">
        <v>203</v>
      </c>
      <c r="B47" s="55">
        <v>291.64299999999997</v>
      </c>
      <c r="C47" s="54"/>
      <c r="D47" s="55">
        <v>274.51499999999999</v>
      </c>
      <c r="E47" s="54"/>
      <c r="F47" s="55">
        <v>285.75700000000001</v>
      </c>
      <c r="G47" s="54"/>
      <c r="H47" s="55">
        <v>290.65100000000001</v>
      </c>
      <c r="I47" s="54"/>
      <c r="J47" s="55">
        <v>308.2</v>
      </c>
    </row>
    <row r="48" spans="1:10" x14ac:dyDescent="0.25">
      <c r="B48" s="54"/>
      <c r="C48" s="54"/>
      <c r="D48" s="54"/>
      <c r="E48" s="54"/>
      <c r="F48" s="54"/>
      <c r="G48" s="54"/>
      <c r="H48" s="54"/>
      <c r="I48" s="54"/>
      <c r="J48" s="54"/>
    </row>
    <row r="49" spans="1:10" x14ac:dyDescent="0.25">
      <c r="A49" s="18" t="s">
        <v>204</v>
      </c>
      <c r="B49" s="55">
        <f>B41+B43+B44+B45+B46+B47</f>
        <v>1194.019</v>
      </c>
      <c r="C49" s="54"/>
      <c r="D49" s="55">
        <f>D41+D43+D44+D45+D46+D47</f>
        <v>1162.251</v>
      </c>
      <c r="E49" s="54"/>
      <c r="F49" s="55">
        <f>F41+F43+F44+F45+F46+F47</f>
        <v>1050.9150000000002</v>
      </c>
      <c r="G49" s="54"/>
      <c r="H49" s="55">
        <f>H41+H43+H44+H45+H46+H47</f>
        <v>1034.509</v>
      </c>
      <c r="I49" s="54"/>
      <c r="J49" s="55">
        <f>J41+J43+J44+J45+J46+J47</f>
        <v>1076.9939999999999</v>
      </c>
    </row>
    <row r="50" spans="1:10" x14ac:dyDescent="0.25">
      <c r="B50" s="54"/>
      <c r="C50" s="54"/>
      <c r="D50" s="54"/>
      <c r="E50" s="54"/>
      <c r="F50" s="54"/>
      <c r="G50" s="54"/>
      <c r="H50" s="54"/>
      <c r="I50" s="54"/>
      <c r="J50" s="54"/>
    </row>
    <row r="51" spans="1:10" x14ac:dyDescent="0.25">
      <c r="A51" s="18" t="s">
        <v>205</v>
      </c>
      <c r="B51" s="54"/>
      <c r="C51" s="54"/>
      <c r="D51" s="54"/>
      <c r="E51" s="54"/>
      <c r="F51" s="54"/>
      <c r="G51" s="54"/>
      <c r="H51" s="54"/>
      <c r="I51" s="54"/>
      <c r="J51" s="54"/>
    </row>
    <row r="52" spans="1:10" x14ac:dyDescent="0.25">
      <c r="A52" t="s">
        <v>206</v>
      </c>
      <c r="B52" s="54">
        <v>4.5529999999999999</v>
      </c>
      <c r="C52" s="54"/>
      <c r="D52" s="54">
        <v>5.3869999999999996</v>
      </c>
      <c r="E52" s="54"/>
      <c r="F52" s="54">
        <v>4.9480000000000004</v>
      </c>
      <c r="G52" s="54"/>
      <c r="H52" s="54">
        <v>1.49</v>
      </c>
      <c r="I52" s="54"/>
      <c r="J52" s="54">
        <v>2.7090000000000001</v>
      </c>
    </row>
    <row r="53" spans="1:10" x14ac:dyDescent="0.25">
      <c r="A53" t="s">
        <v>207</v>
      </c>
      <c r="B53" s="55">
        <v>6.1459999999999999</v>
      </c>
      <c r="C53" s="54"/>
      <c r="D53" s="55">
        <v>6.4130000000000003</v>
      </c>
      <c r="E53" s="54"/>
      <c r="F53" s="55">
        <v>10.741</v>
      </c>
      <c r="G53" s="54"/>
      <c r="H53" s="55">
        <v>13.234999999999999</v>
      </c>
      <c r="I53" s="54"/>
      <c r="J53" s="55">
        <v>11.02</v>
      </c>
    </row>
    <row r="54" spans="1:10" x14ac:dyDescent="0.25">
      <c r="B54" s="54"/>
      <c r="C54" s="54"/>
      <c r="D54" s="54"/>
      <c r="E54" s="54"/>
      <c r="F54" s="54"/>
      <c r="G54" s="54"/>
      <c r="H54" s="54"/>
      <c r="I54" s="54"/>
      <c r="J54" s="54"/>
    </row>
    <row r="55" spans="1:10" x14ac:dyDescent="0.25">
      <c r="A55" t="s">
        <v>208</v>
      </c>
      <c r="B55" s="55">
        <f>SUM(B52:B53)</f>
        <v>10.699</v>
      </c>
      <c r="C55" s="54"/>
      <c r="D55" s="55">
        <f>SUM(D52:D53)</f>
        <v>11.8</v>
      </c>
      <c r="E55" s="54"/>
      <c r="F55" s="55">
        <f>SUM(F52:F53)</f>
        <v>15.689</v>
      </c>
      <c r="G55" s="54"/>
      <c r="H55" s="55">
        <f>SUM(H52:H53)</f>
        <v>14.725</v>
      </c>
      <c r="I55" s="54"/>
      <c r="J55" s="55">
        <f>SUM(J52:J53)</f>
        <v>13.728999999999999</v>
      </c>
    </row>
    <row r="56" spans="1:10" x14ac:dyDescent="0.25">
      <c r="B56" s="54"/>
      <c r="C56" s="54"/>
      <c r="D56" s="54"/>
      <c r="E56" s="54"/>
      <c r="F56" s="54"/>
      <c r="G56" s="54"/>
      <c r="H56" s="54"/>
      <c r="I56" s="54"/>
      <c r="J56" s="54"/>
    </row>
    <row r="57" spans="1:10" x14ac:dyDescent="0.25">
      <c r="A57" t="s">
        <v>209</v>
      </c>
      <c r="B57" s="54">
        <v>151.911</v>
      </c>
      <c r="C57" s="54"/>
      <c r="D57" s="54">
        <v>143.52000000000001</v>
      </c>
      <c r="E57" s="54"/>
      <c r="F57" s="54">
        <v>125.378</v>
      </c>
      <c r="G57" s="54"/>
      <c r="H57" s="54">
        <v>127.336</v>
      </c>
      <c r="I57" s="54"/>
      <c r="J57" s="54">
        <v>113.896</v>
      </c>
    </row>
    <row r="58" spans="1:10" x14ac:dyDescent="0.25">
      <c r="A58" t="s">
        <v>210</v>
      </c>
      <c r="B58" s="54">
        <v>257.87299999999999</v>
      </c>
      <c r="C58" s="54"/>
      <c r="D58" s="54">
        <v>253.95699999999999</v>
      </c>
      <c r="E58" s="54"/>
      <c r="F58" s="54">
        <v>248.26599999999999</v>
      </c>
      <c r="G58" s="54"/>
      <c r="H58" s="54">
        <v>239.239</v>
      </c>
      <c r="I58" s="54"/>
      <c r="J58" s="54">
        <v>214.977</v>
      </c>
    </row>
    <row r="59" spans="1:10" x14ac:dyDescent="0.25">
      <c r="A59" t="s">
        <v>211</v>
      </c>
      <c r="B59" s="54">
        <v>327.964</v>
      </c>
      <c r="C59" s="54"/>
      <c r="D59" s="54">
        <v>295.16699999999997</v>
      </c>
      <c r="E59" s="54"/>
      <c r="F59" s="54">
        <v>249.721</v>
      </c>
      <c r="G59" s="54"/>
      <c r="H59" s="54">
        <v>213.626</v>
      </c>
      <c r="I59" s="54"/>
      <c r="J59" s="54">
        <v>198.27500000000001</v>
      </c>
    </row>
    <row r="60" spans="1:10" x14ac:dyDescent="0.25">
      <c r="A60" t="s">
        <v>212</v>
      </c>
      <c r="B60" s="55">
        <v>31.777000000000001</v>
      </c>
      <c r="C60" s="54"/>
      <c r="D60" s="55">
        <v>25.254000000000001</v>
      </c>
      <c r="E60" s="54"/>
      <c r="F60" s="55">
        <v>23.588999999999999</v>
      </c>
      <c r="G60" s="54"/>
      <c r="H60" s="55">
        <v>22.474</v>
      </c>
      <c r="I60" s="54"/>
      <c r="J60" s="55">
        <v>23.442</v>
      </c>
    </row>
    <row r="61" spans="1:10" x14ac:dyDescent="0.25">
      <c r="B61" s="54"/>
      <c r="C61" s="54"/>
      <c r="D61" s="54"/>
      <c r="E61" s="54"/>
      <c r="F61" s="54"/>
      <c r="G61" s="54"/>
      <c r="H61" s="54"/>
      <c r="I61" s="54"/>
      <c r="J61" s="54"/>
    </row>
    <row r="62" spans="1:10" x14ac:dyDescent="0.25">
      <c r="A62" t="s">
        <v>213</v>
      </c>
      <c r="B62" s="55">
        <f>B57+B58+B59-B60</f>
        <v>705.971</v>
      </c>
      <c r="C62" s="54"/>
      <c r="D62" s="55">
        <f>D57+D58+D59-D60</f>
        <v>667.39</v>
      </c>
      <c r="E62" s="54"/>
      <c r="F62" s="55">
        <f>F57+F58+F59-F60</f>
        <v>599.77600000000007</v>
      </c>
      <c r="G62" s="54"/>
      <c r="H62" s="55">
        <f>H57+H58+H59-H60</f>
        <v>557.72699999999998</v>
      </c>
      <c r="I62" s="54"/>
      <c r="J62" s="55">
        <f>J57+J58+J59-J60</f>
        <v>503.70600000000002</v>
      </c>
    </row>
    <row r="63" spans="1:10" x14ac:dyDescent="0.25">
      <c r="B63" s="54"/>
      <c r="C63" s="54"/>
      <c r="D63" s="54"/>
      <c r="E63" s="54"/>
      <c r="F63" s="54"/>
      <c r="G63" s="54"/>
      <c r="H63" s="54"/>
      <c r="I63" s="54"/>
      <c r="J63" s="54"/>
    </row>
    <row r="64" spans="1:10" x14ac:dyDescent="0.25">
      <c r="A64" s="18" t="s">
        <v>214</v>
      </c>
      <c r="B64" s="55">
        <f>B55+B62</f>
        <v>716.67</v>
      </c>
      <c r="C64" s="54"/>
      <c r="D64" s="55">
        <f>D55+D62</f>
        <v>679.18999999999994</v>
      </c>
      <c r="E64" s="54"/>
      <c r="F64" s="55">
        <f>F55+F62</f>
        <v>615.46500000000003</v>
      </c>
      <c r="G64" s="54"/>
      <c r="H64" s="55">
        <f>H55+H62</f>
        <v>572.452</v>
      </c>
      <c r="I64" s="54"/>
      <c r="J64" s="55">
        <f>J55+J62</f>
        <v>517.43500000000006</v>
      </c>
    </row>
    <row r="65" spans="1:10" x14ac:dyDescent="0.25">
      <c r="B65" s="54"/>
      <c r="C65" s="54"/>
      <c r="D65" s="54"/>
      <c r="E65" s="54"/>
      <c r="F65" s="54"/>
      <c r="G65" s="54"/>
      <c r="H65" s="54"/>
      <c r="I65" s="54"/>
      <c r="J65" s="54"/>
    </row>
    <row r="66" spans="1:10" ht="13.8" thickBot="1" x14ac:dyDescent="0.3">
      <c r="A66" s="18" t="s">
        <v>215</v>
      </c>
      <c r="B66" s="56">
        <f>B49+B64</f>
        <v>1910.6889999999999</v>
      </c>
      <c r="C66" s="54"/>
      <c r="D66" s="56">
        <f>D49+D64</f>
        <v>1841.4409999999998</v>
      </c>
      <c r="E66" s="54"/>
      <c r="F66" s="56">
        <f>F49+F64</f>
        <v>1666.38</v>
      </c>
      <c r="G66" s="54"/>
      <c r="H66" s="56">
        <f>H49+H64</f>
        <v>1606.961</v>
      </c>
      <c r="I66" s="54"/>
      <c r="J66" s="56">
        <f>J49+J64</f>
        <v>1594.4290000000001</v>
      </c>
    </row>
    <row r="67" spans="1:10" ht="13.8" thickTop="1" x14ac:dyDescent="0.25">
      <c r="B67" s="54"/>
      <c r="C67" s="54"/>
      <c r="D67" s="54"/>
      <c r="E67" s="54"/>
      <c r="F67" s="54"/>
      <c r="G67" s="54"/>
      <c r="H67" s="54"/>
      <c r="I67" s="54"/>
      <c r="J67" s="54"/>
    </row>
    <row r="68" spans="1:10" x14ac:dyDescent="0.25">
      <c r="A68" s="18" t="s">
        <v>216</v>
      </c>
    </row>
    <row r="69" spans="1:10" x14ac:dyDescent="0.25">
      <c r="A69" t="s">
        <v>217</v>
      </c>
      <c r="B69" s="53">
        <v>1268.0309999999999</v>
      </c>
    </row>
    <row r="70" spans="1:10" x14ac:dyDescent="0.25">
      <c r="A70" t="s">
        <v>218</v>
      </c>
      <c r="B70" s="53">
        <v>367.892</v>
      </c>
    </row>
  </sheetData>
  <pageMargins left="0.75" right="0.75" top="1" bottom="1" header="0.5" footer="0.5"/>
  <pageSetup scale="73" orientation="portrait" horizontalDpi="300" verticalDpi="300" r:id="rId1"/>
  <headerFooter alignWithMargins="0">
    <oddHeader>&amp;F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workbookViewId="0"/>
  </sheetViews>
  <sheetFormatPr defaultColWidth="9.6640625" defaultRowHeight="13.2" x14ac:dyDescent="0.25"/>
  <cols>
    <col min="1" max="1" width="40.6640625" customWidth="1"/>
    <col min="2" max="2" width="10.6640625" customWidth="1"/>
    <col min="3" max="3" width="5.6640625" customWidth="1"/>
    <col min="4" max="4" width="10.6640625" customWidth="1"/>
    <col min="5" max="5" width="5.6640625" customWidth="1"/>
    <col min="7" max="7" width="5.6640625" customWidth="1"/>
  </cols>
  <sheetData>
    <row r="1" spans="1:6" x14ac:dyDescent="0.25">
      <c r="A1" s="1" t="s">
        <v>89</v>
      </c>
      <c r="B1" s="2"/>
      <c r="C1" s="2"/>
      <c r="D1" s="2"/>
      <c r="E1" s="2"/>
      <c r="F1" s="2"/>
    </row>
    <row r="2" spans="1:6" x14ac:dyDescent="0.25">
      <c r="A2" s="1" t="s">
        <v>219</v>
      </c>
      <c r="B2" s="2"/>
      <c r="C2" s="2"/>
      <c r="D2" s="2"/>
      <c r="E2" s="2"/>
      <c r="F2" s="2"/>
    </row>
    <row r="3" spans="1:6" x14ac:dyDescent="0.25">
      <c r="A3" s="3" t="s">
        <v>2</v>
      </c>
      <c r="B3" s="2"/>
      <c r="C3" s="2"/>
      <c r="D3" s="2"/>
      <c r="E3" s="2"/>
      <c r="F3" s="2"/>
    </row>
    <row r="4" spans="1:6" x14ac:dyDescent="0.25">
      <c r="A4" s="4"/>
    </row>
    <row r="5" spans="1:6" x14ac:dyDescent="0.25">
      <c r="A5" s="4"/>
    </row>
    <row r="6" spans="1:6" x14ac:dyDescent="0.25">
      <c r="A6" s="5" t="s">
        <v>90</v>
      </c>
      <c r="B6" s="6">
        <v>1999</v>
      </c>
      <c r="C6" s="7"/>
      <c r="D6" s="6">
        <v>1998</v>
      </c>
      <c r="E6" s="7"/>
      <c r="F6" s="19"/>
    </row>
    <row r="7" spans="1:6" x14ac:dyDescent="0.25">
      <c r="A7" s="18" t="s">
        <v>26</v>
      </c>
    </row>
    <row r="8" spans="1:6" x14ac:dyDescent="0.25">
      <c r="A8" s="4" t="s">
        <v>27</v>
      </c>
      <c r="B8" s="30">
        <v>2021.9</v>
      </c>
      <c r="D8" s="30">
        <v>2606.1999999999998</v>
      </c>
    </row>
    <row r="9" spans="1:6" x14ac:dyDescent="0.25">
      <c r="A9" s="4" t="s">
        <v>104</v>
      </c>
      <c r="B9" s="13">
        <v>1180.5</v>
      </c>
      <c r="D9" s="13">
        <v>749.5</v>
      </c>
    </row>
    <row r="10" spans="1:6" x14ac:dyDescent="0.25">
      <c r="A10" s="4" t="s">
        <v>29</v>
      </c>
      <c r="B10" s="13">
        <v>4089</v>
      </c>
      <c r="D10" s="13">
        <v>3374.1</v>
      </c>
    </row>
    <row r="11" spans="1:6" x14ac:dyDescent="0.25">
      <c r="A11" s="4" t="s">
        <v>30</v>
      </c>
      <c r="B11" s="13">
        <v>2846.9</v>
      </c>
      <c r="D11" s="13">
        <v>2623.9</v>
      </c>
    </row>
    <row r="12" spans="1:6" x14ac:dyDescent="0.25">
      <c r="A12" s="4" t="s">
        <v>105</v>
      </c>
      <c r="B12" s="29">
        <v>1120.9000000000001</v>
      </c>
      <c r="D12" s="29">
        <v>874.8</v>
      </c>
    </row>
    <row r="13" spans="1:6" x14ac:dyDescent="0.25">
      <c r="A13" s="10" t="s">
        <v>36</v>
      </c>
      <c r="B13" s="13">
        <f>SUM(B8:B12)</f>
        <v>11259.199999999999</v>
      </c>
      <c r="D13" s="13">
        <f>SUM(D8:D12)</f>
        <v>10228.499999999998</v>
      </c>
    </row>
    <row r="14" spans="1:6" x14ac:dyDescent="0.25">
      <c r="A14" s="18" t="s">
        <v>51</v>
      </c>
      <c r="B14" s="13"/>
      <c r="D14" s="13"/>
    </row>
    <row r="15" spans="1:6" x14ac:dyDescent="0.25">
      <c r="A15" s="4" t="s">
        <v>52</v>
      </c>
      <c r="B15" s="30">
        <v>4158.7</v>
      </c>
      <c r="D15" s="30">
        <v>3682.1</v>
      </c>
    </row>
    <row r="16" spans="1:6" x14ac:dyDescent="0.25">
      <c r="A16" s="4" t="s">
        <v>114</v>
      </c>
      <c r="B16" s="13">
        <v>2859</v>
      </c>
      <c r="D16" s="13">
        <v>624.20000000000005</v>
      </c>
    </row>
    <row r="17" spans="1:4" x14ac:dyDescent="0.25">
      <c r="A17" s="4" t="s">
        <v>115</v>
      </c>
      <c r="B17" s="13">
        <v>1064.0999999999999</v>
      </c>
      <c r="D17" s="13">
        <v>1125.0999999999999</v>
      </c>
    </row>
    <row r="18" spans="1:4" x14ac:dyDescent="0.25">
      <c r="A18" s="4" t="s">
        <v>116</v>
      </c>
      <c r="B18" s="29">
        <v>677</v>
      </c>
      <c r="D18" s="29">
        <v>637.4</v>
      </c>
    </row>
    <row r="19" spans="1:4" x14ac:dyDescent="0.25">
      <c r="A19" s="10" t="s">
        <v>56</v>
      </c>
      <c r="B19" s="13">
        <f>SUM(B15:B18)</f>
        <v>8758.7999999999993</v>
      </c>
      <c r="D19" s="13">
        <f>SUM(D15:D18)</f>
        <v>6068.7999999999993</v>
      </c>
    </row>
    <row r="20" spans="1:4" x14ac:dyDescent="0.25">
      <c r="B20" s="13"/>
      <c r="D20" s="13"/>
    </row>
    <row r="21" spans="1:4" x14ac:dyDescent="0.25">
      <c r="A21" s="41" t="s">
        <v>220</v>
      </c>
      <c r="B21" s="43">
        <f>+B13-B19</f>
        <v>2500.3999999999996</v>
      </c>
      <c r="C21" s="42"/>
      <c r="D21" s="44">
        <f>+D13-D19</f>
        <v>4159.6999999999989</v>
      </c>
    </row>
    <row r="22" spans="1:4" x14ac:dyDescent="0.25">
      <c r="B22" s="13"/>
      <c r="D22" s="13"/>
    </row>
    <row r="23" spans="1:4" x14ac:dyDescent="0.25">
      <c r="A23" s="41" t="s">
        <v>106</v>
      </c>
      <c r="B23" s="45">
        <v>4761.5</v>
      </c>
      <c r="C23" s="42"/>
      <c r="D23" s="46">
        <v>3607.7</v>
      </c>
    </row>
    <row r="24" spans="1:4" x14ac:dyDescent="0.25">
      <c r="B24" s="13"/>
      <c r="D24" s="13"/>
    </row>
    <row r="25" spans="1:4" x14ac:dyDescent="0.25">
      <c r="A25" s="18" t="s">
        <v>107</v>
      </c>
      <c r="B25" s="13"/>
      <c r="D25" s="13"/>
    </row>
    <row r="26" spans="1:4" x14ac:dyDescent="0.25">
      <c r="A26" s="4" t="s">
        <v>40</v>
      </c>
      <c r="B26" s="13">
        <v>259.2</v>
      </c>
      <c r="D26" s="13">
        <v>228.8</v>
      </c>
    </row>
    <row r="27" spans="1:4" x14ac:dyDescent="0.25">
      <c r="A27" s="4" t="s">
        <v>38</v>
      </c>
      <c r="B27" s="13">
        <v>4465.8</v>
      </c>
      <c r="D27" s="13">
        <v>3664</v>
      </c>
    </row>
    <row r="28" spans="1:4" x14ac:dyDescent="0.25">
      <c r="A28" s="4" t="s">
        <v>108</v>
      </c>
      <c r="B28" s="13">
        <v>7385.7</v>
      </c>
      <c r="D28" s="13">
        <v>6211.7</v>
      </c>
    </row>
    <row r="29" spans="1:4" x14ac:dyDescent="0.25">
      <c r="A29" s="4" t="s">
        <v>109</v>
      </c>
      <c r="B29" s="29">
        <v>2236.3000000000002</v>
      </c>
      <c r="D29" s="29">
        <v>1782.1</v>
      </c>
    </row>
    <row r="30" spans="1:4" x14ac:dyDescent="0.25">
      <c r="B30" s="13">
        <f>SUM(B26:B29)</f>
        <v>14347</v>
      </c>
      <c r="D30" s="13">
        <f>SUM(D26:D29)</f>
        <v>11886.6</v>
      </c>
    </row>
    <row r="31" spans="1:4" x14ac:dyDescent="0.25">
      <c r="A31" s="4" t="s">
        <v>110</v>
      </c>
      <c r="B31" s="29">
        <v>4670.3</v>
      </c>
      <c r="D31" s="29">
        <v>4042.8</v>
      </c>
    </row>
    <row r="32" spans="1:4" x14ac:dyDescent="0.25">
      <c r="B32" s="13">
        <f>+B30-B31</f>
        <v>9676.7000000000007</v>
      </c>
      <c r="D32" s="13">
        <f>+D30-D31</f>
        <v>7843.8</v>
      </c>
    </row>
    <row r="33" spans="1:4" x14ac:dyDescent="0.25">
      <c r="A33" s="41" t="s">
        <v>221</v>
      </c>
      <c r="B33" s="43">
        <f>+(B30+B32)/2</f>
        <v>12011.85</v>
      </c>
      <c r="C33" s="42"/>
      <c r="D33" s="44">
        <f>+(D30+D32)/2</f>
        <v>9865.2000000000007</v>
      </c>
    </row>
    <row r="36" spans="1:4" x14ac:dyDescent="0.25">
      <c r="A36" s="18" t="s">
        <v>222</v>
      </c>
    </row>
    <row r="37" spans="1:4" x14ac:dyDescent="0.25">
      <c r="A37" t="s">
        <v>223</v>
      </c>
      <c r="B37" s="13">
        <v>2968</v>
      </c>
    </row>
    <row r="38" spans="1:4" x14ac:dyDescent="0.25">
      <c r="A38" t="s">
        <v>224</v>
      </c>
      <c r="B38" s="12">
        <v>67.25</v>
      </c>
    </row>
    <row r="39" spans="1:4" x14ac:dyDescent="0.25">
      <c r="A39" t="s">
        <v>225</v>
      </c>
      <c r="B39" s="14">
        <f>+B37*B38</f>
        <v>199598</v>
      </c>
    </row>
    <row r="40" spans="1:4" x14ac:dyDescent="0.25">
      <c r="A40" t="s">
        <v>226</v>
      </c>
      <c r="B40" s="29">
        <v>3143.9</v>
      </c>
    </row>
    <row r="41" spans="1:4" ht="13.8" thickBot="1" x14ac:dyDescent="0.3">
      <c r="B41" s="47">
        <f>SUM(B39:B40)</f>
        <v>202741.9</v>
      </c>
    </row>
    <row r="42" spans="1:4" ht="13.8" thickTop="1" x14ac:dyDescent="0.25"/>
    <row r="43" spans="1:4" x14ac:dyDescent="0.25">
      <c r="A43" s="18" t="s">
        <v>227</v>
      </c>
    </row>
    <row r="44" spans="1:4" x14ac:dyDescent="0.25">
      <c r="A44" t="s">
        <v>228</v>
      </c>
      <c r="B44" s="30">
        <f>+B21</f>
        <v>2500.3999999999996</v>
      </c>
    </row>
    <row r="45" spans="1:4" x14ac:dyDescent="0.25">
      <c r="A45" t="s">
        <v>229</v>
      </c>
      <c r="B45" s="13">
        <f>+B23</f>
        <v>4761.5</v>
      </c>
    </row>
    <row r="46" spans="1:4" x14ac:dyDescent="0.25">
      <c r="A46" t="s">
        <v>230</v>
      </c>
      <c r="B46" s="13">
        <f>+B33</f>
        <v>12011.85</v>
      </c>
      <c r="D46" s="13"/>
    </row>
    <row r="47" spans="1:4" x14ac:dyDescent="0.25">
      <c r="A47" s="18"/>
      <c r="B47" s="13"/>
      <c r="D47" s="13"/>
    </row>
    <row r="48" spans="1:4" x14ac:dyDescent="0.25">
      <c r="A48" s="18" t="s">
        <v>231</v>
      </c>
      <c r="B48" s="13"/>
      <c r="D48" s="13"/>
    </row>
    <row r="49" spans="1:4" ht="13.8" thickBot="1" x14ac:dyDescent="0.3">
      <c r="A49" s="18" t="s">
        <v>232</v>
      </c>
      <c r="B49" s="48">
        <f>+B41-B44-B45-B46</f>
        <v>183468.15</v>
      </c>
      <c r="D49" s="13"/>
    </row>
    <row r="50" spans="1:4" ht="13.8" thickTop="1" x14ac:dyDescent="0.25">
      <c r="B50" s="13"/>
      <c r="D50" s="13"/>
    </row>
    <row r="51" spans="1:4" x14ac:dyDescent="0.25">
      <c r="A51" s="18"/>
      <c r="B51" s="13"/>
      <c r="D51" s="13"/>
    </row>
    <row r="52" spans="1:4" x14ac:dyDescent="0.25">
      <c r="B52" s="13"/>
      <c r="D52" s="13"/>
    </row>
    <row r="53" spans="1:4" x14ac:dyDescent="0.25">
      <c r="A53" s="18"/>
      <c r="B53" s="13"/>
      <c r="D53" s="13"/>
    </row>
    <row r="54" spans="1:4" x14ac:dyDescent="0.25">
      <c r="A54" s="4"/>
      <c r="B54" s="13"/>
      <c r="D54" s="13"/>
    </row>
    <row r="55" spans="1:4" x14ac:dyDescent="0.25">
      <c r="A55" s="4"/>
      <c r="B55" s="13"/>
      <c r="D55" s="13"/>
    </row>
    <row r="56" spans="1:4" x14ac:dyDescent="0.25">
      <c r="A56" s="4"/>
      <c r="B56" s="38"/>
      <c r="D56" s="38"/>
    </row>
    <row r="57" spans="1:4" x14ac:dyDescent="0.25">
      <c r="A57" s="10"/>
      <c r="B57" s="38"/>
      <c r="D57" s="38"/>
    </row>
    <row r="58" spans="1:4" x14ac:dyDescent="0.25">
      <c r="A58" s="18"/>
      <c r="B58" s="37"/>
      <c r="D58" s="37"/>
    </row>
  </sheetData>
  <pageMargins left="0.75" right="0.75" top="1" bottom="1" header="0.5" footer="0.5"/>
  <pageSetup orientation="portrait" horizontalDpi="300" verticalDpi="300" r:id="rId1"/>
  <headerFooter alignWithMargins="0">
    <oddHeader>FPLC-IPSI-Student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P&amp;G Income Statement</vt:lpstr>
      <vt:lpstr>P&amp;G Balance Sheet</vt:lpstr>
      <vt:lpstr>P&amp;G Cash Flow</vt:lpstr>
      <vt:lpstr>Merck Income Statement</vt:lpstr>
      <vt:lpstr>Merck Balance Sheet</vt:lpstr>
      <vt:lpstr>Merck Cash Flow</vt:lpstr>
      <vt:lpstr>Metals Income Statement</vt:lpstr>
      <vt:lpstr>Metals Balance Sheet</vt:lpstr>
      <vt:lpstr>Merck Valuation</vt:lpstr>
      <vt:lpstr>P&amp;G Ratios</vt:lpstr>
      <vt:lpstr>'Metals Income Statement'!Print_Area</vt:lpstr>
    </vt:vector>
  </TitlesOfParts>
  <Company>AUS Consultants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V. Smith</dc:creator>
  <cp:lastModifiedBy>Aniket Gupta</cp:lastModifiedBy>
  <cp:lastPrinted>2000-04-25T19:38:56Z</cp:lastPrinted>
  <dcterms:created xsi:type="dcterms:W3CDTF">1998-04-27T19:11:55Z</dcterms:created>
  <dcterms:modified xsi:type="dcterms:W3CDTF">2024-02-03T22:29:54Z</dcterms:modified>
</cp:coreProperties>
</file>