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039B7B95-4FFB-4F13-B436-8F891A9CBBCF}" xr6:coauthVersionLast="47" xr6:coauthVersionMax="47" xr10:uidLastSave="{00000000-0000-0000-0000-000000000000}"/>
  <bookViews>
    <workbookView xWindow="3348" yWindow="3348" windowWidth="17280" windowHeight="8880" tabRatio="304"/>
  </bookViews>
  <sheets>
    <sheet name="compoonents" sheetId="2" r:id="rId1"/>
    <sheet name="high_low" sheetId="1" r:id="rId2"/>
    <sheet name="Sheet3" sheetId="3" r:id="rId3"/>
  </sheets>
  <externalReferences>
    <externalReference r:id="rId4"/>
  </externalReferences>
  <definedNames>
    <definedName name="Change_1">compoonents!$B$1:$B$7</definedName>
    <definedName name="Change_1_DR">compoonents!$B$4</definedName>
    <definedName name="Change_1_Inst">compoonents!$B$8:$B$9</definedName>
    <definedName name="Change_2">compoonents!$C$1:$C$7</definedName>
    <definedName name="Change_2_DR">compoonents!$C$4</definedName>
    <definedName name="Change_2_Inst">compoonents!$C$8:$C$9</definedName>
    <definedName name="Change_3">compoonents!$D$1:$D$7</definedName>
    <definedName name="Change_3_DR">compoonents!$D$4</definedName>
    <definedName name="Change_3_Inst">compoonents!$D$8:$D$9</definedName>
    <definedName name="High_1">high_low!$B$1:$B$11</definedName>
    <definedName name="High_1_DR">high_low!$B$4</definedName>
    <definedName name="High_1_Inst">high_low!$B$12:$B$14</definedName>
    <definedName name="High_2">high_low!$C$1:$C$11</definedName>
    <definedName name="High_2_DR">high_low!$C$4</definedName>
    <definedName name="High_2_Inst">high_low!$C$12:$C$14</definedName>
    <definedName name="High_3">high_low!$D$1:$D$11</definedName>
    <definedName name="High_3_DR">high_low!$D$4</definedName>
    <definedName name="High_3_Inst">high_low!$D$12:$D$14</definedName>
    <definedName name="High_4">high_low!$E$1:$E$11</definedName>
    <definedName name="High_4_DR">high_low!$E$4</definedName>
    <definedName name="High_4_Inst">high_low!$E$12:$E$14</definedName>
    <definedName name="High_5">high_low!$F$1:$F$11</definedName>
    <definedName name="High_5_DR">high_low!$F$4</definedName>
    <definedName name="High_5_Inst">high_low!$F$12:$F$14</definedName>
    <definedName name="Inv1_1">high_low!$B$22:$B$32</definedName>
    <definedName name="Inv1_1_DR">high_low!$B$25</definedName>
    <definedName name="Inv1_1_Inst">high_low!$B$33:$B$35</definedName>
    <definedName name="Inv1_2">high_low!$C$22:$C$32</definedName>
    <definedName name="Inv1_2_DR">high_low!$C$25</definedName>
    <definedName name="Inv1_2_Inst">high_low!$C$33:$C$35</definedName>
    <definedName name="Inv1_3">high_low!$D$22:$D$32</definedName>
    <definedName name="Inv1_3_DR">high_low!$D$25</definedName>
    <definedName name="Inv1_3_Inst">high_low!$D$33:$D$35</definedName>
    <definedName name="Inv1_4">high_low!$E$22:$E$32</definedName>
    <definedName name="Inv1_4_DR">high_low!$E$25</definedName>
    <definedName name="Inv1_4_Inst">high_low!$E$33:$E$35</definedName>
    <definedName name="Inv1_5">high_low!$F$22:$F$32</definedName>
    <definedName name="Inv1_5_DR">high_low!$F$25</definedName>
    <definedName name="Inv1_5_Inst">high_low!$F$33:$F$35</definedName>
    <definedName name="Inv2_1">compoonents!$G$1:$G$7</definedName>
    <definedName name="Inv2_1_DR">compoonents!$G$4</definedName>
    <definedName name="Inv2_1_Inst">compoonents!$G$8:$G$10</definedName>
    <definedName name="Inv2_2">compoonents!$H$1:$H$7</definedName>
    <definedName name="Inv2_2_DR">compoonents!$H$4</definedName>
    <definedName name="Inv2_2_Inst">compoonents!$H$8:$H$10</definedName>
    <definedName name="Inv2_3">compoonents!$I$1:$I$7</definedName>
    <definedName name="Inv2_3_DR">compoonents!$I$4</definedName>
    <definedName name="Inv2_3_Inst">compoonents!$I$8:$I$10</definedName>
    <definedName name="Inv3_1">compoonents!$L$1:$L$7</definedName>
    <definedName name="Inv3_1_DR">compoonents!$L$4</definedName>
    <definedName name="Inv3_1_Inst">compoonents!$L$8:$L$10</definedName>
    <definedName name="Inv3_2">compoonents!$M$1:$M$7</definedName>
    <definedName name="Inv3_2_DR">compoonents!$M$4</definedName>
    <definedName name="Inv3_2_Inst">compoonents!$M$8:$M$10</definedName>
    <definedName name="Inv3_3">compoonents!$N$1:$N$7</definedName>
    <definedName name="Inv3_3_DR">compoonents!$N$4</definedName>
    <definedName name="Inv3_3_Inst">compoonents!$N$8:$N$10</definedName>
    <definedName name="Inv4_1">compoonents!$Q$1:$Q$11</definedName>
    <definedName name="Inv4_1_DR">compoonents!$Q$4</definedName>
    <definedName name="Inv4_1_Inst">compoonents!$Q$12:$Q$14</definedName>
    <definedName name="Inv4_2">compoonents!$R$1:$R$11</definedName>
    <definedName name="Inv4_2_DR">compoonents!$R$4</definedName>
    <definedName name="Inv4_2_Inst">compoonents!$R$12:$R$14</definedName>
    <definedName name="Inv4_3">compoonents!$S$1:$S$11</definedName>
    <definedName name="Inv4_3_DR">compoonents!$S$4</definedName>
    <definedName name="Inv4_3_Inst">compoonents!$S$12:$S$14</definedName>
    <definedName name="_Inv5">compoonents!$V$1:$V$11</definedName>
    <definedName name="Inv5_DR">compoonents!$V$4</definedName>
    <definedName name="Inv5_Inst">compoonents!$V$12:$V$14</definedName>
    <definedName name="_Inv6">compoonents!$Y$1:$Y$11</definedName>
    <definedName name="Inv6_DR">compoonents!$Y$4</definedName>
    <definedName name="Inv6_Inst">compoonents!$Y$12:$Y$14</definedName>
    <definedName name="Inv7_1">compoonents!$AB$1:$AB$11</definedName>
    <definedName name="Inv7_1_DR">compoonents!$AB$4</definedName>
    <definedName name="Inv7_1_Inst">compoonents!$AB$12:$AB$14</definedName>
    <definedName name="Inv7_2">compoonents!$AC$1:$AC$11</definedName>
    <definedName name="Inv7_2_DR">compoonents!$AC$4</definedName>
    <definedName name="Inv7_2_Inst">compoonents!$AC$12:$AC$14</definedName>
    <definedName name="Inv7_3">compoonents!$AD$1:$AD$11</definedName>
    <definedName name="Inv7_3_DR">compoonents!$AD$4</definedName>
    <definedName name="Inv7_3_Inst">compoonents!$AD$12:$AD$14</definedName>
    <definedName name="Low_1">high_low!$B$22:$B$32</definedName>
    <definedName name="Low_1_DR">high_low!$B$25</definedName>
    <definedName name="Low_1_Inst">high_low!$B$33:$B$35</definedName>
    <definedName name="Low_2">high_low!$C$22:$C$32</definedName>
    <definedName name="Low_2_DR">high_low!$C$25</definedName>
    <definedName name="Low_2_Inst">high_low!$C$33:$C$35</definedName>
    <definedName name="Low_3">high_low!$D$22:$D$32</definedName>
    <definedName name="Low_3_DR">high_low!$D$25</definedName>
    <definedName name="Low_3_Inst">high_low!$D$33:$D$35</definedName>
    <definedName name="Low_4">high_low!$E$22:$E$32</definedName>
    <definedName name="Low_4_DR">high_low!$E$25</definedName>
    <definedName name="Low_4_Inst">high_low!$E$33:$E$35</definedName>
    <definedName name="Low_5">high_low!$F$22:$F$32</definedName>
    <definedName name="Low_5_DR">high_low!$F$25</definedName>
    <definedName name="Low_5_Inst">high_low!$F$33:$F$35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C10" i="2"/>
  <c r="D10" i="2"/>
  <c r="B11" i="2"/>
  <c r="C11" i="2"/>
  <c r="D11" i="2"/>
  <c r="G11" i="2"/>
  <c r="H11" i="2"/>
  <c r="I11" i="2"/>
  <c r="L11" i="2"/>
  <c r="M11" i="2"/>
  <c r="N11" i="2"/>
  <c r="B12" i="2"/>
  <c r="C12" i="2"/>
  <c r="D12" i="2"/>
  <c r="G12" i="2"/>
  <c r="H12" i="2"/>
  <c r="I12" i="2"/>
  <c r="L12" i="2"/>
  <c r="M12" i="2"/>
  <c r="N12" i="2"/>
  <c r="G13" i="2"/>
  <c r="H13" i="2"/>
  <c r="I13" i="2"/>
  <c r="L13" i="2"/>
  <c r="M13" i="2"/>
  <c r="N13" i="2"/>
  <c r="Q15" i="2"/>
  <c r="R15" i="2"/>
  <c r="S15" i="2"/>
  <c r="V15" i="2"/>
  <c r="Y15" i="2"/>
  <c r="AB15" i="2"/>
  <c r="AC15" i="2"/>
  <c r="AD15" i="2"/>
  <c r="Q16" i="2"/>
  <c r="R16" i="2"/>
  <c r="S16" i="2"/>
  <c r="V16" i="2"/>
  <c r="Y16" i="2"/>
  <c r="AB16" i="2"/>
  <c r="AC16" i="2"/>
  <c r="AD16" i="2"/>
  <c r="Q17" i="2"/>
  <c r="R17" i="2"/>
  <c r="S17" i="2"/>
  <c r="V17" i="2"/>
  <c r="Y17" i="2"/>
  <c r="AB17" i="2"/>
  <c r="AC17" i="2"/>
  <c r="AD17" i="2"/>
  <c r="Q18" i="2"/>
  <c r="R18" i="2"/>
  <c r="S18" i="2"/>
  <c r="V18" i="2"/>
  <c r="Y18" i="2"/>
  <c r="AB18" i="2"/>
  <c r="AC18" i="2"/>
  <c r="AD18" i="2"/>
  <c r="Q19" i="2"/>
  <c r="R19" i="2"/>
  <c r="S19" i="2"/>
  <c r="V19" i="2"/>
  <c r="Y19" i="2"/>
  <c r="AB19" i="2"/>
  <c r="AC19" i="2"/>
  <c r="AD19" i="2"/>
  <c r="J3" i="1"/>
  <c r="J5" i="1" s="1"/>
  <c r="C4" i="1"/>
  <c r="D4" i="1"/>
  <c r="E4" i="1" s="1"/>
  <c r="F4" i="1" s="1"/>
  <c r="C12" i="1"/>
  <c r="D12" i="1"/>
  <c r="E12" i="1"/>
  <c r="F12" i="1"/>
  <c r="B15" i="1"/>
  <c r="G15" i="1" s="1"/>
  <c r="C15" i="1"/>
  <c r="D15" i="1"/>
  <c r="E15" i="1"/>
  <c r="F15" i="1"/>
  <c r="B16" i="1"/>
  <c r="G16" i="1" s="1"/>
  <c r="H16" i="1" s="1"/>
  <c r="C16" i="1"/>
  <c r="D16" i="1"/>
  <c r="E16" i="1"/>
  <c r="F16" i="1"/>
  <c r="B17" i="1"/>
  <c r="C17" i="1"/>
  <c r="D17" i="1"/>
  <c r="E17" i="1"/>
  <c r="F17" i="1"/>
  <c r="G17" i="1"/>
  <c r="B18" i="1"/>
  <c r="C18" i="1"/>
  <c r="D18" i="1"/>
  <c r="E18" i="1"/>
  <c r="F18" i="1"/>
  <c r="B19" i="1"/>
  <c r="C19" i="1"/>
  <c r="D19" i="1"/>
  <c r="E19" i="1"/>
  <c r="F19" i="1"/>
  <c r="C25" i="1"/>
  <c r="D25" i="1"/>
  <c r="E25" i="1" s="1"/>
  <c r="F25" i="1" s="1"/>
  <c r="C33" i="1"/>
  <c r="D33" i="1"/>
  <c r="E33" i="1"/>
  <c r="F33" i="1"/>
  <c r="B36" i="1"/>
  <c r="C36" i="1"/>
  <c r="D36" i="1"/>
  <c r="E36" i="1"/>
  <c r="F36" i="1"/>
  <c r="G36" i="1"/>
  <c r="B37" i="1"/>
  <c r="C37" i="1"/>
  <c r="D37" i="1"/>
  <c r="E37" i="1"/>
  <c r="F37" i="1"/>
  <c r="G37" i="1"/>
  <c r="H37" i="1" s="1"/>
  <c r="B38" i="1"/>
  <c r="G38" i="1" s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</calcChain>
</file>

<file path=xl/sharedStrings.xml><?xml version="1.0" encoding="utf-8"?>
<sst xmlns="http://schemas.openxmlformats.org/spreadsheetml/2006/main" count="240" uniqueCount="101">
  <si>
    <t>Inventory</t>
  </si>
  <si>
    <t>High_1</t>
  </si>
  <si>
    <t>High_2</t>
  </si>
  <si>
    <t>High_3</t>
  </si>
  <si>
    <t>High_4</t>
  </si>
  <si>
    <t>High_5</t>
  </si>
  <si>
    <t>Data Name</t>
  </si>
  <si>
    <t>Type</t>
  </si>
  <si>
    <t>Flow Rate (/hour)</t>
  </si>
  <si>
    <t>Product Value (/unit)</t>
  </si>
  <si>
    <t>Holding Cost Rate (%/hour)</t>
  </si>
  <si>
    <t>Other Holding Cost (/hour)</t>
  </si>
  <si>
    <t>Setup Cost (/lot)</t>
  </si>
  <si>
    <t>Setup Time (hours)</t>
  </si>
  <si>
    <t>Unit Processing Time (hours/unit)</t>
  </si>
  <si>
    <t>Maximum Utilization (%)</t>
  </si>
  <si>
    <t>Input Lot Size (units/lot)</t>
  </si>
  <si>
    <t>Bank/Delay/Lot Size</t>
  </si>
  <si>
    <t>Output Lot Size (units/lot)</t>
  </si>
  <si>
    <t>WIP</t>
  </si>
  <si>
    <t>Cycle Time (hours)</t>
  </si>
  <si>
    <t>WIP Cost (/hour)</t>
  </si>
  <si>
    <t>Processors Required</t>
  </si>
  <si>
    <t>Processors Used</t>
  </si>
  <si>
    <t>Total</t>
  </si>
  <si>
    <t>A</t>
  </si>
  <si>
    <t>D</t>
  </si>
  <si>
    <t>B1</t>
  </si>
  <si>
    <t>C</t>
  </si>
  <si>
    <t>B2</t>
  </si>
  <si>
    <t>Hours/month</t>
  </si>
  <si>
    <t>Dem/Month</t>
  </si>
  <si>
    <t>Dem/Hour</t>
  </si>
  <si>
    <t>Process</t>
  </si>
  <si>
    <t>months</t>
  </si>
  <si>
    <t>Low_1</t>
  </si>
  <si>
    <t>Low_2</t>
  </si>
  <si>
    <t>Low_3</t>
  </si>
  <si>
    <t>Low_4</t>
  </si>
  <si>
    <t>Low_5</t>
  </si>
  <si>
    <t>Change_1</t>
  </si>
  <si>
    <t>Change_2</t>
  </si>
  <si>
    <t>Change_3</t>
  </si>
  <si>
    <t>Change</t>
  </si>
  <si>
    <t>Flow Rate (/week)</t>
  </si>
  <si>
    <t>Holding Cost Rate (%/week)</t>
  </si>
  <si>
    <t>Other Holding Cost (/week)</t>
  </si>
  <si>
    <t>Cycle Time (weeks)</t>
  </si>
  <si>
    <t>WIP Cost (/week)</t>
  </si>
  <si>
    <t>Lot Chg 1</t>
  </si>
  <si>
    <t>Lot Chg 2</t>
  </si>
  <si>
    <t>Lot Chg 3</t>
  </si>
  <si>
    <t>Inv2_1</t>
  </si>
  <si>
    <t>Inv2_2</t>
  </si>
  <si>
    <t>Inv2_3</t>
  </si>
  <si>
    <t>Delay</t>
  </si>
  <si>
    <t>Delay Time (weeks)</t>
  </si>
  <si>
    <t>Wait 1</t>
  </si>
  <si>
    <t>Wait 2</t>
  </si>
  <si>
    <t>Wait 3</t>
  </si>
  <si>
    <t>Inv3_1</t>
  </si>
  <si>
    <t>Inv3_2</t>
  </si>
  <si>
    <t>Inv3_3</t>
  </si>
  <si>
    <t>Bank</t>
  </si>
  <si>
    <t>Bank Amount (units)</t>
  </si>
  <si>
    <t>Hold 1</t>
  </si>
  <si>
    <t>Hold 2</t>
  </si>
  <si>
    <t>Hold 3</t>
  </si>
  <si>
    <t>Inv4_1</t>
  </si>
  <si>
    <t>Inv4_2</t>
  </si>
  <si>
    <t>Inv4_3</t>
  </si>
  <si>
    <t>Setup Time (weeks)</t>
  </si>
  <si>
    <t>Unit Processing Time (weeks/unit)</t>
  </si>
  <si>
    <t>Processing Lot Size (units/lot)</t>
  </si>
  <si>
    <t>Operation 1</t>
  </si>
  <si>
    <t>Operation 2</t>
  </si>
  <si>
    <t>Operation 3</t>
  </si>
  <si>
    <t>Inv5</t>
  </si>
  <si>
    <t>Batch</t>
  </si>
  <si>
    <t>Setup Cost (/batch)</t>
  </si>
  <si>
    <t>Batch Time (weeks)</t>
  </si>
  <si>
    <t>Unit Load Time (weeks/unit)</t>
  </si>
  <si>
    <t>Batch Lot Size (units/batch)</t>
  </si>
  <si>
    <t>Batch Processors Required</t>
  </si>
  <si>
    <t>Batch Processors Used</t>
  </si>
  <si>
    <t>Batch Oper.</t>
  </si>
  <si>
    <t>Inv6</t>
  </si>
  <si>
    <t>Transport</t>
  </si>
  <si>
    <t>Setup Cost (/trip)</t>
  </si>
  <si>
    <t>Trip Time (weeks)</t>
  </si>
  <si>
    <t>Transport Lot Size (units)</t>
  </si>
  <si>
    <t>Carriers Required</t>
  </si>
  <si>
    <t>Carriers Used</t>
  </si>
  <si>
    <t>Move</t>
  </si>
  <si>
    <t>Inv7_1</t>
  </si>
  <si>
    <t>Inv7_2</t>
  </si>
  <si>
    <t>Inv7_3</t>
  </si>
  <si>
    <t>Queue</t>
  </si>
  <si>
    <t>Queue 1</t>
  </si>
  <si>
    <t>Queue 2</t>
  </si>
  <si>
    <t>Queue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</si>
</sst>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0"/>
      <name val="Verdana"/>
    </font>
    <font>
      <b/>
      <sz val="10"/>
      <name val="Verdana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1"/>
      </top>
      <bottom style="thin">
        <color indexed="61"/>
      </bottom>
      <diagonal/>
    </border>
    <border>
      <left style="double">
        <color indexed="64"/>
      </left>
      <right/>
      <top style="double">
        <color indexed="64"/>
      </top>
      <bottom style="thin">
        <color indexed="61"/>
      </bottom>
      <diagonal/>
    </border>
    <border>
      <left/>
      <right/>
      <top style="double">
        <color indexed="64"/>
      </top>
      <bottom style="thin">
        <color indexed="61"/>
      </bottom>
      <diagonal/>
    </border>
    <border>
      <left/>
      <right style="double">
        <color indexed="64"/>
      </right>
      <top style="double">
        <color indexed="64"/>
      </top>
      <bottom style="thin">
        <color indexed="61"/>
      </bottom>
      <diagonal/>
    </border>
    <border>
      <left style="double">
        <color indexed="64"/>
      </left>
      <right/>
      <top style="thin">
        <color indexed="61"/>
      </top>
      <bottom style="thin">
        <color indexed="61"/>
      </bottom>
      <diagonal/>
    </border>
    <border>
      <left/>
      <right style="double">
        <color indexed="64"/>
      </right>
      <top style="thin">
        <color indexed="61"/>
      </top>
      <bottom style="thin">
        <color indexed="61"/>
      </bottom>
      <diagonal/>
    </border>
    <border>
      <left style="double">
        <color indexed="64"/>
      </left>
      <right/>
      <top style="thin">
        <color indexed="61"/>
      </top>
      <bottom style="double">
        <color indexed="64"/>
      </bottom>
      <diagonal/>
    </border>
    <border>
      <left/>
      <right/>
      <top style="thin">
        <color indexed="61"/>
      </top>
      <bottom style="double">
        <color indexed="64"/>
      </bottom>
      <diagonal/>
    </border>
    <border>
      <left/>
      <right style="double">
        <color indexed="64"/>
      </right>
      <top style="thin">
        <color indexed="61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1"/>
      </bottom>
      <diagonal/>
    </border>
    <border>
      <left style="double">
        <color indexed="64"/>
      </left>
      <right style="double">
        <color indexed="64"/>
      </right>
      <top style="thin">
        <color indexed="61"/>
      </top>
      <bottom style="thin">
        <color indexed="61"/>
      </bottom>
      <diagonal/>
    </border>
    <border>
      <left style="double">
        <color indexed="64"/>
      </left>
      <right style="double">
        <color indexed="64"/>
      </right>
      <top style="thin">
        <color indexed="61"/>
      </top>
      <bottom style="double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2" borderId="5" xfId="0" applyNumberFormat="1" applyFill="1" applyBorder="1" applyAlignment="1">
      <alignment horizontal="center"/>
    </xf>
    <xf numFmtId="0" fontId="0" fillId="2" borderId="6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2" borderId="10" xfId="0" applyNumberFormat="1" applyFill="1" applyBorder="1"/>
    <xf numFmtId="2" fontId="0" fillId="2" borderId="11" xfId="0" applyNumberFormat="1" applyFill="1" applyBorder="1"/>
    <xf numFmtId="164" fontId="0" fillId="2" borderId="12" xfId="0" applyNumberFormat="1" applyFill="1" applyBorder="1"/>
    <xf numFmtId="2" fontId="0" fillId="2" borderId="13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2" fontId="0" fillId="2" borderId="15" xfId="0" applyNumberFormat="1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1" fontId="0" fillId="2" borderId="18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4" fontId="0" fillId="2" borderId="18" xfId="0" applyNumberFormat="1" applyFill="1" applyBorder="1" applyAlignment="1">
      <alignment horizontal="center"/>
    </xf>
    <xf numFmtId="164" fontId="0" fillId="2" borderId="19" xfId="0" applyNumberFormat="1" applyFill="1" applyBorder="1" applyAlignment="1">
      <alignment horizontal="center"/>
    </xf>
    <xf numFmtId="164" fontId="0" fillId="2" borderId="20" xfId="0" applyNumberFormat="1" applyFill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2" borderId="22" xfId="0" applyNumberFormat="1" applyFill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10" fontId="0" fillId="0" borderId="22" xfId="0" applyNumberFormat="1" applyBorder="1" applyAlignment="1">
      <alignment horizontal="center"/>
    </xf>
    <xf numFmtId="9" fontId="0" fillId="0" borderId="23" xfId="0" applyNumberFormat="1" applyBorder="1" applyAlignment="1">
      <alignment horizontal="center"/>
    </xf>
    <xf numFmtId="0" fontId="0" fillId="0" borderId="23" xfId="0" applyNumberFormat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0" fillId="2" borderId="11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Jensen.lib/inventory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Inv_Mach_Used"/>
      <definedName name="Inv_Utilization"/>
      <definedName name="Inv_WIP"/>
      <definedName name="Inv_WIPCost"/>
      <definedName name="Inv_WIPCycl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30"/>
  <sheetViews>
    <sheetView tabSelected="1" workbookViewId="0"/>
  </sheetViews>
  <sheetFormatPr defaultRowHeight="12.6" x14ac:dyDescent="0.2"/>
  <cols>
    <col min="1" max="1" width="23.7265625" bestFit="1" customWidth="1"/>
    <col min="2" max="5" width="10.90625" customWidth="1"/>
    <col min="6" max="6" width="23.7265625" bestFit="1" customWidth="1"/>
    <col min="7" max="10" width="10.90625" customWidth="1"/>
    <col min="11" max="11" width="23.7265625" bestFit="1" customWidth="1"/>
    <col min="12" max="15" width="10.90625" customWidth="1"/>
    <col min="16" max="16" width="28.26953125" bestFit="1" customWidth="1"/>
    <col min="17" max="20" width="10.90625" customWidth="1"/>
    <col min="21" max="21" width="23.7265625" bestFit="1" customWidth="1"/>
    <col min="22" max="23" width="10.90625" customWidth="1"/>
    <col min="24" max="24" width="23.7265625" bestFit="1" customWidth="1"/>
    <col min="25" max="26" width="10.90625" customWidth="1"/>
    <col min="27" max="27" width="28.26953125" bestFit="1" customWidth="1"/>
    <col min="28" max="256" width="10.90625" customWidth="1"/>
  </cols>
  <sheetData>
    <row r="1" spans="1:30" ht="13.2" thickTop="1" x14ac:dyDescent="0.2">
      <c r="A1" s="22" t="s">
        <v>0</v>
      </c>
      <c r="B1" s="4" t="s">
        <v>49</v>
      </c>
      <c r="C1" s="5" t="s">
        <v>50</v>
      </c>
      <c r="D1" s="6" t="s">
        <v>51</v>
      </c>
      <c r="F1" s="22" t="s">
        <v>0</v>
      </c>
      <c r="G1" s="4" t="s">
        <v>57</v>
      </c>
      <c r="H1" s="5" t="s">
        <v>58</v>
      </c>
      <c r="I1" s="6" t="s">
        <v>59</v>
      </c>
      <c r="K1" s="22" t="s">
        <v>0</v>
      </c>
      <c r="L1" s="4" t="s">
        <v>65</v>
      </c>
      <c r="M1" s="5" t="s">
        <v>66</v>
      </c>
      <c r="N1" s="6" t="s">
        <v>67</v>
      </c>
      <c r="P1" s="22" t="s">
        <v>0</v>
      </c>
      <c r="Q1" s="4" t="s">
        <v>74</v>
      </c>
      <c r="R1" s="5" t="s">
        <v>75</v>
      </c>
      <c r="S1" s="6" t="s">
        <v>76</v>
      </c>
      <c r="U1" s="22" t="s">
        <v>0</v>
      </c>
      <c r="V1" s="42" t="s">
        <v>85</v>
      </c>
      <c r="X1" s="22" t="s">
        <v>0</v>
      </c>
      <c r="Y1" s="42" t="s">
        <v>93</v>
      </c>
      <c r="AA1" s="22" t="s">
        <v>0</v>
      </c>
      <c r="AB1" s="4" t="s">
        <v>98</v>
      </c>
      <c r="AC1" s="5" t="s">
        <v>99</v>
      </c>
      <c r="AD1" s="6" t="s">
        <v>100</v>
      </c>
    </row>
    <row r="2" spans="1:30" x14ac:dyDescent="0.2">
      <c r="A2" s="21" t="s">
        <v>6</v>
      </c>
      <c r="B2" s="7" t="s">
        <v>40</v>
      </c>
      <c r="C2" s="1" t="s">
        <v>41</v>
      </c>
      <c r="D2" s="8" t="s">
        <v>42</v>
      </c>
      <c r="F2" s="21" t="s">
        <v>6</v>
      </c>
      <c r="G2" s="7" t="s">
        <v>52</v>
      </c>
      <c r="H2" s="1" t="s">
        <v>53</v>
      </c>
      <c r="I2" s="8" t="s">
        <v>54</v>
      </c>
      <c r="K2" s="21" t="s">
        <v>6</v>
      </c>
      <c r="L2" s="7" t="s">
        <v>60</v>
      </c>
      <c r="M2" s="1" t="s">
        <v>61</v>
      </c>
      <c r="N2" s="8" t="s">
        <v>62</v>
      </c>
      <c r="P2" s="21" t="s">
        <v>6</v>
      </c>
      <c r="Q2" s="7" t="s">
        <v>68</v>
      </c>
      <c r="R2" s="1" t="s">
        <v>69</v>
      </c>
      <c r="S2" s="8" t="s">
        <v>70</v>
      </c>
      <c r="U2" s="21" t="s">
        <v>6</v>
      </c>
      <c r="V2" s="43" t="s">
        <v>77</v>
      </c>
      <c r="X2" s="21" t="s">
        <v>6</v>
      </c>
      <c r="Y2" s="43" t="s">
        <v>86</v>
      </c>
      <c r="AA2" s="21" t="s">
        <v>6</v>
      </c>
      <c r="AB2" s="7" t="s">
        <v>94</v>
      </c>
      <c r="AC2" s="1" t="s">
        <v>95</v>
      </c>
      <c r="AD2" s="8" t="s">
        <v>96</v>
      </c>
    </row>
    <row r="3" spans="1:30" x14ac:dyDescent="0.2">
      <c r="A3" s="21" t="s">
        <v>7</v>
      </c>
      <c r="B3" s="7" t="s">
        <v>43</v>
      </c>
      <c r="C3" s="1" t="s">
        <v>43</v>
      </c>
      <c r="D3" s="8" t="s">
        <v>43</v>
      </c>
      <c r="F3" s="21" t="s">
        <v>7</v>
      </c>
      <c r="G3" s="7" t="s">
        <v>55</v>
      </c>
      <c r="H3" s="1" t="s">
        <v>55</v>
      </c>
      <c r="I3" s="8" t="s">
        <v>55</v>
      </c>
      <c r="K3" s="21" t="s">
        <v>7</v>
      </c>
      <c r="L3" s="7" t="s">
        <v>63</v>
      </c>
      <c r="M3" s="1" t="s">
        <v>63</v>
      </c>
      <c r="N3" s="8" t="s">
        <v>63</v>
      </c>
      <c r="P3" s="21" t="s">
        <v>7</v>
      </c>
      <c r="Q3" s="7" t="s">
        <v>33</v>
      </c>
      <c r="R3" s="1" t="s">
        <v>33</v>
      </c>
      <c r="S3" s="8" t="s">
        <v>33</v>
      </c>
      <c r="U3" s="21" t="s">
        <v>7</v>
      </c>
      <c r="V3" s="43" t="s">
        <v>78</v>
      </c>
      <c r="X3" s="21" t="s">
        <v>7</v>
      </c>
      <c r="Y3" s="43" t="s">
        <v>87</v>
      </c>
      <c r="AA3" s="21" t="s">
        <v>7</v>
      </c>
      <c r="AB3" s="7" t="s">
        <v>97</v>
      </c>
      <c r="AC3" s="1" t="s">
        <v>97</v>
      </c>
      <c r="AD3" s="8" t="s">
        <v>97</v>
      </c>
    </row>
    <row r="4" spans="1:30" x14ac:dyDescent="0.2">
      <c r="A4" s="21" t="s">
        <v>44</v>
      </c>
      <c r="B4" s="9">
        <v>100</v>
      </c>
      <c r="C4" s="2">
        <v>100</v>
      </c>
      <c r="D4" s="10">
        <v>100</v>
      </c>
      <c r="F4" s="21" t="s">
        <v>44</v>
      </c>
      <c r="G4" s="9">
        <v>100</v>
      </c>
      <c r="H4" s="2">
        <v>200</v>
      </c>
      <c r="I4" s="10">
        <v>100</v>
      </c>
      <c r="K4" s="21" t="s">
        <v>44</v>
      </c>
      <c r="L4" s="9">
        <v>100</v>
      </c>
      <c r="M4" s="2">
        <v>200</v>
      </c>
      <c r="N4" s="10">
        <v>100</v>
      </c>
      <c r="P4" s="21" t="s">
        <v>44</v>
      </c>
      <c r="Q4" s="9">
        <v>100</v>
      </c>
      <c r="R4" s="2">
        <v>100</v>
      </c>
      <c r="S4" s="10">
        <v>100</v>
      </c>
      <c r="U4" s="21" t="s">
        <v>44</v>
      </c>
      <c r="V4" s="44">
        <v>100</v>
      </c>
      <c r="X4" s="21" t="s">
        <v>44</v>
      </c>
      <c r="Y4" s="44">
        <v>100</v>
      </c>
      <c r="AA4" s="21" t="s">
        <v>44</v>
      </c>
      <c r="AB4" s="9">
        <v>100</v>
      </c>
      <c r="AC4" s="2">
        <v>100</v>
      </c>
      <c r="AD4" s="10">
        <v>200</v>
      </c>
    </row>
    <row r="5" spans="1:30" x14ac:dyDescent="0.2">
      <c r="A5" s="21" t="s">
        <v>9</v>
      </c>
      <c r="B5" s="9">
        <v>1000</v>
      </c>
      <c r="C5" s="2">
        <v>1000</v>
      </c>
      <c r="D5" s="10">
        <v>1000</v>
      </c>
      <c r="F5" s="21" t="s">
        <v>9</v>
      </c>
      <c r="G5" s="9">
        <v>10</v>
      </c>
      <c r="H5" s="2">
        <v>10</v>
      </c>
      <c r="I5" s="10">
        <v>10</v>
      </c>
      <c r="K5" s="21" t="s">
        <v>9</v>
      </c>
      <c r="L5" s="9">
        <v>10</v>
      </c>
      <c r="M5" s="2">
        <v>10</v>
      </c>
      <c r="N5" s="10">
        <v>10</v>
      </c>
      <c r="P5" s="21" t="s">
        <v>9</v>
      </c>
      <c r="Q5" s="9">
        <v>10</v>
      </c>
      <c r="R5" s="2">
        <v>10</v>
      </c>
      <c r="S5" s="10">
        <v>10</v>
      </c>
      <c r="U5" s="21" t="s">
        <v>9</v>
      </c>
      <c r="V5" s="44">
        <v>10</v>
      </c>
      <c r="X5" s="21" t="s">
        <v>9</v>
      </c>
      <c r="Y5" s="44">
        <v>10</v>
      </c>
      <c r="AA5" s="21" t="s">
        <v>9</v>
      </c>
      <c r="AB5" s="9">
        <v>10</v>
      </c>
      <c r="AC5" s="2">
        <v>10</v>
      </c>
      <c r="AD5" s="10">
        <v>10</v>
      </c>
    </row>
    <row r="6" spans="1:30" x14ac:dyDescent="0.2">
      <c r="A6" s="21" t="s">
        <v>45</v>
      </c>
      <c r="B6" s="11">
        <v>4.999999888241291E-3</v>
      </c>
      <c r="C6" s="3">
        <v>4.999999888241291E-3</v>
      </c>
      <c r="D6" s="12">
        <v>4.999999888241291E-3</v>
      </c>
      <c r="F6" s="21" t="s">
        <v>45</v>
      </c>
      <c r="G6" s="11">
        <v>4.999999888241291E-3</v>
      </c>
      <c r="H6" s="3">
        <v>4.999999888241291E-3</v>
      </c>
      <c r="I6" s="12">
        <v>4.999999888241291E-3</v>
      </c>
      <c r="K6" s="21" t="s">
        <v>45</v>
      </c>
      <c r="L6" s="11">
        <v>4.999999888241291E-3</v>
      </c>
      <c r="M6" s="3">
        <v>4.999999888241291E-3</v>
      </c>
      <c r="N6" s="12">
        <v>4.999999888241291E-3</v>
      </c>
      <c r="P6" s="21" t="s">
        <v>45</v>
      </c>
      <c r="Q6" s="11">
        <v>4.999999888241291E-3</v>
      </c>
      <c r="R6" s="3">
        <v>4.999999888241291E-3</v>
      </c>
      <c r="S6" s="12">
        <v>4.999999888241291E-3</v>
      </c>
      <c r="U6" s="21" t="s">
        <v>45</v>
      </c>
      <c r="V6" s="45">
        <v>4.999999888241291E-3</v>
      </c>
      <c r="X6" s="21" t="s">
        <v>45</v>
      </c>
      <c r="Y6" s="45">
        <v>4.999999888241291E-3</v>
      </c>
      <c r="AA6" s="21" t="s">
        <v>45</v>
      </c>
      <c r="AB6" s="11">
        <v>4.999999888241291E-3</v>
      </c>
      <c r="AC6" s="3">
        <v>4.999999888241291E-3</v>
      </c>
      <c r="AD6" s="12">
        <v>4.999999888241291E-3</v>
      </c>
    </row>
    <row r="7" spans="1:30" ht="13.2" thickBot="1" x14ac:dyDescent="0.25">
      <c r="A7" s="21" t="s">
        <v>46</v>
      </c>
      <c r="B7" s="18">
        <v>0</v>
      </c>
      <c r="C7" s="19">
        <v>0</v>
      </c>
      <c r="D7" s="20">
        <v>0</v>
      </c>
      <c r="F7" s="21" t="s">
        <v>46</v>
      </c>
      <c r="G7" s="18">
        <v>0</v>
      </c>
      <c r="H7" s="19">
        <v>0</v>
      </c>
      <c r="I7" s="20">
        <v>0</v>
      </c>
      <c r="K7" s="21" t="s">
        <v>46</v>
      </c>
      <c r="L7" s="18">
        <v>0</v>
      </c>
      <c r="M7" s="19">
        <v>0</v>
      </c>
      <c r="N7" s="20">
        <v>0</v>
      </c>
      <c r="P7" s="21" t="s">
        <v>46</v>
      </c>
      <c r="Q7" s="9">
        <v>0</v>
      </c>
      <c r="R7" s="2">
        <v>0</v>
      </c>
      <c r="S7" s="10">
        <v>0</v>
      </c>
      <c r="U7" s="21" t="s">
        <v>46</v>
      </c>
      <c r="V7" s="44">
        <v>0</v>
      </c>
      <c r="X7" s="21" t="s">
        <v>46</v>
      </c>
      <c r="Y7" s="44">
        <v>0</v>
      </c>
      <c r="AA7" s="21" t="s">
        <v>46</v>
      </c>
      <c r="AB7" s="9">
        <v>0</v>
      </c>
      <c r="AC7" s="2">
        <v>0</v>
      </c>
      <c r="AD7" s="10">
        <v>0</v>
      </c>
    </row>
    <row r="8" spans="1:30" ht="13.2" thickTop="1" x14ac:dyDescent="0.2">
      <c r="A8" s="21" t="s">
        <v>16</v>
      </c>
      <c r="B8" s="4">
        <v>80</v>
      </c>
      <c r="C8" s="5">
        <v>70</v>
      </c>
      <c r="D8" s="6">
        <v>60</v>
      </c>
      <c r="F8" s="21" t="s">
        <v>16</v>
      </c>
      <c r="G8" s="4">
        <v>90</v>
      </c>
      <c r="H8" s="5">
        <v>90</v>
      </c>
      <c r="I8" s="6">
        <v>60</v>
      </c>
      <c r="K8" s="21" t="s">
        <v>16</v>
      </c>
      <c r="L8" s="4">
        <v>90</v>
      </c>
      <c r="M8" s="5">
        <v>90</v>
      </c>
      <c r="N8" s="6">
        <v>60</v>
      </c>
      <c r="P8" s="21" t="s">
        <v>12</v>
      </c>
      <c r="Q8" s="9">
        <v>0.20000000298023224</v>
      </c>
      <c r="R8" s="2">
        <v>0.20000000298023224</v>
      </c>
      <c r="S8" s="10">
        <v>0.20000000298023224</v>
      </c>
      <c r="U8" s="21" t="s">
        <v>79</v>
      </c>
      <c r="V8" s="44">
        <v>0.20000000298023224</v>
      </c>
      <c r="X8" s="21" t="s">
        <v>88</v>
      </c>
      <c r="Y8" s="44">
        <v>0.01</v>
      </c>
      <c r="AA8" s="21" t="s">
        <v>12</v>
      </c>
      <c r="AB8" s="9">
        <v>0</v>
      </c>
      <c r="AC8" s="2">
        <v>0</v>
      </c>
      <c r="AD8" s="10">
        <v>0</v>
      </c>
    </row>
    <row r="9" spans="1:30" ht="13.2" thickBot="1" x14ac:dyDescent="0.25">
      <c r="A9" s="21" t="s">
        <v>18</v>
      </c>
      <c r="B9" s="18">
        <v>100</v>
      </c>
      <c r="C9" s="19">
        <v>110</v>
      </c>
      <c r="D9" s="20">
        <v>120</v>
      </c>
      <c r="F9" s="21" t="s">
        <v>56</v>
      </c>
      <c r="G9" s="9">
        <v>0.10000000149011612</v>
      </c>
      <c r="H9" s="2">
        <v>0.10000000149011612</v>
      </c>
      <c r="I9" s="10">
        <v>0.10000000149011612</v>
      </c>
      <c r="K9" s="21" t="s">
        <v>64</v>
      </c>
      <c r="L9" s="9">
        <v>10</v>
      </c>
      <c r="M9" s="2">
        <v>10</v>
      </c>
      <c r="N9" s="10">
        <v>10</v>
      </c>
      <c r="P9" s="21" t="s">
        <v>71</v>
      </c>
      <c r="Q9" s="9">
        <v>9.9999997764825821E-3</v>
      </c>
      <c r="R9" s="2">
        <v>9.9999997764825821E-3</v>
      </c>
      <c r="S9" s="10">
        <v>9.9999997764825821E-3</v>
      </c>
      <c r="U9" s="21" t="s">
        <v>80</v>
      </c>
      <c r="V9" s="44">
        <v>0.1</v>
      </c>
      <c r="X9" s="21" t="s">
        <v>89</v>
      </c>
      <c r="Y9" s="44">
        <v>9.9999997764825821E-3</v>
      </c>
      <c r="AA9" s="21" t="s">
        <v>71</v>
      </c>
      <c r="AB9" s="9">
        <v>9.9999997764825821E-3</v>
      </c>
      <c r="AC9" s="2">
        <v>9.9999997764825821E-3</v>
      </c>
      <c r="AD9" s="10">
        <v>9.9999997764825821E-3</v>
      </c>
    </row>
    <row r="10" spans="1:30" ht="13.8" thickTop="1" thickBot="1" x14ac:dyDescent="0.25">
      <c r="A10" s="21" t="s">
        <v>19</v>
      </c>
      <c r="B10" s="26" t="e">
        <f ca="1">[1]!Inv_WIP(Change_1_Inst,Change_1)</f>
        <v>#NAME?</v>
      </c>
      <c r="C10" s="27" t="e">
        <f ca="1">[1]!Inv_WIP(Change_2_Inst,Change_2)</f>
        <v>#NAME?</v>
      </c>
      <c r="D10" s="28" t="e">
        <f ca="1">[1]!Inv_WIP(Change_3_Inst,Change_3)</f>
        <v>#NAME?</v>
      </c>
      <c r="F10" s="21" t="s">
        <v>18</v>
      </c>
      <c r="G10" s="18">
        <v>90</v>
      </c>
      <c r="H10" s="19">
        <v>90</v>
      </c>
      <c r="I10" s="20">
        <v>120</v>
      </c>
      <c r="K10" s="21" t="s">
        <v>18</v>
      </c>
      <c r="L10" s="18">
        <v>90</v>
      </c>
      <c r="M10" s="19">
        <v>90</v>
      </c>
      <c r="N10" s="20">
        <v>120</v>
      </c>
      <c r="P10" s="21" t="s">
        <v>72</v>
      </c>
      <c r="Q10" s="9">
        <v>8.0000003799796104E-3</v>
      </c>
      <c r="R10" s="2">
        <v>8.0000003799796104E-3</v>
      </c>
      <c r="S10" s="10">
        <v>8.0000003799796104E-3</v>
      </c>
      <c r="U10" s="21" t="s">
        <v>81</v>
      </c>
      <c r="V10" s="44">
        <v>0</v>
      </c>
      <c r="X10" s="21" t="s">
        <v>81</v>
      </c>
      <c r="Y10" s="44">
        <v>1E-3</v>
      </c>
      <c r="AA10" s="21" t="s">
        <v>72</v>
      </c>
      <c r="AB10" s="9">
        <v>8.0000003799796104E-3</v>
      </c>
      <c r="AC10" s="2">
        <v>8.0000003799796104E-3</v>
      </c>
      <c r="AD10" s="10">
        <v>8.0000003799796104E-3</v>
      </c>
    </row>
    <row r="11" spans="1:30" ht="13.8" thickTop="1" thickBot="1" x14ac:dyDescent="0.25">
      <c r="A11" s="21" t="s">
        <v>47</v>
      </c>
      <c r="B11" s="29" t="e">
        <f ca="1">[1]!Inv_WIPCycle(B10,Change_1)</f>
        <v>#NAME?</v>
      </c>
      <c r="C11" s="30" t="e">
        <f ca="1">[1]!Inv_WIPCycle(C10,Change_2)</f>
        <v>#NAME?</v>
      </c>
      <c r="D11" s="31" t="e">
        <f ca="1">[1]!Inv_WIPCycle(D10,Change_3)</f>
        <v>#NAME?</v>
      </c>
      <c r="F11" s="21" t="s">
        <v>19</v>
      </c>
      <c r="G11" s="26" t="e">
        <f ca="1">[1]!Inv_WIP(Inv2_1_Inst,Inv2_1)</f>
        <v>#NAME?</v>
      </c>
      <c r="H11" s="27" t="e">
        <f ca="1">[1]!Inv_WIP(Inv2_2_Inst,Inv2_2)</f>
        <v>#NAME?</v>
      </c>
      <c r="I11" s="28" t="e">
        <f ca="1">[1]!Inv_WIP(Inv2_3_Inst,Inv2_3)</f>
        <v>#NAME?</v>
      </c>
      <c r="K11" s="21" t="s">
        <v>19</v>
      </c>
      <c r="L11" s="26" t="e">
        <f ca="1">[1]!Inv_WIP(Inv3_1_Inst,Inv3_1)</f>
        <v>#NAME?</v>
      </c>
      <c r="M11" s="27" t="e">
        <f ca="1">[1]!Inv_WIP(Inv3_2_Inst,Inv3_2)</f>
        <v>#NAME?</v>
      </c>
      <c r="N11" s="28" t="e">
        <f ca="1">[1]!Inv_WIP(Inv3_3_Inst,Inv3_3)</f>
        <v>#NAME?</v>
      </c>
      <c r="P11" s="21" t="s">
        <v>15</v>
      </c>
      <c r="Q11" s="13">
        <v>0.89999997615814209</v>
      </c>
      <c r="R11" s="14">
        <v>0.9</v>
      </c>
      <c r="S11" s="15">
        <v>0.8</v>
      </c>
      <c r="U11" s="21" t="s">
        <v>15</v>
      </c>
      <c r="V11" s="46">
        <v>0.89999997615814209</v>
      </c>
      <c r="X11" s="21" t="s">
        <v>15</v>
      </c>
      <c r="Y11" s="46">
        <v>1</v>
      </c>
      <c r="AA11" s="21" t="s">
        <v>15</v>
      </c>
      <c r="AB11" s="13">
        <v>0.95</v>
      </c>
      <c r="AC11" s="14">
        <v>0.8</v>
      </c>
      <c r="AD11" s="15">
        <v>0.8</v>
      </c>
    </row>
    <row r="12" spans="1:30" ht="13.8" thickTop="1" thickBot="1" x14ac:dyDescent="0.25">
      <c r="A12" s="21" t="s">
        <v>48</v>
      </c>
      <c r="B12" s="39" t="e">
        <f ca="1">[1]!Inv_WIPCost(Change_1_Inst,Change_1)</f>
        <v>#NAME?</v>
      </c>
      <c r="C12" s="40" t="e">
        <f ca="1">[1]!Inv_WIPCost(Change_2_Inst,Change_2)</f>
        <v>#NAME?</v>
      </c>
      <c r="D12" s="41" t="e">
        <f ca="1">[1]!Inv_WIPCost(Change_3_Inst,Change_3)</f>
        <v>#NAME?</v>
      </c>
      <c r="F12" s="21" t="s">
        <v>47</v>
      </c>
      <c r="G12" s="29" t="e">
        <f ca="1">[1]!Inv_WIPCycle(G11,Inv2_1)</f>
        <v>#NAME?</v>
      </c>
      <c r="H12" s="30" t="e">
        <f ca="1">[1]!Inv_WIPCycle(H11,Inv2_2)</f>
        <v>#NAME?</v>
      </c>
      <c r="I12" s="31" t="e">
        <f ca="1">[1]!Inv_WIPCycle(I11,Inv2_3)</f>
        <v>#NAME?</v>
      </c>
      <c r="K12" s="21" t="s">
        <v>47</v>
      </c>
      <c r="L12" s="29" t="e">
        <f ca="1">[1]!Inv_WIPCycle(L11,Inv3_1)</f>
        <v>#NAME?</v>
      </c>
      <c r="M12" s="30" t="e">
        <f ca="1">[1]!Inv_WIPCycle(M11,Inv3_2)</f>
        <v>#NAME?</v>
      </c>
      <c r="N12" s="31" t="e">
        <f ca="1">[1]!Inv_WIPCycle(N11,Inv3_3)</f>
        <v>#NAME?</v>
      </c>
      <c r="P12" s="21" t="s">
        <v>16</v>
      </c>
      <c r="Q12" s="4">
        <v>1</v>
      </c>
      <c r="R12" s="5">
        <v>1</v>
      </c>
      <c r="S12" s="6">
        <v>10</v>
      </c>
      <c r="U12" s="21" t="s">
        <v>16</v>
      </c>
      <c r="V12" s="42">
        <v>1</v>
      </c>
      <c r="X12" s="21" t="s">
        <v>16</v>
      </c>
      <c r="Y12" s="42">
        <v>5</v>
      </c>
      <c r="AA12" s="21" t="s">
        <v>16</v>
      </c>
      <c r="AB12" s="4">
        <v>1</v>
      </c>
      <c r="AC12" s="5">
        <v>1</v>
      </c>
      <c r="AD12" s="6">
        <v>1</v>
      </c>
    </row>
    <row r="13" spans="1:30" ht="13.8" thickTop="1" thickBot="1" x14ac:dyDescent="0.25">
      <c r="A13" s="21"/>
      <c r="F13" s="21" t="s">
        <v>48</v>
      </c>
      <c r="G13" s="39" t="e">
        <f ca="1">[1]!Inv_WIPCost(Inv2_1_Inst,Inv2_1)</f>
        <v>#NAME?</v>
      </c>
      <c r="H13" s="40" t="e">
        <f ca="1">[1]!Inv_WIPCost(Inv2_2_Inst,Inv2_2)</f>
        <v>#NAME?</v>
      </c>
      <c r="I13" s="41" t="e">
        <f ca="1">[1]!Inv_WIPCost(Inv2_3_Inst,Inv2_3)</f>
        <v>#NAME?</v>
      </c>
      <c r="K13" s="21" t="s">
        <v>48</v>
      </c>
      <c r="L13" s="39" t="e">
        <f ca="1">[1]!Inv_WIPCost(Inv3_1_Inst,Inv3_1)</f>
        <v>#NAME?</v>
      </c>
      <c r="M13" s="40" t="e">
        <f ca="1">[1]!Inv_WIPCost(Inv3_2_Inst,Inv3_2)</f>
        <v>#NAME?</v>
      </c>
      <c r="N13" s="41" t="e">
        <f ca="1">[1]!Inv_WIPCost(Inv3_3_Inst,Inv3_3)</f>
        <v>#NAME?</v>
      </c>
      <c r="P13" s="21" t="s">
        <v>73</v>
      </c>
      <c r="Q13" s="9">
        <v>10</v>
      </c>
      <c r="R13" s="2">
        <v>12</v>
      </c>
      <c r="S13" s="10">
        <v>10</v>
      </c>
      <c r="U13" s="21" t="s">
        <v>82</v>
      </c>
      <c r="V13" s="44">
        <v>20</v>
      </c>
      <c r="X13" s="21" t="s">
        <v>90</v>
      </c>
      <c r="Y13" s="44">
        <v>10</v>
      </c>
      <c r="AA13" s="21" t="s">
        <v>73</v>
      </c>
      <c r="AB13" s="9">
        <v>10</v>
      </c>
      <c r="AC13" s="2">
        <v>10</v>
      </c>
      <c r="AD13" s="10">
        <v>10</v>
      </c>
    </row>
    <row r="14" spans="1:30" ht="13.8" thickTop="1" thickBot="1" x14ac:dyDescent="0.25">
      <c r="A14" s="21"/>
      <c r="F14" s="21"/>
      <c r="K14" s="21"/>
      <c r="P14" s="21" t="s">
        <v>18</v>
      </c>
      <c r="Q14" s="18">
        <v>1</v>
      </c>
      <c r="R14" s="19">
        <v>1</v>
      </c>
      <c r="S14" s="20">
        <v>10</v>
      </c>
      <c r="U14" s="21" t="s">
        <v>18</v>
      </c>
      <c r="V14" s="47">
        <v>1</v>
      </c>
      <c r="X14" s="21" t="s">
        <v>18</v>
      </c>
      <c r="Y14" s="47">
        <v>1</v>
      </c>
      <c r="AA14" s="21" t="s">
        <v>18</v>
      </c>
      <c r="AB14" s="18">
        <v>1</v>
      </c>
      <c r="AC14" s="19">
        <v>1</v>
      </c>
      <c r="AD14" s="20">
        <v>1</v>
      </c>
    </row>
    <row r="15" spans="1:30" ht="13.2" thickTop="1" x14ac:dyDescent="0.2">
      <c r="A15" s="21"/>
      <c r="F15" s="21"/>
      <c r="K15" s="21"/>
      <c r="P15" s="21" t="s">
        <v>19</v>
      </c>
      <c r="Q15" s="26" t="e">
        <f ca="1">[1]!Inv_WIP(Inv4_1_Inst,Inv4_1)</f>
        <v>#NAME?</v>
      </c>
      <c r="R15" s="27" t="e">
        <f ca="1">[1]!Inv_WIP(Inv4_2_Inst,Inv4_2)</f>
        <v>#NAME?</v>
      </c>
      <c r="S15" s="28" t="e">
        <f ca="1">[1]!Inv_WIP(Inv4_3_Inst,Inv4_3)</f>
        <v>#NAME?</v>
      </c>
      <c r="U15" s="21" t="s">
        <v>19</v>
      </c>
      <c r="V15" s="48" t="e">
        <f ca="1">[1]!Inv_WIP(Inv5_Inst,_Inv5)</f>
        <v>#NAME?</v>
      </c>
      <c r="X15" s="21" t="s">
        <v>19</v>
      </c>
      <c r="Y15" s="48" t="e">
        <f ca="1">[1]!Inv_WIP(Inv6_Inst,_Inv6)</f>
        <v>#NAME?</v>
      </c>
      <c r="AA15" s="21" t="s">
        <v>19</v>
      </c>
      <c r="AB15" s="26" t="e">
        <f ca="1">[1]!Inv_WIP(Inv7_1_Inst,Inv7_1)</f>
        <v>#NAME?</v>
      </c>
      <c r="AC15" s="27" t="e">
        <f ca="1">[1]!Inv_WIP(Inv7_2_Inst,Inv7_2)</f>
        <v>#NAME?</v>
      </c>
      <c r="AD15" s="28" t="e">
        <f ca="1">[1]!Inv_WIP(Inv7_3_Inst,Inv7_3)</f>
        <v>#NAME?</v>
      </c>
    </row>
    <row r="16" spans="1:30" x14ac:dyDescent="0.2">
      <c r="A16" s="21"/>
      <c r="F16" s="21"/>
      <c r="K16" s="21"/>
      <c r="P16" s="21" t="s">
        <v>47</v>
      </c>
      <c r="Q16" s="29" t="e">
        <f ca="1">[1]!Inv_WIPCycle(Q15,Inv4_1)</f>
        <v>#NAME?</v>
      </c>
      <c r="R16" s="30" t="e">
        <f ca="1">[1]!Inv_WIPCycle(R15,Inv4_2)</f>
        <v>#NAME?</v>
      </c>
      <c r="S16" s="31" t="e">
        <f ca="1">[1]!Inv_WIPCycle(S15,Inv4_3)</f>
        <v>#NAME?</v>
      </c>
      <c r="U16" s="21" t="s">
        <v>47</v>
      </c>
      <c r="V16" s="49" t="e">
        <f ca="1">[1]!Inv_WIPCycle(V15,_Inv5)</f>
        <v>#NAME?</v>
      </c>
      <c r="X16" s="21" t="s">
        <v>47</v>
      </c>
      <c r="Y16" s="49" t="e">
        <f ca="1">[1]!Inv_WIPCycle(Y15,_Inv6)</f>
        <v>#NAME?</v>
      </c>
      <c r="AA16" s="21" t="s">
        <v>47</v>
      </c>
      <c r="AB16" s="29" t="e">
        <f ca="1">[1]!Inv_WIPCycle(AB15,Inv7_1)</f>
        <v>#NAME?</v>
      </c>
      <c r="AC16" s="30" t="e">
        <f ca="1">[1]!Inv_WIPCycle(AC15,Inv7_2)</f>
        <v>#NAME?</v>
      </c>
      <c r="AD16" s="31" t="e">
        <f ca="1">[1]!Inv_WIPCycle(AD15,Inv7_3)</f>
        <v>#NAME?</v>
      </c>
    </row>
    <row r="17" spans="1:30" x14ac:dyDescent="0.2">
      <c r="A17" s="21"/>
      <c r="F17" s="21"/>
      <c r="K17" s="21"/>
      <c r="P17" s="21" t="s">
        <v>48</v>
      </c>
      <c r="Q17" s="32" t="e">
        <f ca="1">[1]!Inv_WIPCost(Inv4_1_Inst,Inv4_1)</f>
        <v>#NAME?</v>
      </c>
      <c r="R17" s="33" t="e">
        <f ca="1">[1]!Inv_WIPCost(Inv4_2_Inst,Inv4_2)</f>
        <v>#NAME?</v>
      </c>
      <c r="S17" s="34" t="e">
        <f ca="1">[1]!Inv_WIPCost(Inv4_3_Inst,Inv4_3)</f>
        <v>#NAME?</v>
      </c>
      <c r="U17" s="21" t="s">
        <v>48</v>
      </c>
      <c r="V17" s="50" t="e">
        <f ca="1">[1]!Inv_WIPCost(Inv5_Inst,_Inv5)</f>
        <v>#NAME?</v>
      </c>
      <c r="X17" s="21" t="s">
        <v>48</v>
      </c>
      <c r="Y17" s="50" t="e">
        <f ca="1">[1]!Inv_WIPCost(Inv6_Inst,_Inv6)</f>
        <v>#NAME?</v>
      </c>
      <c r="AA17" s="21" t="s">
        <v>48</v>
      </c>
      <c r="AB17" s="32" t="e">
        <f ca="1">[1]!Inv_WIPCost(Inv7_1_Inst,Inv7_1)</f>
        <v>#NAME?</v>
      </c>
      <c r="AC17" s="33" t="e">
        <f ca="1">[1]!Inv_WIPCost(Inv7_2_Inst,Inv7_2)</f>
        <v>#NAME?</v>
      </c>
      <c r="AD17" s="34" t="e">
        <f ca="1">[1]!Inv_WIPCost(Inv7_3_Inst,Inv7_3)</f>
        <v>#NAME?</v>
      </c>
    </row>
    <row r="18" spans="1:30" x14ac:dyDescent="0.2">
      <c r="A18" s="21"/>
      <c r="F18" s="21"/>
      <c r="K18" s="21"/>
      <c r="P18" s="21" t="s">
        <v>22</v>
      </c>
      <c r="Q18" s="29" t="e">
        <f ca="1">[1]!Inv_Utilization(Inv4_1_Inst,Inv4_1)</f>
        <v>#NAME?</v>
      </c>
      <c r="R18" s="30" t="e">
        <f ca="1">[1]!Inv_Utilization(Inv4_2_Inst,Inv4_2)</f>
        <v>#NAME?</v>
      </c>
      <c r="S18" s="31" t="e">
        <f ca="1">[1]!Inv_Utilization(Inv4_3_Inst,Inv4_3)</f>
        <v>#NAME?</v>
      </c>
      <c r="U18" s="21" t="s">
        <v>83</v>
      </c>
      <c r="V18" s="49" t="e">
        <f ca="1">[1]!Inv_Utilization(Inv5_Inst,_Inv5)</f>
        <v>#NAME?</v>
      </c>
      <c r="X18" s="21" t="s">
        <v>91</v>
      </c>
      <c r="Y18" s="49" t="e">
        <f ca="1">[1]!Inv_Utilization(Inv6_Inst,_Inv6)</f>
        <v>#NAME?</v>
      </c>
      <c r="AA18" s="21" t="s">
        <v>22</v>
      </c>
      <c r="AB18" s="29" t="e">
        <f ca="1">[1]!Inv_Utilization(Inv7_1_Inst,Inv7_1)</f>
        <v>#NAME?</v>
      </c>
      <c r="AC18" s="30" t="e">
        <f ca="1">[1]!Inv_Utilization(Inv7_2_Inst,Inv7_2)</f>
        <v>#NAME?</v>
      </c>
      <c r="AD18" s="31" t="e">
        <f ca="1">[1]!Inv_Utilization(Inv7_3_Inst,Inv7_3)</f>
        <v>#NAME?</v>
      </c>
    </row>
    <row r="19" spans="1:30" ht="13.2" thickBot="1" x14ac:dyDescent="0.25">
      <c r="A19" s="21"/>
      <c r="F19" s="21"/>
      <c r="K19" s="21"/>
      <c r="P19" s="21" t="s">
        <v>23</v>
      </c>
      <c r="Q19" s="35" t="e">
        <f ca="1">[1]!Inv_Mach_Used(Inv4_1_Inst,Inv4_1)</f>
        <v>#NAME?</v>
      </c>
      <c r="R19" s="36" t="e">
        <f ca="1">[1]!Inv_Mach_Used(Inv4_2_Inst,Inv4_2)</f>
        <v>#NAME?</v>
      </c>
      <c r="S19" s="37" t="e">
        <f ca="1">[1]!Inv_Mach_Used(Inv4_3_Inst,Inv4_3)</f>
        <v>#NAME?</v>
      </c>
      <c r="U19" s="21" t="s">
        <v>84</v>
      </c>
      <c r="V19" s="51" t="e">
        <f ca="1">[1]!Inv_Mach_Used(Inv5_Inst,_Inv5)</f>
        <v>#NAME?</v>
      </c>
      <c r="X19" s="21" t="s">
        <v>92</v>
      </c>
      <c r="Y19" s="51" t="e">
        <f ca="1">[1]!Inv_Mach_Used(Inv6_Inst,_Inv6)</f>
        <v>#NAME?</v>
      </c>
      <c r="AA19" s="21" t="s">
        <v>23</v>
      </c>
      <c r="AB19" s="35" t="e">
        <f ca="1">[1]!Inv_Mach_Used(Inv7_1_Inst,Inv7_1)</f>
        <v>#NAME?</v>
      </c>
      <c r="AC19" s="36" t="e">
        <f ca="1">[1]!Inv_Mach_Used(Inv7_2_Inst,Inv7_2)</f>
        <v>#NAME?</v>
      </c>
      <c r="AD19" s="37" t="e">
        <f ca="1">[1]!Inv_Mach_Used(Inv7_3_Inst,Inv7_3)</f>
        <v>#NAME?</v>
      </c>
    </row>
    <row r="20" spans="1:30" ht="13.2" thickTop="1" x14ac:dyDescent="0.2">
      <c r="F20" s="21"/>
      <c r="K20" s="21"/>
      <c r="P20" s="21"/>
      <c r="U20" s="21"/>
      <c r="X20" s="21"/>
      <c r="AA20" s="21"/>
    </row>
    <row r="21" spans="1:30" x14ac:dyDescent="0.2">
      <c r="P21" s="21"/>
      <c r="U21" s="21"/>
      <c r="X21" s="21"/>
      <c r="AA21" s="21"/>
    </row>
    <row r="22" spans="1:30" x14ac:dyDescent="0.2">
      <c r="P22" s="21"/>
      <c r="U22" s="21"/>
      <c r="X22" s="21"/>
      <c r="AA22" s="21"/>
    </row>
    <row r="23" spans="1:30" x14ac:dyDescent="0.2">
      <c r="P23" s="21"/>
      <c r="U23" s="21"/>
      <c r="X23" s="21"/>
      <c r="AA23" s="21"/>
    </row>
    <row r="24" spans="1:30" x14ac:dyDescent="0.2">
      <c r="P24" s="21"/>
      <c r="U24" s="21"/>
      <c r="X24" s="21"/>
      <c r="AA24" s="21"/>
    </row>
    <row r="25" spans="1:30" x14ac:dyDescent="0.2">
      <c r="P25" s="21"/>
      <c r="U25" s="21"/>
      <c r="X25" s="21"/>
      <c r="AA25" s="21"/>
    </row>
    <row r="26" spans="1:30" x14ac:dyDescent="0.2">
      <c r="P26" s="21"/>
      <c r="U26" s="21"/>
      <c r="X26" s="21"/>
      <c r="AA26" s="21"/>
    </row>
    <row r="27" spans="1:30" x14ac:dyDescent="0.2">
      <c r="P27" s="21"/>
      <c r="U27" s="21"/>
      <c r="X27" s="21"/>
      <c r="AA27" s="21"/>
    </row>
    <row r="28" spans="1:30" x14ac:dyDescent="0.2">
      <c r="P28" s="21"/>
      <c r="U28" s="21"/>
      <c r="X28" s="21"/>
      <c r="AA28" s="21"/>
    </row>
    <row r="29" spans="1:30" x14ac:dyDescent="0.2">
      <c r="P29" s="21"/>
      <c r="U29" s="21"/>
      <c r="X29" s="21"/>
      <c r="AA29" s="21"/>
    </row>
    <row r="30" spans="1:30" x14ac:dyDescent="0.2">
      <c r="P30" s="21"/>
      <c r="U30" s="21"/>
      <c r="X30" s="21"/>
      <c r="AA30" s="21"/>
    </row>
  </sheetData>
  <phoneticPr fontId="2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1"/>
  <sheetViews>
    <sheetView workbookViewId="0">
      <selection activeCell="J8" sqref="J8"/>
    </sheetView>
  </sheetViews>
  <sheetFormatPr defaultRowHeight="12.6" x14ac:dyDescent="0.2"/>
  <cols>
    <col min="1" max="1" width="27.81640625" bestFit="1" customWidth="1"/>
    <col min="2" max="256" width="10.90625" customWidth="1"/>
  </cols>
  <sheetData>
    <row r="1" spans="1:10" ht="13.2" thickTop="1" x14ac:dyDescent="0.2">
      <c r="A1" s="22" t="s">
        <v>0</v>
      </c>
      <c r="B1" s="4" t="s">
        <v>26</v>
      </c>
      <c r="C1" s="5" t="s">
        <v>27</v>
      </c>
      <c r="D1" s="5" t="s">
        <v>28</v>
      </c>
      <c r="E1" s="5" t="s">
        <v>29</v>
      </c>
      <c r="F1" s="6" t="s">
        <v>25</v>
      </c>
    </row>
    <row r="2" spans="1:10" x14ac:dyDescent="0.2">
      <c r="A2" s="21" t="s">
        <v>6</v>
      </c>
      <c r="B2" s="7" t="s">
        <v>1</v>
      </c>
      <c r="C2" s="1" t="s">
        <v>2</v>
      </c>
      <c r="D2" s="1" t="s">
        <v>3</v>
      </c>
      <c r="E2" s="1" t="s">
        <v>4</v>
      </c>
      <c r="F2" s="8" t="s">
        <v>5</v>
      </c>
    </row>
    <row r="3" spans="1:10" x14ac:dyDescent="0.2">
      <c r="A3" s="21" t="s">
        <v>7</v>
      </c>
      <c r="B3" s="9" t="s">
        <v>33</v>
      </c>
      <c r="C3" s="2" t="s">
        <v>33</v>
      </c>
      <c r="D3" s="2" t="s">
        <v>33</v>
      </c>
      <c r="E3" s="2" t="s">
        <v>33</v>
      </c>
      <c r="F3" s="10" t="s">
        <v>33</v>
      </c>
      <c r="I3" s="38" t="s">
        <v>30</v>
      </c>
      <c r="J3">
        <f>30*24</f>
        <v>720</v>
      </c>
    </row>
    <row r="4" spans="1:10" x14ac:dyDescent="0.2">
      <c r="A4" s="21" t="s">
        <v>8</v>
      </c>
      <c r="B4" s="9">
        <v>1</v>
      </c>
      <c r="C4" s="1">
        <f>B4</f>
        <v>1</v>
      </c>
      <c r="D4" s="1">
        <f>C4</f>
        <v>1</v>
      </c>
      <c r="E4" s="1">
        <f>D4</f>
        <v>1</v>
      </c>
      <c r="F4" s="8">
        <f>E4</f>
        <v>1</v>
      </c>
      <c r="I4" t="s">
        <v>31</v>
      </c>
      <c r="J4">
        <v>1000</v>
      </c>
    </row>
    <row r="5" spans="1:10" x14ac:dyDescent="0.2">
      <c r="A5" s="21" t="s">
        <v>9</v>
      </c>
      <c r="B5" s="9">
        <v>1000</v>
      </c>
      <c r="C5" s="2">
        <v>1000</v>
      </c>
      <c r="D5" s="2">
        <v>1000</v>
      </c>
      <c r="E5" s="2">
        <v>1000</v>
      </c>
      <c r="F5" s="10">
        <v>1000</v>
      </c>
      <c r="I5" t="s">
        <v>32</v>
      </c>
      <c r="J5">
        <f>J4/J3</f>
        <v>1.3888888888888888</v>
      </c>
    </row>
    <row r="6" spans="1:10" x14ac:dyDescent="0.2">
      <c r="A6" s="21" t="s">
        <v>10</v>
      </c>
      <c r="B6" s="11">
        <v>4.999999888241291E-3</v>
      </c>
      <c r="C6" s="3">
        <v>4.999999888241291E-3</v>
      </c>
      <c r="D6" s="3">
        <v>4.999999888241291E-3</v>
      </c>
      <c r="E6" s="3">
        <v>4.999999888241291E-3</v>
      </c>
      <c r="F6" s="12">
        <v>4.999999888241291E-3</v>
      </c>
    </row>
    <row r="7" spans="1:10" x14ac:dyDescent="0.2">
      <c r="A7" s="21" t="s">
        <v>11</v>
      </c>
      <c r="B7" s="9">
        <v>0</v>
      </c>
      <c r="C7" s="2">
        <v>0</v>
      </c>
      <c r="D7" s="2">
        <v>0</v>
      </c>
      <c r="E7" s="2">
        <v>0</v>
      </c>
      <c r="F7" s="10">
        <v>0</v>
      </c>
    </row>
    <row r="8" spans="1:10" x14ac:dyDescent="0.2">
      <c r="A8" s="21" t="s">
        <v>12</v>
      </c>
      <c r="B8" s="9">
        <v>0</v>
      </c>
      <c r="C8" s="2">
        <v>0</v>
      </c>
      <c r="D8" s="2">
        <v>0</v>
      </c>
      <c r="E8" s="2">
        <v>0</v>
      </c>
      <c r="F8" s="10">
        <v>0</v>
      </c>
    </row>
    <row r="9" spans="1:10" x14ac:dyDescent="0.2">
      <c r="A9" s="21" t="s">
        <v>13</v>
      </c>
      <c r="B9" s="9">
        <v>0</v>
      </c>
      <c r="C9" s="2">
        <v>0</v>
      </c>
      <c r="D9" s="2">
        <v>0</v>
      </c>
      <c r="E9" s="2">
        <v>0</v>
      </c>
      <c r="F9" s="10">
        <v>0</v>
      </c>
    </row>
    <row r="10" spans="1:10" x14ac:dyDescent="0.2">
      <c r="A10" s="21" t="s">
        <v>14</v>
      </c>
      <c r="B10" s="9">
        <v>0.75</v>
      </c>
      <c r="C10" s="2">
        <v>0.1</v>
      </c>
      <c r="D10" s="2">
        <v>1</v>
      </c>
      <c r="E10" s="2">
        <v>0.1</v>
      </c>
      <c r="F10" s="10">
        <v>0.5</v>
      </c>
    </row>
    <row r="11" spans="1:10" ht="13.2" thickBot="1" x14ac:dyDescent="0.25">
      <c r="A11" s="21" t="s">
        <v>15</v>
      </c>
      <c r="B11" s="13">
        <v>1</v>
      </c>
      <c r="C11" s="14">
        <v>1</v>
      </c>
      <c r="D11" s="14">
        <v>1</v>
      </c>
      <c r="E11" s="14">
        <v>1</v>
      </c>
      <c r="F11" s="15">
        <v>1</v>
      </c>
    </row>
    <row r="12" spans="1:10" ht="13.2" thickTop="1" x14ac:dyDescent="0.2">
      <c r="A12" s="21" t="s">
        <v>16</v>
      </c>
      <c r="B12" s="4">
        <v>1</v>
      </c>
      <c r="C12" s="16">
        <f>B14</f>
        <v>1000</v>
      </c>
      <c r="D12" s="16">
        <f>C14</f>
        <v>1000</v>
      </c>
      <c r="E12" s="16">
        <f>D14</f>
        <v>1000</v>
      </c>
      <c r="F12" s="17">
        <f>E14</f>
        <v>1000</v>
      </c>
    </row>
    <row r="13" spans="1:10" x14ac:dyDescent="0.2">
      <c r="A13" s="21" t="s">
        <v>17</v>
      </c>
      <c r="B13" s="9">
        <v>1</v>
      </c>
      <c r="C13" s="2">
        <v>1000</v>
      </c>
      <c r="D13" s="2">
        <v>1000</v>
      </c>
      <c r="E13" s="2">
        <v>1000</v>
      </c>
      <c r="F13" s="10">
        <v>1</v>
      </c>
    </row>
    <row r="14" spans="1:10" ht="13.2" thickBot="1" x14ac:dyDescent="0.25">
      <c r="A14" s="21" t="s">
        <v>18</v>
      </c>
      <c r="B14" s="18">
        <v>1000</v>
      </c>
      <c r="C14" s="19">
        <v>1000</v>
      </c>
      <c r="D14" s="19">
        <v>1000</v>
      </c>
      <c r="E14" s="19">
        <v>1000</v>
      </c>
      <c r="F14" s="20">
        <v>1</v>
      </c>
      <c r="G14" s="22" t="s">
        <v>24</v>
      </c>
    </row>
    <row r="15" spans="1:10" ht="13.2" thickTop="1" x14ac:dyDescent="0.2">
      <c r="A15" s="21" t="s">
        <v>19</v>
      </c>
      <c r="B15" s="26" t="e">
        <f ca="1">[1]!Inv_WIP(High_1_Inst,High_1)</f>
        <v>#NAME?</v>
      </c>
      <c r="C15" s="27" t="e">
        <f ca="1">[1]!Inv_WIP(High_2_Inst,High_2)</f>
        <v>#NAME?</v>
      </c>
      <c r="D15" s="27" t="e">
        <f ca="1">[1]!Inv_WIP(High_3_Inst,High_3)</f>
        <v>#NAME?</v>
      </c>
      <c r="E15" s="27" t="e">
        <f ca="1">[1]!Inv_WIP(High_4_Inst,High_4)</f>
        <v>#NAME?</v>
      </c>
      <c r="F15" s="28" t="e">
        <f ca="1">[1]!Inv_WIP(High_5_Inst,High_5)</f>
        <v>#NAME?</v>
      </c>
      <c r="G15" s="23" t="e">
        <f ca="1">SUM(B15:F15)</f>
        <v>#NAME?</v>
      </c>
    </row>
    <row r="16" spans="1:10" x14ac:dyDescent="0.2">
      <c r="A16" s="21" t="s">
        <v>20</v>
      </c>
      <c r="B16" s="29" t="e">
        <f ca="1">[1]!Inv_WIPCycle(B15,High_1)</f>
        <v>#NAME?</v>
      </c>
      <c r="C16" s="30" t="e">
        <f ca="1">[1]!Inv_WIPCycle(C15,High_2)</f>
        <v>#NAME?</v>
      </c>
      <c r="D16" s="30" t="e">
        <f ca="1">[1]!Inv_WIPCycle(D15,High_3)</f>
        <v>#NAME?</v>
      </c>
      <c r="E16" s="30" t="e">
        <f ca="1">[1]!Inv_WIPCycle(E15,High_4)</f>
        <v>#NAME?</v>
      </c>
      <c r="F16" s="31" t="e">
        <f ca="1">[1]!Inv_WIPCycle(F15,High_5)</f>
        <v>#NAME?</v>
      </c>
      <c r="G16" s="24" t="e">
        <f ca="1">SUM(B16:F16)</f>
        <v>#NAME?</v>
      </c>
      <c r="H16" t="e">
        <f ca="1">G16/J3</f>
        <v>#NAME?</v>
      </c>
      <c r="I16" t="s">
        <v>34</v>
      </c>
    </row>
    <row r="17" spans="1:7" ht="13.2" thickBot="1" x14ac:dyDescent="0.25">
      <c r="A17" s="21" t="s">
        <v>21</v>
      </c>
      <c r="B17" s="32" t="e">
        <f ca="1">[1]!Inv_WIPCost(High_1_Inst,High_1)</f>
        <v>#NAME?</v>
      </c>
      <c r="C17" s="33" t="e">
        <f ca="1">[1]!Inv_WIPCost(High_2_Inst,High_2)</f>
        <v>#NAME?</v>
      </c>
      <c r="D17" s="33" t="e">
        <f ca="1">[1]!Inv_WIPCost(High_3_Inst,High_3)</f>
        <v>#NAME?</v>
      </c>
      <c r="E17" s="33" t="e">
        <f ca="1">[1]!Inv_WIPCost(High_4_Inst,High_4)</f>
        <v>#NAME?</v>
      </c>
      <c r="F17" s="34" t="e">
        <f ca="1">[1]!Inv_WIPCost(High_5_Inst,High_5)</f>
        <v>#NAME?</v>
      </c>
      <c r="G17" s="25" t="e">
        <f ca="1">SUM(B17:F17)</f>
        <v>#NAME?</v>
      </c>
    </row>
    <row r="18" spans="1:7" ht="13.2" thickTop="1" x14ac:dyDescent="0.2">
      <c r="A18" s="21" t="s">
        <v>22</v>
      </c>
      <c r="B18" s="29" t="e">
        <f ca="1">[1]!Inv_Utilization(High_1_Inst,High_1)</f>
        <v>#NAME?</v>
      </c>
      <c r="C18" s="30" t="e">
        <f ca="1">[1]!Inv_Utilization(High_2_Inst,High_2)</f>
        <v>#NAME?</v>
      </c>
      <c r="D18" s="30" t="e">
        <f ca="1">[1]!Inv_Utilization(High_3_Inst,High_3)</f>
        <v>#NAME?</v>
      </c>
      <c r="E18" s="30" t="e">
        <f ca="1">[1]!Inv_Utilization(High_4_Inst,High_4)</f>
        <v>#NAME?</v>
      </c>
      <c r="F18" s="31" t="e">
        <f ca="1">[1]!Inv_Utilization(High_5_Inst,High_5)</f>
        <v>#NAME?</v>
      </c>
    </row>
    <row r="19" spans="1:7" ht="13.2" thickBot="1" x14ac:dyDescent="0.25">
      <c r="A19" s="21" t="s">
        <v>23</v>
      </c>
      <c r="B19" s="35" t="e">
        <f ca="1">[1]!Inv_Mach_Used(High_1_Inst,High_1)</f>
        <v>#NAME?</v>
      </c>
      <c r="C19" s="36" t="e">
        <f ca="1">[1]!Inv_Mach_Used(High_2_Inst,High_2)</f>
        <v>#NAME?</v>
      </c>
      <c r="D19" s="36" t="e">
        <f ca="1">[1]!Inv_Mach_Used(High_3_Inst,High_3)</f>
        <v>#NAME?</v>
      </c>
      <c r="E19" s="36" t="e">
        <f ca="1">[1]!Inv_Mach_Used(High_4_Inst,High_4)</f>
        <v>#NAME?</v>
      </c>
      <c r="F19" s="37" t="e">
        <f ca="1">[1]!Inv_Mach_Used(High_5_Inst,High_5)</f>
        <v>#NAME?</v>
      </c>
    </row>
    <row r="20" spans="1:7" ht="13.2" thickTop="1" x14ac:dyDescent="0.2">
      <c r="A20" s="21"/>
    </row>
    <row r="21" spans="1:7" ht="13.2" thickBot="1" x14ac:dyDescent="0.25">
      <c r="A21" s="21"/>
    </row>
    <row r="22" spans="1:7" ht="13.2" thickTop="1" x14ac:dyDescent="0.2">
      <c r="A22" s="22" t="s">
        <v>0</v>
      </c>
      <c r="B22" s="4" t="s">
        <v>26</v>
      </c>
      <c r="C22" s="5" t="s">
        <v>27</v>
      </c>
      <c r="D22" s="5" t="s">
        <v>28</v>
      </c>
      <c r="E22" s="5" t="s">
        <v>29</v>
      </c>
      <c r="F22" s="6" t="s">
        <v>25</v>
      </c>
    </row>
    <row r="23" spans="1:7" x14ac:dyDescent="0.2">
      <c r="A23" s="21" t="s">
        <v>6</v>
      </c>
      <c r="B23" s="7" t="s">
        <v>35</v>
      </c>
      <c r="C23" s="1" t="s">
        <v>36</v>
      </c>
      <c r="D23" s="1" t="s">
        <v>37</v>
      </c>
      <c r="E23" s="1" t="s">
        <v>38</v>
      </c>
      <c r="F23" s="8" t="s">
        <v>39</v>
      </c>
    </row>
    <row r="24" spans="1:7" x14ac:dyDescent="0.2">
      <c r="A24" s="21" t="s">
        <v>7</v>
      </c>
      <c r="B24" s="9" t="s">
        <v>33</v>
      </c>
      <c r="C24" s="2" t="s">
        <v>33</v>
      </c>
      <c r="D24" s="2" t="s">
        <v>33</v>
      </c>
      <c r="E24" s="2" t="s">
        <v>33</v>
      </c>
      <c r="F24" s="10" t="s">
        <v>33</v>
      </c>
    </row>
    <row r="25" spans="1:7" x14ac:dyDescent="0.2">
      <c r="A25" s="21" t="s">
        <v>8</v>
      </c>
      <c r="B25" s="9">
        <v>1</v>
      </c>
      <c r="C25" s="1">
        <f>B25</f>
        <v>1</v>
      </c>
      <c r="D25" s="1">
        <f>C25</f>
        <v>1</v>
      </c>
      <c r="E25" s="1">
        <f>D25</f>
        <v>1</v>
      </c>
      <c r="F25" s="8">
        <f>E25</f>
        <v>1</v>
      </c>
    </row>
    <row r="26" spans="1:7" x14ac:dyDescent="0.2">
      <c r="A26" s="21" t="s">
        <v>9</v>
      </c>
      <c r="B26" s="9">
        <v>1000</v>
      </c>
      <c r="C26" s="2">
        <v>1000</v>
      </c>
      <c r="D26" s="2">
        <v>1000</v>
      </c>
      <c r="E26" s="2">
        <v>1000</v>
      </c>
      <c r="F26" s="10">
        <v>1000</v>
      </c>
    </row>
    <row r="27" spans="1:7" x14ac:dyDescent="0.2">
      <c r="A27" s="21" t="s">
        <v>10</v>
      </c>
      <c r="B27" s="11">
        <v>4.999999888241291E-3</v>
      </c>
      <c r="C27" s="3">
        <v>4.999999888241291E-3</v>
      </c>
      <c r="D27" s="3">
        <v>4.999999888241291E-3</v>
      </c>
      <c r="E27" s="3">
        <v>4.999999888241291E-3</v>
      </c>
      <c r="F27" s="12">
        <v>4.999999888241291E-3</v>
      </c>
    </row>
    <row r="28" spans="1:7" x14ac:dyDescent="0.2">
      <c r="A28" s="21" t="s">
        <v>11</v>
      </c>
      <c r="B28" s="9">
        <v>0</v>
      </c>
      <c r="C28" s="2">
        <v>0</v>
      </c>
      <c r="D28" s="2">
        <v>0</v>
      </c>
      <c r="E28" s="2">
        <v>0</v>
      </c>
      <c r="F28" s="10">
        <v>0</v>
      </c>
    </row>
    <row r="29" spans="1:7" x14ac:dyDescent="0.2">
      <c r="A29" s="21" t="s">
        <v>12</v>
      </c>
      <c r="B29" s="9">
        <v>0</v>
      </c>
      <c r="C29" s="2">
        <v>0</v>
      </c>
      <c r="D29" s="2">
        <v>0</v>
      </c>
      <c r="E29" s="2">
        <v>0</v>
      </c>
      <c r="F29" s="10">
        <v>0</v>
      </c>
    </row>
    <row r="30" spans="1:7" x14ac:dyDescent="0.2">
      <c r="A30" s="21" t="s">
        <v>13</v>
      </c>
      <c r="B30" s="9">
        <v>0</v>
      </c>
      <c r="C30" s="2">
        <v>0</v>
      </c>
      <c r="D30" s="2">
        <v>0</v>
      </c>
      <c r="E30" s="2">
        <v>0</v>
      </c>
      <c r="F30" s="10">
        <v>0</v>
      </c>
    </row>
    <row r="31" spans="1:7" x14ac:dyDescent="0.2">
      <c r="A31" s="21" t="s">
        <v>14</v>
      </c>
      <c r="B31" s="9">
        <v>0.75</v>
      </c>
      <c r="C31" s="2">
        <v>0.1</v>
      </c>
      <c r="D31" s="2">
        <v>1</v>
      </c>
      <c r="E31" s="2">
        <v>0.1</v>
      </c>
      <c r="F31" s="10">
        <v>0.5</v>
      </c>
    </row>
    <row r="32" spans="1:7" ht="13.2" thickBot="1" x14ac:dyDescent="0.25">
      <c r="A32" s="21" t="s">
        <v>15</v>
      </c>
      <c r="B32" s="13">
        <v>1</v>
      </c>
      <c r="C32" s="14">
        <v>1</v>
      </c>
      <c r="D32" s="14">
        <v>1</v>
      </c>
      <c r="E32" s="14">
        <v>1</v>
      </c>
      <c r="F32" s="15">
        <v>1</v>
      </c>
    </row>
    <row r="33" spans="1:9" ht="13.2" thickTop="1" x14ac:dyDescent="0.2">
      <c r="A33" s="21" t="s">
        <v>16</v>
      </c>
      <c r="B33" s="4">
        <v>1</v>
      </c>
      <c r="C33" s="16">
        <f>B35</f>
        <v>200</v>
      </c>
      <c r="D33" s="16">
        <f>C35</f>
        <v>200</v>
      </c>
      <c r="E33" s="16">
        <f>D35</f>
        <v>200</v>
      </c>
      <c r="F33" s="17">
        <f>E35</f>
        <v>200</v>
      </c>
    </row>
    <row r="34" spans="1:9" x14ac:dyDescent="0.2">
      <c r="A34" s="21" t="s">
        <v>17</v>
      </c>
      <c r="B34" s="9">
        <v>1</v>
      </c>
      <c r="C34" s="2">
        <v>200</v>
      </c>
      <c r="D34" s="2">
        <v>200</v>
      </c>
      <c r="E34" s="2">
        <v>200</v>
      </c>
      <c r="F34" s="10">
        <v>1</v>
      </c>
    </row>
    <row r="35" spans="1:9" ht="13.2" thickBot="1" x14ac:dyDescent="0.25">
      <c r="A35" s="21" t="s">
        <v>18</v>
      </c>
      <c r="B35" s="18">
        <v>200</v>
      </c>
      <c r="C35" s="19">
        <v>200</v>
      </c>
      <c r="D35" s="19">
        <v>200</v>
      </c>
      <c r="E35" s="19">
        <v>200</v>
      </c>
      <c r="F35" s="20">
        <v>200</v>
      </c>
      <c r="G35" s="22" t="s">
        <v>24</v>
      </c>
    </row>
    <row r="36" spans="1:9" ht="13.2" thickTop="1" x14ac:dyDescent="0.2">
      <c r="A36" s="21" t="s">
        <v>19</v>
      </c>
      <c r="B36" s="26" t="e">
        <f ca="1">[1]!Inv_WIP(Low_1_Inst,Low_1)</f>
        <v>#NAME?</v>
      </c>
      <c r="C36" s="27" t="e">
        <f ca="1">[1]!Inv_WIP(Low_2_Inst,Low_2)</f>
        <v>#NAME?</v>
      </c>
      <c r="D36" s="27" t="e">
        <f ca="1">[1]!Inv_WIP(Low_3_Inst,Low_3)</f>
        <v>#NAME?</v>
      </c>
      <c r="E36" s="27" t="e">
        <f ca="1">[1]!Inv_WIP(Low_4_Inst,Low_4)</f>
        <v>#NAME?</v>
      </c>
      <c r="F36" s="28" t="e">
        <f ca="1">[1]!Inv_WIP(Low_5_Inst,Low_5)</f>
        <v>#NAME?</v>
      </c>
      <c r="G36" s="23" t="e">
        <f ca="1">SUM(B36:F36)</f>
        <v>#NAME?</v>
      </c>
    </row>
    <row r="37" spans="1:9" x14ac:dyDescent="0.2">
      <c r="A37" s="21" t="s">
        <v>20</v>
      </c>
      <c r="B37" s="29" t="e">
        <f ca="1">[1]!Inv_WIPCycle(B36,Low_1)</f>
        <v>#NAME?</v>
      </c>
      <c r="C37" s="30" t="e">
        <f ca="1">[1]!Inv_WIPCycle(C36,Low_2)</f>
        <v>#NAME?</v>
      </c>
      <c r="D37" s="30" t="e">
        <f ca="1">[1]!Inv_WIPCycle(D36,Low_3)</f>
        <v>#NAME?</v>
      </c>
      <c r="E37" s="30" t="e">
        <f ca="1">[1]!Inv_WIPCycle(E36,Low_4)</f>
        <v>#NAME?</v>
      </c>
      <c r="F37" s="31" t="e">
        <f ca="1">[1]!Inv_WIPCycle(F36,Low_5)</f>
        <v>#NAME?</v>
      </c>
      <c r="G37" s="24" t="e">
        <f ca="1">SUM(B37:F37)</f>
        <v>#NAME?</v>
      </c>
      <c r="H37" t="e">
        <f ca="1">G37/J3</f>
        <v>#NAME?</v>
      </c>
      <c r="I37" t="s">
        <v>34</v>
      </c>
    </row>
    <row r="38" spans="1:9" ht="13.2" thickBot="1" x14ac:dyDescent="0.25">
      <c r="A38" s="21" t="s">
        <v>21</v>
      </c>
      <c r="B38" s="32" t="e">
        <f ca="1">[1]!Inv_WIPCost(Low_1_Inst,Low_1)</f>
        <v>#NAME?</v>
      </c>
      <c r="C38" s="33" t="e">
        <f ca="1">[1]!Inv_WIPCost(Low_2_Inst,Low_2)</f>
        <v>#NAME?</v>
      </c>
      <c r="D38" s="33" t="e">
        <f ca="1">[1]!Inv_WIPCost(Low_3_Inst,Low_3)</f>
        <v>#NAME?</v>
      </c>
      <c r="E38" s="33" t="e">
        <f ca="1">[1]!Inv_WIPCost(Low_4_Inst,Low_4)</f>
        <v>#NAME?</v>
      </c>
      <c r="F38" s="34" t="e">
        <f ca="1">[1]!Inv_WIPCost(Low_5_Inst,Low_5)</f>
        <v>#NAME?</v>
      </c>
      <c r="G38" s="25" t="e">
        <f ca="1">SUM(B38:F38)</f>
        <v>#NAME?</v>
      </c>
    </row>
    <row r="39" spans="1:9" ht="13.2" thickTop="1" x14ac:dyDescent="0.2">
      <c r="A39" s="21" t="s">
        <v>22</v>
      </c>
      <c r="B39" s="29" t="e">
        <f ca="1">[1]!Inv_Utilization(Low_1_Inst,Low_1)</f>
        <v>#NAME?</v>
      </c>
      <c r="C39" s="30" t="e">
        <f ca="1">[1]!Inv_Utilization(Low_2_Inst,Low_2)</f>
        <v>#NAME?</v>
      </c>
      <c r="D39" s="30" t="e">
        <f ca="1">[1]!Inv_Utilization(Low_3_Inst,Low_3)</f>
        <v>#NAME?</v>
      </c>
      <c r="E39" s="30" t="e">
        <f ca="1">[1]!Inv_Utilization(Low_4_Inst,Low_4)</f>
        <v>#NAME?</v>
      </c>
      <c r="F39" s="31" t="e">
        <f ca="1">[1]!Inv_Utilization(Low_5_Inst,Low_5)</f>
        <v>#NAME?</v>
      </c>
    </row>
    <row r="40" spans="1:9" ht="13.2" thickBot="1" x14ac:dyDescent="0.25">
      <c r="A40" s="21" t="s">
        <v>23</v>
      </c>
      <c r="B40" s="35" t="e">
        <f ca="1">[1]!Inv_Mach_Used(Low_1_Inst,Low_1)</f>
        <v>#NAME?</v>
      </c>
      <c r="C40" s="36" t="e">
        <f ca="1">[1]!Inv_Mach_Used(Low_2_Inst,Low_2)</f>
        <v>#NAME?</v>
      </c>
      <c r="D40" s="36" t="e">
        <f ca="1">[1]!Inv_Mach_Used(Low_3_Inst,Low_3)</f>
        <v>#NAME?</v>
      </c>
      <c r="E40" s="36" t="e">
        <f ca="1">[1]!Inv_Mach_Used(Low_4_Inst,Low_4)</f>
        <v>#NAME?</v>
      </c>
      <c r="F40" s="37" t="e">
        <f ca="1">[1]!Inv_Mach_Used(Low_5_Inst,Low_5)</f>
        <v>#NAME?</v>
      </c>
    </row>
    <row r="41" spans="1:9" ht="13.2" thickTop="1" x14ac:dyDescent="0.2">
      <c r="A41" s="21"/>
    </row>
    <row r="42" spans="1:9" x14ac:dyDescent="0.2">
      <c r="A42" s="21"/>
    </row>
    <row r="43" spans="1:9" x14ac:dyDescent="0.2">
      <c r="A43" s="21"/>
    </row>
    <row r="44" spans="1:9" x14ac:dyDescent="0.2">
      <c r="A44" s="21"/>
    </row>
    <row r="45" spans="1:9" x14ac:dyDescent="0.2">
      <c r="A45" s="21"/>
    </row>
    <row r="46" spans="1:9" x14ac:dyDescent="0.2">
      <c r="A46" s="21"/>
    </row>
    <row r="47" spans="1:9" x14ac:dyDescent="0.2">
      <c r="A47" s="21"/>
    </row>
    <row r="48" spans="1:9" x14ac:dyDescent="0.2">
      <c r="A48" s="21"/>
    </row>
    <row r="49" spans="1:1" x14ac:dyDescent="0.2">
      <c r="A49" s="21"/>
    </row>
    <row r="50" spans="1:1" x14ac:dyDescent="0.2">
      <c r="A50" s="21"/>
    </row>
    <row r="51" spans="1:1" x14ac:dyDescent="0.2">
      <c r="A51" s="21"/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6" x14ac:dyDescent="0.2"/>
  <cols>
    <col min="1" max="256" width="10.90625" customWidth="1"/>
  </cols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96</vt:i4>
      </vt:variant>
    </vt:vector>
  </HeadingPairs>
  <TitlesOfParts>
    <vt:vector size="99" baseType="lpstr">
      <vt:lpstr>compoonents</vt:lpstr>
      <vt:lpstr>high_low</vt:lpstr>
      <vt:lpstr>Sheet3</vt:lpstr>
      <vt:lpstr>Change_1</vt:lpstr>
      <vt:lpstr>Change_1_DR</vt:lpstr>
      <vt:lpstr>Change_1_Inst</vt:lpstr>
      <vt:lpstr>Change_2</vt:lpstr>
      <vt:lpstr>Change_2_DR</vt:lpstr>
      <vt:lpstr>Change_2_Inst</vt:lpstr>
      <vt:lpstr>Change_3</vt:lpstr>
      <vt:lpstr>Change_3_DR</vt:lpstr>
      <vt:lpstr>Change_3_Inst</vt:lpstr>
      <vt:lpstr>High_1</vt:lpstr>
      <vt:lpstr>High_1_DR</vt:lpstr>
      <vt:lpstr>High_1_Inst</vt:lpstr>
      <vt:lpstr>High_2</vt:lpstr>
      <vt:lpstr>High_2_DR</vt:lpstr>
      <vt:lpstr>High_2_Inst</vt:lpstr>
      <vt:lpstr>High_3</vt:lpstr>
      <vt:lpstr>High_3_DR</vt:lpstr>
      <vt:lpstr>High_3_Inst</vt:lpstr>
      <vt:lpstr>High_4</vt:lpstr>
      <vt:lpstr>High_4_DR</vt:lpstr>
      <vt:lpstr>High_4_Inst</vt:lpstr>
      <vt:lpstr>High_5</vt:lpstr>
      <vt:lpstr>High_5_DR</vt:lpstr>
      <vt:lpstr>High_5_Inst</vt:lpstr>
      <vt:lpstr>Inv1_1</vt:lpstr>
      <vt:lpstr>Inv1_1_DR</vt:lpstr>
      <vt:lpstr>Inv1_1_Inst</vt:lpstr>
      <vt:lpstr>Inv1_2</vt:lpstr>
      <vt:lpstr>Inv1_2_DR</vt:lpstr>
      <vt:lpstr>Inv1_2_Inst</vt:lpstr>
      <vt:lpstr>Inv1_3</vt:lpstr>
      <vt:lpstr>Inv1_3_DR</vt:lpstr>
      <vt:lpstr>Inv1_3_Inst</vt:lpstr>
      <vt:lpstr>Inv1_4</vt:lpstr>
      <vt:lpstr>Inv1_4_DR</vt:lpstr>
      <vt:lpstr>Inv1_4_Inst</vt:lpstr>
      <vt:lpstr>Inv1_5</vt:lpstr>
      <vt:lpstr>Inv1_5_DR</vt:lpstr>
      <vt:lpstr>Inv1_5_Inst</vt:lpstr>
      <vt:lpstr>Inv2_1</vt:lpstr>
      <vt:lpstr>Inv2_1_DR</vt:lpstr>
      <vt:lpstr>Inv2_1_Inst</vt:lpstr>
      <vt:lpstr>Inv2_2</vt:lpstr>
      <vt:lpstr>Inv2_2_DR</vt:lpstr>
      <vt:lpstr>Inv2_2_Inst</vt:lpstr>
      <vt:lpstr>Inv2_3</vt:lpstr>
      <vt:lpstr>Inv2_3_DR</vt:lpstr>
      <vt:lpstr>Inv2_3_Inst</vt:lpstr>
      <vt:lpstr>Inv3_1</vt:lpstr>
      <vt:lpstr>Inv3_1_DR</vt:lpstr>
      <vt:lpstr>Inv3_1_Inst</vt:lpstr>
      <vt:lpstr>Inv3_2</vt:lpstr>
      <vt:lpstr>Inv3_2_DR</vt:lpstr>
      <vt:lpstr>Inv3_2_Inst</vt:lpstr>
      <vt:lpstr>Inv3_3</vt:lpstr>
      <vt:lpstr>Inv3_3_DR</vt:lpstr>
      <vt:lpstr>Inv3_3_Inst</vt:lpstr>
      <vt:lpstr>Inv4_1</vt:lpstr>
      <vt:lpstr>Inv4_1_DR</vt:lpstr>
      <vt:lpstr>Inv4_1_Inst</vt:lpstr>
      <vt:lpstr>Inv4_2</vt:lpstr>
      <vt:lpstr>Inv4_2_DR</vt:lpstr>
      <vt:lpstr>Inv4_2_Inst</vt:lpstr>
      <vt:lpstr>Inv4_3</vt:lpstr>
      <vt:lpstr>Inv4_3_DR</vt:lpstr>
      <vt:lpstr>Inv4_3_Inst</vt:lpstr>
      <vt:lpstr>Inv5</vt:lpstr>
      <vt:lpstr>Inv5_DR</vt:lpstr>
      <vt:lpstr>Inv5_Inst</vt:lpstr>
      <vt:lpstr>Inv6</vt:lpstr>
      <vt:lpstr>Inv6_DR</vt:lpstr>
      <vt:lpstr>Inv6_Inst</vt:lpstr>
      <vt:lpstr>Inv7_1</vt:lpstr>
      <vt:lpstr>Inv7_1_DR</vt:lpstr>
      <vt:lpstr>Inv7_1_Inst</vt:lpstr>
      <vt:lpstr>Inv7_2</vt:lpstr>
      <vt:lpstr>Inv7_2_DR</vt:lpstr>
      <vt:lpstr>Inv7_2_Inst</vt:lpstr>
      <vt:lpstr>Inv7_3</vt:lpstr>
      <vt:lpstr>Inv7_3_DR</vt:lpstr>
      <vt:lpstr>Inv7_3_Inst</vt:lpstr>
      <vt:lpstr>Low_1</vt:lpstr>
      <vt:lpstr>Low_1_DR</vt:lpstr>
      <vt:lpstr>Low_1_Inst</vt:lpstr>
      <vt:lpstr>Low_2</vt:lpstr>
      <vt:lpstr>Low_2_DR</vt:lpstr>
      <vt:lpstr>Low_2_Inst</vt:lpstr>
      <vt:lpstr>Low_3</vt:lpstr>
      <vt:lpstr>Low_3_DR</vt:lpstr>
      <vt:lpstr>Low_3_Inst</vt:lpstr>
      <vt:lpstr>Low_4</vt:lpstr>
      <vt:lpstr>Low_4_DR</vt:lpstr>
      <vt:lpstr>Low_4_Inst</vt:lpstr>
      <vt:lpstr>Low_5</vt:lpstr>
      <vt:lpstr>Low_5_DR</vt:lpstr>
      <vt:lpstr>Low_5_Inst</vt:lpstr>
    </vt:vector>
  </TitlesOfParts>
  <Company>University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Jensen</dc:creator>
  <cp:lastModifiedBy>Aniket Gupta</cp:lastModifiedBy>
  <dcterms:created xsi:type="dcterms:W3CDTF">2003-07-01T14:53:55Z</dcterms:created>
  <dcterms:modified xsi:type="dcterms:W3CDTF">2024-02-03T22:30:14Z</dcterms:modified>
</cp:coreProperties>
</file>