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8C13FD4-9F5B-4BF2-93FA-21F52EFBA705}" xr6:coauthVersionLast="47" xr6:coauthVersionMax="47" xr10:uidLastSave="{00000000-0000-0000-0000-000000000000}"/>
  <bookViews>
    <workbookView xWindow="3348" yWindow="3348" windowWidth="17280" windowHeight="8880"/>
  </bookViews>
  <sheets>
    <sheet name="Functions" sheetId="1" r:id="rId1"/>
    <sheet name="Buttons" sheetId="2" r:id="rId2"/>
    <sheet name="Queues" sheetId="5" r:id="rId3"/>
    <sheet name="GCD" sheetId="9" r:id="rId4"/>
    <sheet name="Inventory" sheetId="10" r:id="rId5"/>
    <sheet name="Random" sheetId="3" r:id="rId6"/>
  </sheets>
  <externalReferences>
    <externalReference r:id="rId7"/>
    <externalReference r:id="rId8"/>
    <externalReference r:id="rId9"/>
  </externalReferences>
  <definedNames>
    <definedName name="Dice">Random!$D$4:$D$7</definedName>
    <definedName name="_Inv1">Inventory!$C$2:$C$13</definedName>
    <definedName name="Inv1_DR">Inventory!$C$5</definedName>
    <definedName name="Inv1_EOQ">Inventory!$C$22</definedName>
    <definedName name="Inv1_Inst">Inventory!$C$14</definedName>
    <definedName name="Inv1_Opt">Inventory!$C$22</definedName>
    <definedName name="Inv1_Q">Inventory!$C$14</definedName>
    <definedName name="_Inv2">Inventory!$E$2:$P$2</definedName>
    <definedName name="Q_Sample">Queues!$C$4:$C$8</definedName>
    <definedName name="_Que1">#REF!</definedName>
    <definedName name="_Que2">#REF!</definedName>
    <definedName name="_Que3">#REF!</definedName>
    <definedName name="_RV1">Random!$C$3:$C$5</definedName>
    <definedName name="_RV2">Random!$C$9:$C$12</definedName>
    <definedName name="_RV3">Random!$F$12:$F$14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/>
  <c r="P3" i="5"/>
  <c r="P4" i="5"/>
  <c r="P5" i="5"/>
  <c r="D8" i="5"/>
  <c r="G8" i="5"/>
  <c r="D9" i="5"/>
  <c r="G9" i="5"/>
  <c r="D10" i="5"/>
  <c r="G10" i="5"/>
  <c r="D11" i="5"/>
  <c r="G11" i="5"/>
  <c r="D12" i="5"/>
  <c r="G12" i="5"/>
  <c r="D13" i="5"/>
  <c r="G13" i="5"/>
  <c r="K13" i="5"/>
  <c r="L13" i="5"/>
  <c r="M13" i="5"/>
  <c r="D14" i="5"/>
  <c r="G14" i="5"/>
  <c r="D15" i="5"/>
  <c r="G15" i="5"/>
  <c r="D16" i="5"/>
  <c r="G16" i="5"/>
  <c r="D17" i="5"/>
  <c r="G17" i="5"/>
  <c r="D18" i="5"/>
  <c r="G18" i="5"/>
  <c r="D19" i="5"/>
  <c r="G19" i="5"/>
  <c r="D21" i="5"/>
  <c r="G21" i="5"/>
  <c r="D22" i="5"/>
  <c r="G22" i="5"/>
  <c r="D23" i="5"/>
  <c r="D24" i="5" s="1"/>
  <c r="D25" i="5" s="1"/>
  <c r="D26" i="5" s="1"/>
  <c r="D27" i="5" s="1"/>
  <c r="D28" i="5" s="1"/>
  <c r="D29" i="5" s="1"/>
  <c r="D30" i="5" s="1"/>
  <c r="D31" i="5" s="1"/>
  <c r="D32" i="5" s="1"/>
  <c r="G23" i="5"/>
  <c r="G24" i="5"/>
  <c r="G25" i="5" s="1"/>
  <c r="G26" i="5" s="1"/>
  <c r="G27" i="5" s="1"/>
  <c r="G28" i="5" s="1"/>
  <c r="G29" i="5" s="1"/>
  <c r="G30" i="5" s="1"/>
  <c r="G31" i="5" s="1"/>
  <c r="G32" i="5" s="1"/>
  <c r="F5" i="10"/>
  <c r="F7" i="10"/>
  <c r="F8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H7" i="3"/>
  <c r="H8" i="3"/>
  <c r="H9" i="3"/>
  <c r="H10" i="3"/>
  <c r="H12" i="3"/>
  <c r="H13" i="3"/>
  <c r="H14" i="3"/>
  <c r="H15" i="3"/>
  <c r="G19" i="3"/>
  <c r="G20" i="3"/>
  <c r="G21" i="3"/>
  <c r="G22" i="3"/>
  <c r="X2" i="1"/>
  <c r="H20" i="1"/>
  <c r="H33" i="1"/>
  <c r="G4" i="9"/>
  <c r="G7" i="9"/>
  <c r="G10" i="9"/>
  <c r="G14" i="9"/>
  <c r="G18" i="9"/>
  <c r="G3" i="9"/>
  <c r="G8" i="9"/>
  <c r="G12" i="9"/>
  <c r="G16" i="9"/>
  <c r="G13" i="9"/>
  <c r="H7" i="1"/>
  <c r="I20" i="1"/>
  <c r="I33" i="1"/>
  <c r="D5" i="9"/>
  <c r="D8" i="9"/>
  <c r="D11" i="9"/>
  <c r="D15" i="9"/>
  <c r="D19" i="9"/>
  <c r="G9" i="9"/>
  <c r="D2" i="9"/>
  <c r="D14" i="9"/>
  <c r="D18" i="9"/>
  <c r="K7" i="1"/>
  <c r="H21" i="1"/>
  <c r="G2" i="9"/>
  <c r="G5" i="9"/>
  <c r="G11" i="9"/>
  <c r="G15" i="9"/>
  <c r="G19" i="9"/>
  <c r="H23" i="1"/>
  <c r="G20" i="9"/>
  <c r="G17" i="9"/>
  <c r="H4" i="1"/>
  <c r="I21" i="1"/>
  <c r="D3" i="9"/>
  <c r="D6" i="9"/>
  <c r="D12" i="9"/>
  <c r="D16" i="9"/>
  <c r="D20" i="9"/>
  <c r="K4" i="1"/>
  <c r="G6" i="9"/>
  <c r="D7" i="9"/>
  <c r="H5" i="1"/>
  <c r="X16" i="1"/>
  <c r="I23" i="1"/>
  <c r="J30" i="1"/>
  <c r="D4" i="9"/>
  <c r="D9" i="9"/>
  <c r="D13" i="9"/>
  <c r="D17" i="9"/>
  <c r="K5" i="1"/>
  <c r="J23" i="1"/>
  <c r="H32" i="1"/>
  <c r="B7" i="1"/>
  <c r="I32" i="1"/>
  <c r="D10" i="9"/>
  <c r="J28" i="1"/>
  <c r="J29" i="1"/>
  <c r="J27" i="1"/>
  <c r="J24" i="1"/>
  <c r="J26" i="1"/>
  <c r="J25" i="1"/>
  <c r="B8" i="1"/>
  <c r="D7" i="1"/>
  <c r="B9" i="1"/>
  <c r="D8" i="1"/>
  <c r="D9" i="1"/>
  <c r="B10" i="1"/>
  <c r="B11" i="1"/>
  <c r="D10" i="1"/>
  <c r="B12" i="1"/>
  <c r="D11" i="1"/>
  <c r="B13" i="1"/>
  <c r="D12" i="1"/>
  <c r="B14" i="1"/>
  <c r="D13" i="1"/>
  <c r="B15" i="1"/>
  <c r="D14" i="1"/>
  <c r="B16" i="1"/>
  <c r="D15" i="1"/>
  <c r="B17" i="1"/>
  <c r="D17" i="1" s="1"/>
  <c r="D16" i="1"/>
  <c r="F4" i="9" l="1"/>
  <c r="E4" i="9"/>
  <c r="E7" i="9"/>
  <c r="E6" i="9"/>
  <c r="F6" i="9"/>
  <c r="E3" i="9"/>
  <c r="E2" i="9"/>
  <c r="F2" i="9"/>
  <c r="E8" i="9"/>
  <c r="F8" i="9"/>
  <c r="E5" i="9"/>
  <c r="F7" i="9"/>
  <c r="F5" i="9"/>
  <c r="F3" i="9"/>
</calcChain>
</file>

<file path=xl/sharedStrings.xml><?xml version="1.0" encoding="utf-8"?>
<sst xmlns="http://schemas.openxmlformats.org/spreadsheetml/2006/main" count="195" uniqueCount="127">
  <si>
    <t>RV_MEAN($H$3:$H$6)</t>
  </si>
  <si>
    <t>RV_VAR($H$3:$H$6)</t>
  </si>
  <si>
    <t>RV_SKEW($H$3:$H$6)</t>
  </si>
  <si>
    <t>RV_KURT($H$3:$H$6)</t>
  </si>
  <si>
    <t>RV_MEAN(RV3)</t>
  </si>
  <si>
    <t>RV_VAR(RV3)</t>
  </si>
  <si>
    <t>RV_SKEW(RV3)</t>
  </si>
  <si>
    <t>RV_KURT(RV3)</t>
  </si>
  <si>
    <t>RV_MEAN($F$17:$H$17)</t>
  </si>
  <si>
    <t>RV_VAR($F$17:$H$17)</t>
  </si>
  <si>
    <t>RV_SKEW($F$17:$H$17)</t>
  </si>
  <si>
    <t>RV_KURT($F$17:$H$17)</t>
  </si>
  <si>
    <t>n1</t>
  </si>
  <si>
    <t>n2</t>
  </si>
  <si>
    <t>GCD(r1,r2)</t>
  </si>
  <si>
    <t>LCM(r1,r2)</t>
  </si>
  <si>
    <t>n1/gcd</t>
  </si>
  <si>
    <t>n2/gcd</t>
  </si>
  <si>
    <t>Inventory</t>
  </si>
  <si>
    <t>Inv1</t>
  </si>
  <si>
    <t>Data Name</t>
  </si>
  <si>
    <t>Inf</t>
  </si>
  <si>
    <t>Demand Rate (/Week)</t>
  </si>
  <si>
    <t>Setup Cost (/order)</t>
  </si>
  <si>
    <t>Product Rev (/unit)</t>
  </si>
  <si>
    <t>Product Cost (/unit)</t>
  </si>
  <si>
    <t>Min. Quantity</t>
  </si>
  <si>
    <t>Max. Quantity</t>
  </si>
  <si>
    <t>Holding Cost Rate (%/Week)</t>
  </si>
  <si>
    <t>Other Holding Cost (/Week)</t>
  </si>
  <si>
    <t>Lead Time (Weeks)</t>
  </si>
  <si>
    <t>Lot Size</t>
  </si>
  <si>
    <t>Total Profit (/Week)</t>
  </si>
  <si>
    <t>Inventory Cost (/Week)</t>
  </si>
  <si>
    <t>Mean Inventory Level</t>
  </si>
  <si>
    <t>Maximum Inventory (/cycle)</t>
  </si>
  <si>
    <t>Reorder Point</t>
  </si>
  <si>
    <t>Cycle Time (Weeks)</t>
  </si>
  <si>
    <t>Mean Residence Time (Weeks)</t>
  </si>
  <si>
    <t>Optimum Lot Size</t>
  </si>
  <si>
    <t>Optimum Total Profit (/Week)</t>
  </si>
  <si>
    <t>Optimum Inventory Cost (/Week)</t>
  </si>
  <si>
    <t>Optimum Mean Inventory</t>
  </si>
  <si>
    <t>Optimum Maximum Inventory (/cycle)</t>
  </si>
  <si>
    <t>Optimum Reorder Point</t>
  </si>
  <si>
    <t>Optimum Cycle Time (Weeks)</t>
  </si>
  <si>
    <t>Optimum Residence Time (Weeks)</t>
  </si>
  <si>
    <t>Inv2</t>
  </si>
  <si>
    <t>Lot size</t>
  </si>
  <si>
    <t>EOQ</t>
  </si>
  <si>
    <t>Profit</t>
  </si>
  <si>
    <t>Profit EOQ</t>
  </si>
  <si>
    <t>PAJ_RAND(Seed)</t>
  </si>
  <si>
    <t>mu =</t>
  </si>
  <si>
    <t xml:space="preserve">sigma = </t>
  </si>
  <si>
    <t>PAJ_SimNORM(rn,$D$2,$D$3)</t>
  </si>
  <si>
    <t>***</t>
  </si>
  <si>
    <t>m</t>
  </si>
  <si>
    <t>AVERAGE</t>
  </si>
  <si>
    <t>PAJ_AVERAGE(10)</t>
  </si>
  <si>
    <t>PAJ_AVERAGE(5)</t>
  </si>
  <si>
    <t xml:space="preserve">m = </t>
  </si>
  <si>
    <t>PAJ_AVERAGE(m)</t>
  </si>
  <si>
    <t>Series</t>
  </si>
  <si>
    <t>PAJ_REG_A</t>
  </si>
  <si>
    <t>PAJ_REG_B</t>
  </si>
  <si>
    <t>m =10</t>
  </si>
  <si>
    <t>m =5</t>
  </si>
  <si>
    <t>Reg. Coef . At time 0</t>
  </si>
  <si>
    <t>Projection</t>
  </si>
  <si>
    <t>PAJ_MAD(X4:X13)</t>
  </si>
  <si>
    <t>PAJ_findname("Paul")</t>
  </si>
  <si>
    <t>Add Form</t>
  </si>
  <si>
    <t>Solve</t>
  </si>
  <si>
    <t>Arrival Rate</t>
  </si>
  <si>
    <t>Type</t>
  </si>
  <si>
    <t>Mean Number at Station</t>
  </si>
  <si>
    <t>Mean Time at Station</t>
  </si>
  <si>
    <t>Mean Number in Queue</t>
  </si>
  <si>
    <t>Mean Time in Queue</t>
  </si>
  <si>
    <t>Mean Number in Service</t>
  </si>
  <si>
    <t>Mean Time in Service</t>
  </si>
  <si>
    <t>Throughput Rate</t>
  </si>
  <si>
    <t>Efficiency</t>
  </si>
  <si>
    <t>Probability All Servers Idle</t>
  </si>
  <si>
    <t>Prob. All Servers Busy</t>
  </si>
  <si>
    <t>Prob. System Full</t>
  </si>
  <si>
    <t>Critical Wait Time</t>
  </si>
  <si>
    <t>P(Wait &gt;= Critical Wait)</t>
  </si>
  <si>
    <t>P(0)</t>
  </si>
  <si>
    <t>P(1)</t>
  </si>
  <si>
    <t>P(2)</t>
  </si>
  <si>
    <t>P(3)</t>
  </si>
  <si>
    <t>P(4)</t>
  </si>
  <si>
    <t>P(5)</t>
  </si>
  <si>
    <t>P(6)</t>
  </si>
  <si>
    <t>P(7)</t>
  </si>
  <si>
    <t>P(8)</t>
  </si>
  <si>
    <t>P(9)</t>
  </si>
  <si>
    <t>P(10)</t>
  </si>
  <si>
    <t>Service Rate</t>
  </si>
  <si>
    <t>Channels</t>
  </si>
  <si>
    <t>Max. System</t>
  </si>
  <si>
    <t>Population</t>
  </si>
  <si>
    <t>Avg. Number in Queue</t>
  </si>
  <si>
    <t>Random Variable</t>
  </si>
  <si>
    <t>Distribution</t>
  </si>
  <si>
    <t>mean (mu)</t>
  </si>
  <si>
    <t>standard deviation (sigma)</t>
  </si>
  <si>
    <t>RV1</t>
  </si>
  <si>
    <t>Normal</t>
  </si>
  <si>
    <t>Mean</t>
  </si>
  <si>
    <t>Variance</t>
  </si>
  <si>
    <t>Skewness</t>
  </si>
  <si>
    <t>Kurtosis</t>
  </si>
  <si>
    <t>lower limit (a)</t>
  </si>
  <si>
    <t>mode (m)</t>
  </si>
  <si>
    <t>upper limit (b)</t>
  </si>
  <si>
    <t>RV2</t>
  </si>
  <si>
    <t>Triangular_Int</t>
  </si>
  <si>
    <t>Q_Lq(K3:O3)</t>
  </si>
  <si>
    <t>Q_Lq(K4:O4)</t>
  </si>
  <si>
    <t>Q_Lq(K5:O5)</t>
  </si>
  <si>
    <t>Q_Lq(K8:K12)</t>
  </si>
  <si>
    <t>Q_Lq(L8:L12)</t>
  </si>
  <si>
    <t>Q_Lq(M8:M12)</t>
  </si>
  <si>
    <t>Number 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</si>
</sst>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>
    <font>
      <sz val="9"/>
      <name val="Geneva"/>
    </font>
    <font>
      <b/>
      <sz val="9"/>
      <name val="Geneva"/>
    </font>
    <font>
      <sz val="8"/>
      <name val="Geneva"/>
    </font>
    <font>
      <b/>
      <sz val="9"/>
      <color indexed="10"/>
      <name val="Geneva"/>
    </font>
    <font>
      <sz val="12"/>
      <color indexed="7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1"/>
      </left>
      <right/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1"/>
      </top>
      <bottom style="thin">
        <color indexed="61"/>
      </bottom>
      <diagonal/>
    </border>
    <border>
      <left style="double">
        <color indexed="64"/>
      </left>
      <right style="double">
        <color indexed="64"/>
      </right>
      <top style="thin">
        <color indexed="61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1"/>
      </bottom>
      <diagonal/>
    </border>
    <border>
      <left style="double">
        <color indexed="64"/>
      </left>
      <right style="double">
        <color indexed="64"/>
      </right>
      <top style="thin">
        <color indexed="6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2" borderId="3" xfId="0" applyNumberFormat="1" applyFill="1" applyBorder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6" fontId="0" fillId="2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1</xdr:row>
          <xdr:rowOff>99060</xdr:rowOff>
        </xdr:from>
        <xdr:to>
          <xdr:col>2</xdr:col>
          <xdr:colOff>0</xdr:colOff>
          <xdr:row>3</xdr:row>
          <xdr:rowOff>7620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82EE8852-4D63-A034-5231-1D0CE1CAB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</xdr:row>
          <xdr:rowOff>99060</xdr:rowOff>
        </xdr:from>
        <xdr:to>
          <xdr:col>2</xdr:col>
          <xdr:colOff>0</xdr:colOff>
          <xdr:row>6</xdr:row>
          <xdr:rowOff>7620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3B20668E-FA11-D5BF-0256-CB76B24D8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2</xdr:row>
      <xdr:rowOff>68580</xdr:rowOff>
    </xdr:from>
    <xdr:to>
      <xdr:col>16</xdr:col>
      <xdr:colOff>320040</xdr:colOff>
      <xdr:row>2</xdr:row>
      <xdr:rowOff>68580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911DF7C8-DFB0-ECD2-1845-22C19C905195}"/>
            </a:ext>
          </a:extLst>
        </xdr:cNvPr>
        <xdr:cNvSpPr>
          <a:spLocks noChangeShapeType="1"/>
        </xdr:cNvSpPr>
      </xdr:nvSpPr>
      <xdr:spPr bwMode="auto">
        <a:xfrm flipH="1">
          <a:off x="12512040" y="358140"/>
          <a:ext cx="312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22860</xdr:colOff>
      <xdr:row>3</xdr:row>
      <xdr:rowOff>76200</xdr:rowOff>
    </xdr:from>
    <xdr:to>
      <xdr:col>16</xdr:col>
      <xdr:colOff>335280</xdr:colOff>
      <xdr:row>3</xdr:row>
      <xdr:rowOff>76200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ECF2A621-17DA-1897-1EC2-53F305415F6F}"/>
            </a:ext>
          </a:extLst>
        </xdr:cNvPr>
        <xdr:cNvSpPr>
          <a:spLocks noChangeShapeType="1"/>
        </xdr:cNvSpPr>
      </xdr:nvSpPr>
      <xdr:spPr bwMode="auto">
        <a:xfrm flipH="1">
          <a:off x="12527280" y="510540"/>
          <a:ext cx="312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30480</xdr:colOff>
      <xdr:row>4</xdr:row>
      <xdr:rowOff>68580</xdr:rowOff>
    </xdr:from>
    <xdr:to>
      <xdr:col>16</xdr:col>
      <xdr:colOff>342900</xdr:colOff>
      <xdr:row>4</xdr:row>
      <xdr:rowOff>68580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937FB5BC-6108-7565-45C8-8E3DE660F076}"/>
            </a:ext>
          </a:extLst>
        </xdr:cNvPr>
        <xdr:cNvSpPr>
          <a:spLocks noChangeShapeType="1"/>
        </xdr:cNvSpPr>
      </xdr:nvSpPr>
      <xdr:spPr bwMode="auto">
        <a:xfrm flipH="1">
          <a:off x="12534900" y="647700"/>
          <a:ext cx="312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403860</xdr:colOff>
      <xdr:row>13</xdr:row>
      <xdr:rowOff>38100</xdr:rowOff>
    </xdr:from>
    <xdr:to>
      <xdr:col>10</xdr:col>
      <xdr:colOff>403860</xdr:colOff>
      <xdr:row>13</xdr:row>
      <xdr:rowOff>243840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3487E1FF-8AAD-082E-49D1-EF139FAF1458}"/>
            </a:ext>
          </a:extLst>
        </xdr:cNvPr>
        <xdr:cNvSpPr>
          <a:spLocks noChangeShapeType="1"/>
        </xdr:cNvSpPr>
      </xdr:nvSpPr>
      <xdr:spPr bwMode="auto">
        <a:xfrm flipV="1">
          <a:off x="8336280" y="1920240"/>
          <a:ext cx="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373380</xdr:colOff>
      <xdr:row>13</xdr:row>
      <xdr:rowOff>38100</xdr:rowOff>
    </xdr:from>
    <xdr:to>
      <xdr:col>11</xdr:col>
      <xdr:colOff>373380</xdr:colOff>
      <xdr:row>13</xdr:row>
      <xdr:rowOff>243840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613B90CC-9AFF-EEA1-85E9-AFFA96E2278A}"/>
            </a:ext>
          </a:extLst>
        </xdr:cNvPr>
        <xdr:cNvSpPr>
          <a:spLocks noChangeShapeType="1"/>
        </xdr:cNvSpPr>
      </xdr:nvSpPr>
      <xdr:spPr bwMode="auto">
        <a:xfrm flipV="1">
          <a:off x="9159240" y="1920240"/>
          <a:ext cx="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434340</xdr:colOff>
      <xdr:row>13</xdr:row>
      <xdr:rowOff>38100</xdr:rowOff>
    </xdr:from>
    <xdr:to>
      <xdr:col>12</xdr:col>
      <xdr:colOff>434340</xdr:colOff>
      <xdr:row>13</xdr:row>
      <xdr:rowOff>243840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7A334F5F-1EF6-478B-3FB2-C3FD8B101C70}"/>
            </a:ext>
          </a:extLst>
        </xdr:cNvPr>
        <xdr:cNvSpPr>
          <a:spLocks noChangeShapeType="1"/>
        </xdr:cNvSpPr>
      </xdr:nvSpPr>
      <xdr:spPr bwMode="auto">
        <a:xfrm flipV="1">
          <a:off x="10073640" y="1920240"/>
          <a:ext cx="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906780</xdr:colOff>
      <xdr:row>6</xdr:row>
      <xdr:rowOff>76200</xdr:rowOff>
    </xdr:from>
    <xdr:to>
      <xdr:col>8</xdr:col>
      <xdr:colOff>662940</xdr:colOff>
      <xdr:row>6</xdr:row>
      <xdr:rowOff>76200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D3DE2A15-4099-11FD-4CBD-CC19EEA54BD7}"/>
            </a:ext>
          </a:extLst>
        </xdr:cNvPr>
        <xdr:cNvSpPr>
          <a:spLocks noChangeShapeType="1"/>
        </xdr:cNvSpPr>
      </xdr:nvSpPr>
      <xdr:spPr bwMode="auto">
        <a:xfrm flipH="1">
          <a:off x="5646420" y="975360"/>
          <a:ext cx="662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906780</xdr:colOff>
      <xdr:row>7</xdr:row>
      <xdr:rowOff>76200</xdr:rowOff>
    </xdr:from>
    <xdr:to>
      <xdr:col>8</xdr:col>
      <xdr:colOff>662940</xdr:colOff>
      <xdr:row>7</xdr:row>
      <xdr:rowOff>76200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5FA23262-A9CE-DE18-8F6F-0FAA90E40045}"/>
            </a:ext>
          </a:extLst>
        </xdr:cNvPr>
        <xdr:cNvSpPr>
          <a:spLocks noChangeShapeType="1"/>
        </xdr:cNvSpPr>
      </xdr:nvSpPr>
      <xdr:spPr bwMode="auto">
        <a:xfrm flipH="1">
          <a:off x="5646420" y="1127760"/>
          <a:ext cx="662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906780</xdr:colOff>
      <xdr:row>8</xdr:row>
      <xdr:rowOff>68580</xdr:rowOff>
    </xdr:from>
    <xdr:to>
      <xdr:col>8</xdr:col>
      <xdr:colOff>662940</xdr:colOff>
      <xdr:row>8</xdr:row>
      <xdr:rowOff>68580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95E9F428-4A5C-BC3B-62BA-9541019B326D}"/>
            </a:ext>
          </a:extLst>
        </xdr:cNvPr>
        <xdr:cNvSpPr>
          <a:spLocks noChangeShapeType="1"/>
        </xdr:cNvSpPr>
      </xdr:nvSpPr>
      <xdr:spPr bwMode="auto">
        <a:xfrm flipH="1">
          <a:off x="5646420" y="1272540"/>
          <a:ext cx="662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906780</xdr:colOff>
      <xdr:row>9</xdr:row>
      <xdr:rowOff>53340</xdr:rowOff>
    </xdr:from>
    <xdr:to>
      <xdr:col>8</xdr:col>
      <xdr:colOff>662940</xdr:colOff>
      <xdr:row>9</xdr:row>
      <xdr:rowOff>53340</xdr:rowOff>
    </xdr:to>
    <xdr:sp macro="" textlink="">
      <xdr:nvSpPr>
        <xdr:cNvPr id="4104" name="Line 8">
          <a:extLst>
            <a:ext uri="{FF2B5EF4-FFF2-40B4-BE49-F238E27FC236}">
              <a16:creationId xmlns:a16="http://schemas.microsoft.com/office/drawing/2014/main" id="{BB35E2A2-0E95-ECD3-91F5-E495CBEF5D15}"/>
            </a:ext>
          </a:extLst>
        </xdr:cNvPr>
        <xdr:cNvSpPr>
          <a:spLocks noChangeShapeType="1"/>
        </xdr:cNvSpPr>
      </xdr:nvSpPr>
      <xdr:spPr bwMode="auto">
        <a:xfrm flipH="1">
          <a:off x="5646420" y="1402080"/>
          <a:ext cx="662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18</xdr:row>
      <xdr:rowOff>76200</xdr:rowOff>
    </xdr:from>
    <xdr:to>
      <xdr:col>7</xdr:col>
      <xdr:colOff>693420</xdr:colOff>
      <xdr:row>18</xdr:row>
      <xdr:rowOff>76200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1E8FB2E8-65FB-B853-C954-45672CC0BCE3}"/>
            </a:ext>
          </a:extLst>
        </xdr:cNvPr>
        <xdr:cNvSpPr>
          <a:spLocks noChangeShapeType="1"/>
        </xdr:cNvSpPr>
      </xdr:nvSpPr>
      <xdr:spPr bwMode="auto">
        <a:xfrm flipH="1">
          <a:off x="4899660" y="274320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19</xdr:row>
      <xdr:rowOff>91440</xdr:rowOff>
    </xdr:from>
    <xdr:to>
      <xdr:col>7</xdr:col>
      <xdr:colOff>693420</xdr:colOff>
      <xdr:row>19</xdr:row>
      <xdr:rowOff>91440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4943CBB9-F975-AE12-7E76-F4AF55AD5677}"/>
            </a:ext>
          </a:extLst>
        </xdr:cNvPr>
        <xdr:cNvSpPr>
          <a:spLocks noChangeShapeType="1"/>
        </xdr:cNvSpPr>
      </xdr:nvSpPr>
      <xdr:spPr bwMode="auto">
        <a:xfrm flipH="1">
          <a:off x="4899660" y="290322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20</xdr:row>
      <xdr:rowOff>91440</xdr:rowOff>
    </xdr:from>
    <xdr:to>
      <xdr:col>7</xdr:col>
      <xdr:colOff>693420</xdr:colOff>
      <xdr:row>20</xdr:row>
      <xdr:rowOff>91440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9E8666F7-638E-152A-2F1D-33A44E32B797}"/>
            </a:ext>
          </a:extLst>
        </xdr:cNvPr>
        <xdr:cNvSpPr>
          <a:spLocks noChangeShapeType="1"/>
        </xdr:cNvSpPr>
      </xdr:nvSpPr>
      <xdr:spPr bwMode="auto">
        <a:xfrm flipH="1">
          <a:off x="4899660" y="304800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21</xdr:row>
      <xdr:rowOff>76200</xdr:rowOff>
    </xdr:from>
    <xdr:to>
      <xdr:col>7</xdr:col>
      <xdr:colOff>693420</xdr:colOff>
      <xdr:row>21</xdr:row>
      <xdr:rowOff>76200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5EA912D6-39E3-032D-738C-D1D98EB26180}"/>
            </a:ext>
          </a:extLst>
        </xdr:cNvPr>
        <xdr:cNvSpPr>
          <a:spLocks noChangeShapeType="1"/>
        </xdr:cNvSpPr>
      </xdr:nvSpPr>
      <xdr:spPr bwMode="auto">
        <a:xfrm flipH="1">
          <a:off x="4899660" y="317754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11</xdr:row>
      <xdr:rowOff>76200</xdr:rowOff>
    </xdr:from>
    <xdr:to>
      <xdr:col>9</xdr:col>
      <xdr:colOff>7620</xdr:colOff>
      <xdr:row>11</xdr:row>
      <xdr:rowOff>76200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A760A1B1-A75C-F4FB-A025-6ABE353A37D0}"/>
            </a:ext>
          </a:extLst>
        </xdr:cNvPr>
        <xdr:cNvSpPr>
          <a:spLocks noChangeShapeType="1"/>
        </xdr:cNvSpPr>
      </xdr:nvSpPr>
      <xdr:spPr bwMode="auto">
        <a:xfrm flipH="1">
          <a:off x="5669280" y="171450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12</xdr:row>
      <xdr:rowOff>76200</xdr:rowOff>
    </xdr:from>
    <xdr:to>
      <xdr:col>9</xdr:col>
      <xdr:colOff>7620</xdr:colOff>
      <xdr:row>12</xdr:row>
      <xdr:rowOff>76200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883C3B0F-9DB2-C6D7-88E7-5A38984FC71D}"/>
            </a:ext>
          </a:extLst>
        </xdr:cNvPr>
        <xdr:cNvSpPr>
          <a:spLocks noChangeShapeType="1"/>
        </xdr:cNvSpPr>
      </xdr:nvSpPr>
      <xdr:spPr bwMode="auto">
        <a:xfrm flipH="1">
          <a:off x="5669280" y="186690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13</xdr:row>
      <xdr:rowOff>68580</xdr:rowOff>
    </xdr:from>
    <xdr:to>
      <xdr:col>9</xdr:col>
      <xdr:colOff>7620</xdr:colOff>
      <xdr:row>13</xdr:row>
      <xdr:rowOff>68580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FA55B155-933E-A31E-62AC-4C23881DFE25}"/>
            </a:ext>
          </a:extLst>
        </xdr:cNvPr>
        <xdr:cNvSpPr>
          <a:spLocks noChangeShapeType="1"/>
        </xdr:cNvSpPr>
      </xdr:nvSpPr>
      <xdr:spPr bwMode="auto">
        <a:xfrm flipH="1">
          <a:off x="5669280" y="201168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14</xdr:row>
      <xdr:rowOff>53340</xdr:rowOff>
    </xdr:from>
    <xdr:to>
      <xdr:col>9</xdr:col>
      <xdr:colOff>7620</xdr:colOff>
      <xdr:row>14</xdr:row>
      <xdr:rowOff>53340</xdr:rowOff>
    </xdr:to>
    <xdr:sp macro="" textlink="">
      <xdr:nvSpPr>
        <xdr:cNvPr id="4112" name="Line 16">
          <a:extLst>
            <a:ext uri="{FF2B5EF4-FFF2-40B4-BE49-F238E27FC236}">
              <a16:creationId xmlns:a16="http://schemas.microsoft.com/office/drawing/2014/main" id="{EA434640-00B2-BA8B-887C-8768F7F6D2A5}"/>
            </a:ext>
          </a:extLst>
        </xdr:cNvPr>
        <xdr:cNvSpPr>
          <a:spLocks noChangeShapeType="1"/>
        </xdr:cNvSpPr>
      </xdr:nvSpPr>
      <xdr:spPr bwMode="auto">
        <a:xfrm flipH="1">
          <a:off x="5669280" y="214122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Jensen.lib/queu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Jensen.lib/ran_var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Jensen.lib/invento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Queue_Mod"/>
      <sheetName val="Queue_Sim_Mod"/>
      <sheetName val="Control_Mod"/>
    </sheetNames>
    <definedNames>
      <definedName name="Q_Eff"/>
      <definedName name="Q_FNEXT"/>
      <definedName name="Q_L"/>
      <definedName name="Q_LamB"/>
      <definedName name="Q_Lq"/>
      <definedName name="Q_Ls"/>
      <definedName name="Q_P0"/>
      <definedName name="Q_PB"/>
      <definedName name="Q_PF"/>
      <definedName name="Q_PTq"/>
      <definedName name="Q_type"/>
      <definedName name="Q_W"/>
      <definedName name="Q_Wq"/>
      <definedName name="Q_Ws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ist_Mod"/>
      <sheetName val="Show_Mod"/>
      <sheetName val="Moments_Mod"/>
      <sheetName val="Sim_Mod"/>
      <sheetName val="Inv_Mod"/>
      <sheetName val="Control_Mod"/>
    </sheetNames>
    <definedNames>
      <definedName name="RV_KURT"/>
      <definedName name="RV_MEAN"/>
      <definedName name="RV_SKEW"/>
      <definedName name="RV_V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Inv_CycleTime"/>
      <definedName name="Inv_EOQ"/>
      <definedName name="Inv_InvCost"/>
      <definedName name="Inv_Level"/>
      <definedName name="Inv_Max"/>
      <definedName name="Inv_Reorder"/>
      <definedName name="Inv_ResTime"/>
      <definedName name="Inv_TotProfi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34"/>
  <sheetViews>
    <sheetView tabSelected="1" workbookViewId="0">
      <selection activeCell="B32" sqref="B32"/>
    </sheetView>
  </sheetViews>
  <sheetFormatPr defaultRowHeight="11.4"/>
  <cols>
    <col min="1" max="3" width="11" customWidth="1"/>
    <col min="4" max="4" width="12" bestFit="1" customWidth="1"/>
    <col min="5" max="6" width="11" customWidth="1"/>
    <col min="7" max="7" width="17.125" customWidth="1"/>
    <col min="8" max="9" width="11" customWidth="1"/>
    <col min="10" max="10" width="15.625" customWidth="1"/>
    <col min="11" max="22" width="5.875" customWidth="1"/>
    <col min="23" max="23" width="21.875" customWidth="1"/>
    <col min="24" max="256" width="11" customWidth="1"/>
  </cols>
  <sheetData>
    <row r="2" spans="2:24">
      <c r="C2" t="s">
        <v>53</v>
      </c>
      <c r="D2">
        <v>10</v>
      </c>
      <c r="W2" t="s">
        <v>70</v>
      </c>
      <c r="X2">
        <f>PAJ_MAD(X4:X13)</f>
        <v>6.6228089332580566</v>
      </c>
    </row>
    <row r="3" spans="2:24">
      <c r="C3" t="s">
        <v>54</v>
      </c>
      <c r="D3">
        <v>5</v>
      </c>
      <c r="G3" s="1" t="s">
        <v>58</v>
      </c>
      <c r="H3">
        <f>AVERAGE($G$9:$G$18)</f>
        <v>62.9</v>
      </c>
      <c r="J3" s="1" t="s">
        <v>58</v>
      </c>
      <c r="K3">
        <f>AVERAGE($L$8:$U$8)</f>
        <v>5.5</v>
      </c>
    </row>
    <row r="4" spans="2:24">
      <c r="G4" s="1" t="s">
        <v>59</v>
      </c>
      <c r="H4">
        <f>PAJ_AVERAGE($G$9:$G$18,10)</f>
        <v>62.900001525878906</v>
      </c>
      <c r="J4" s="1" t="s">
        <v>59</v>
      </c>
      <c r="K4">
        <f>PAJ_AVERAGE($L$8:$U$8,10)</f>
        <v>5.5</v>
      </c>
      <c r="X4" s="4" t="s">
        <v>56</v>
      </c>
    </row>
    <row r="5" spans="2:24">
      <c r="B5" t="s">
        <v>52</v>
      </c>
      <c r="D5" t="s">
        <v>55</v>
      </c>
      <c r="G5" s="1" t="s">
        <v>60</v>
      </c>
      <c r="H5">
        <f>PAJ_AVERAGE($G$9:$G$18,5)</f>
        <v>67.199996948242188</v>
      </c>
      <c r="J5" s="1" t="s">
        <v>60</v>
      </c>
      <c r="K5">
        <f>PAJ_AVERAGE($L$8:$U$8,5)</f>
        <v>8</v>
      </c>
      <c r="X5" s="4">
        <v>-5.1454577445983887</v>
      </c>
    </row>
    <row r="6" spans="2:24">
      <c r="B6">
        <v>-102</v>
      </c>
      <c r="G6" s="1" t="s">
        <v>61</v>
      </c>
      <c r="H6">
        <v>6</v>
      </c>
      <c r="J6" s="1" t="s">
        <v>61</v>
      </c>
      <c r="K6">
        <v>6</v>
      </c>
      <c r="X6" s="4">
        <v>2</v>
      </c>
    </row>
    <row r="7" spans="2:24">
      <c r="B7">
        <f>PAJ_RAND(B6)</f>
        <v>0.30133801698684692</v>
      </c>
      <c r="D7">
        <f>PAJ_SimNORM(B7,$D$2,$D$3)</f>
        <v>7.3972194727125045</v>
      </c>
      <c r="G7" s="1" t="s">
        <v>62</v>
      </c>
      <c r="H7">
        <f>PAJ_AVERAGE($G$9:$G$18,H6)</f>
        <v>65.166664123535156</v>
      </c>
      <c r="J7" s="1" t="s">
        <v>62</v>
      </c>
      <c r="K7">
        <f>PAJ_AVERAGE($L$8:$U$8,K6)</f>
        <v>7.5</v>
      </c>
      <c r="X7" s="4">
        <v>3</v>
      </c>
    </row>
    <row r="8" spans="2:24">
      <c r="B8">
        <f t="shared" ref="B8:B17" si="0">PAJ_RAND(B7)</f>
        <v>0.51804918050765991</v>
      </c>
      <c r="D8">
        <f t="shared" ref="D8:D17" si="1">PAJ_SimNORM(B8,$D$2,$D$3)</f>
        <v>10.226290158533054</v>
      </c>
      <c r="G8" s="1" t="s">
        <v>63</v>
      </c>
      <c r="K8" t="s">
        <v>63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X8" s="4">
        <v>-16</v>
      </c>
    </row>
    <row r="9" spans="2:24">
      <c r="B9">
        <f t="shared" si="0"/>
        <v>0.79684674739837646</v>
      </c>
      <c r="D9">
        <f t="shared" si="1"/>
        <v>14.152054497746832</v>
      </c>
      <c r="G9" s="2">
        <v>55</v>
      </c>
      <c r="X9" s="4">
        <v>-4.7389057065013418</v>
      </c>
    </row>
    <row r="10" spans="2:24">
      <c r="B10">
        <f t="shared" si="0"/>
        <v>0.43646723031997681</v>
      </c>
      <c r="D10">
        <f t="shared" si="1"/>
        <v>9.2003388577163303</v>
      </c>
      <c r="G10" s="3">
        <v>63</v>
      </c>
      <c r="X10" s="4">
        <v>-6.4348374528705676</v>
      </c>
    </row>
    <row r="11" spans="2:24">
      <c r="B11">
        <f t="shared" si="0"/>
        <v>0.52706623077392578</v>
      </c>
      <c r="D11">
        <f t="shared" si="1"/>
        <v>10.339485555525863</v>
      </c>
      <c r="G11" s="3">
        <v>68</v>
      </c>
      <c r="X11" s="4">
        <v>5.6731723311249027</v>
      </c>
    </row>
    <row r="12" spans="2:24">
      <c r="B12">
        <f t="shared" si="0"/>
        <v>0.91438788175582886</v>
      </c>
      <c r="D12">
        <f t="shared" si="1"/>
        <v>16.841403389833541</v>
      </c>
      <c r="G12" s="3">
        <v>52</v>
      </c>
      <c r="X12" s="4">
        <v>-7.8363505795014134</v>
      </c>
    </row>
    <row r="13" spans="2:24">
      <c r="B13">
        <f t="shared" si="0"/>
        <v>0.71256697177886963</v>
      </c>
      <c r="D13">
        <f t="shared" si="1"/>
        <v>12.804497459408303</v>
      </c>
      <c r="G13" s="3">
        <v>55</v>
      </c>
      <c r="X13" s="4">
        <v>-8.776557717295546</v>
      </c>
    </row>
    <row r="14" spans="2:24">
      <c r="B14">
        <f t="shared" si="0"/>
        <v>0.62509757280349731</v>
      </c>
      <c r="D14">
        <f t="shared" si="1"/>
        <v>11.594483449952534</v>
      </c>
      <c r="G14" s="3">
        <v>66</v>
      </c>
    </row>
    <row r="15" spans="2:24">
      <c r="B15">
        <f t="shared" si="0"/>
        <v>0.40380215644836426</v>
      </c>
      <c r="D15">
        <f t="shared" si="1"/>
        <v>8.7824110983697015</v>
      </c>
      <c r="G15" s="3">
        <v>64</v>
      </c>
    </row>
    <row r="16" spans="2:24">
      <c r="B16">
        <f t="shared" si="0"/>
        <v>0.20629924535751343</v>
      </c>
      <c r="D16">
        <f t="shared" si="1"/>
        <v>5.9033528919983826</v>
      </c>
      <c r="G16" s="3">
        <v>77</v>
      </c>
      <c r="W16" t="s">
        <v>71</v>
      </c>
      <c r="X16" t="e">
        <f>PAJ_findname("Paul")</f>
        <v>#VALUE!</v>
      </c>
    </row>
    <row r="17" spans="2:20">
      <c r="B17">
        <f t="shared" si="0"/>
        <v>0.32047545909881592</v>
      </c>
      <c r="D17">
        <f t="shared" si="1"/>
        <v>7.668151654878633</v>
      </c>
      <c r="G17" s="3">
        <v>64</v>
      </c>
    </row>
    <row r="18" spans="2:20">
      <c r="G18" s="3">
        <v>65</v>
      </c>
    </row>
    <row r="19" spans="2:20">
      <c r="H19" t="s">
        <v>64</v>
      </c>
      <c r="I19" t="s">
        <v>65</v>
      </c>
    </row>
    <row r="20" spans="2:20">
      <c r="G20" t="s">
        <v>66</v>
      </c>
      <c r="H20">
        <f>PAJ_REG_A($G$9:$G$18,10)</f>
        <v>68.054542541503906</v>
      </c>
      <c r="I20">
        <f>PAJ_REG_B($G$9:$G$18,10)</f>
        <v>1.1454545259475708</v>
      </c>
    </row>
    <row r="21" spans="2:20">
      <c r="G21" t="s">
        <v>67</v>
      </c>
      <c r="H21">
        <f>PAJ_REG_A($G$9:$G$18,5)</f>
        <v>66.800003051757813</v>
      </c>
      <c r="I21">
        <f>PAJ_REG_B($G$9:$G$18,5)</f>
        <v>-0.20000000298023224</v>
      </c>
    </row>
    <row r="22" spans="2:20">
      <c r="G22" t="s">
        <v>57</v>
      </c>
      <c r="H22">
        <v>10</v>
      </c>
      <c r="J22" t="s">
        <v>69</v>
      </c>
    </row>
    <row r="23" spans="2:20">
      <c r="G23" t="s">
        <v>68</v>
      </c>
      <c r="H23">
        <f>PAJ_REG_A($G$9:$G$18,H22)</f>
        <v>68.054542541503906</v>
      </c>
      <c r="I23">
        <f>PAJ_REG_B($G$9:$G$18,H22)</f>
        <v>1.1454545259475708</v>
      </c>
      <c r="J23" t="str">
        <f>PAJ_LINEAR($H$20,$I$20,I23)</f>
        <v>***</v>
      </c>
    </row>
    <row r="24" spans="2:20">
      <c r="G24">
        <v>1</v>
      </c>
      <c r="J24">
        <f>PAJ_LINEAR($H$23:H24,$I$23:I24,G24)</f>
        <v>69.199997067451477</v>
      </c>
    </row>
    <row r="25" spans="2:20">
      <c r="G25">
        <v>2</v>
      </c>
      <c r="J25">
        <f>PAJ_LINEAR($H$23:H25,$I$23:I25,G25)</f>
        <v>70.345451593399048</v>
      </c>
    </row>
    <row r="26" spans="2:20">
      <c r="G26">
        <v>3</v>
      </c>
      <c r="J26">
        <f>PAJ_LINEAR($H$23:H26,$I$23:I26,G26)</f>
        <v>71.490906119346619</v>
      </c>
    </row>
    <row r="27" spans="2:20">
      <c r="G27">
        <v>4</v>
      </c>
      <c r="J27">
        <f>PAJ_LINEAR($H$23:H27,$I$23:I27,G27)</f>
        <v>72.636360645294189</v>
      </c>
    </row>
    <row r="28" spans="2:20">
      <c r="G28">
        <v>5</v>
      </c>
      <c r="J28">
        <f>PAJ_LINEAR($H$23:H28,$I$23:I28,G28)</f>
        <v>73.78181517124176</v>
      </c>
    </row>
    <row r="29" spans="2:20">
      <c r="G29">
        <v>6</v>
      </c>
      <c r="J29">
        <f>PAJ_LINEAR($H$23:H29,$I$23:I29,G29)</f>
        <v>74.927269697189331</v>
      </c>
    </row>
    <row r="30" spans="2:20">
      <c r="G30">
        <v>7</v>
      </c>
      <c r="J30">
        <f>PAJ_LINEAR($H$23:H30,$I$23:I30,G30)</f>
        <v>76.072724223136902</v>
      </c>
    </row>
    <row r="32" spans="2:20">
      <c r="G32" t="s">
        <v>66</v>
      </c>
      <c r="H32">
        <f>PAJ_REG_A($K$32:$T$32,10)</f>
        <v>68.054542541503906</v>
      </c>
      <c r="I32">
        <f>PAJ_REG_B($K$32:$T$32,10)</f>
        <v>1.1454545259475708</v>
      </c>
      <c r="K32">
        <v>55</v>
      </c>
      <c r="L32">
        <v>63</v>
      </c>
      <c r="M32">
        <v>68</v>
      </c>
      <c r="N32">
        <v>52</v>
      </c>
      <c r="O32">
        <v>55</v>
      </c>
      <c r="P32">
        <v>66</v>
      </c>
      <c r="Q32">
        <v>64</v>
      </c>
      <c r="R32">
        <v>77</v>
      </c>
      <c r="S32">
        <v>64</v>
      </c>
      <c r="T32">
        <v>65</v>
      </c>
    </row>
    <row r="33" spans="7:9">
      <c r="G33" t="s">
        <v>67</v>
      </c>
      <c r="H33">
        <f>PAJ_REG_A($G$9:$G$18,5)</f>
        <v>66.800003051757813</v>
      </c>
      <c r="I33">
        <f>PAJ_REG_B($G$9:$G$18,5)</f>
        <v>-0.20000000298023224</v>
      </c>
    </row>
    <row r="34" spans="7:9">
      <c r="G34" t="s">
        <v>57</v>
      </c>
      <c r="H34">
        <v>10</v>
      </c>
    </row>
  </sheetData>
  <phoneticPr fontId="2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3:C6"/>
  <sheetViews>
    <sheetView workbookViewId="0">
      <selection activeCell="F36" sqref="F36"/>
    </sheetView>
  </sheetViews>
  <sheetFormatPr defaultRowHeight="11.4"/>
  <cols>
    <col min="1" max="256" width="11" customWidth="1"/>
  </cols>
  <sheetData>
    <row r="3" spans="3:3" ht="12">
      <c r="C3" s="5" t="s">
        <v>72</v>
      </c>
    </row>
    <row r="6" spans="3:3" ht="12">
      <c r="C6" s="5" t="s">
        <v>73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3" name="Button 8">
              <controlPr defaultSize="0" print="0" autoFill="0" autoPict="0" macro="[0]!PAJ_add">
                <anchor moveWithCells="1">
                  <from>
                    <xdr:col>1</xdr:col>
                    <xdr:colOff>487680</xdr:colOff>
                    <xdr:row>1</xdr:row>
                    <xdr:rowOff>99060</xdr:rowOff>
                  </from>
                  <to>
                    <xdr:col>2</xdr:col>
                    <xdr:colOff>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4" name="Button 9">
              <controlPr defaultSize="0" print="0" autoFill="0" autoPict="0" macro="[0]!PAJ_solve">
                <anchor moveWithCells="1">
                  <from>
                    <xdr:col>1</xdr:col>
                    <xdr:colOff>487680</xdr:colOff>
                    <xdr:row>4</xdr:row>
                    <xdr:rowOff>99060</xdr:rowOff>
                  </from>
                  <to>
                    <xdr:col>2</xdr:col>
                    <xdr:colOff>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2:R33"/>
  <sheetViews>
    <sheetView topLeftCell="I1" workbookViewId="0">
      <selection activeCell="R28" sqref="R28"/>
    </sheetView>
  </sheetViews>
  <sheetFormatPr defaultRowHeight="11.4"/>
  <cols>
    <col min="1" max="2" width="11" customWidth="1"/>
    <col min="3" max="3" width="22" customWidth="1"/>
    <col min="4" max="5" width="11" customWidth="1"/>
    <col min="6" max="6" width="20.125" customWidth="1"/>
    <col min="7" max="10" width="11" customWidth="1"/>
    <col min="11" max="13" width="14" customWidth="1"/>
    <col min="14" max="16" width="11" customWidth="1"/>
    <col min="17" max="17" width="6.125" customWidth="1"/>
    <col min="18" max="256" width="11" customWidth="1"/>
  </cols>
  <sheetData>
    <row r="2" spans="3:18">
      <c r="C2" s="1" t="s">
        <v>74</v>
      </c>
      <c r="D2" s="7">
        <v>5</v>
      </c>
      <c r="F2" s="1" t="s">
        <v>74</v>
      </c>
      <c r="G2" s="1" t="s">
        <v>100</v>
      </c>
      <c r="H2" s="1" t="s">
        <v>101</v>
      </c>
      <c r="K2" s="1" t="s">
        <v>74</v>
      </c>
      <c r="L2" s="1" t="s">
        <v>100</v>
      </c>
      <c r="M2" s="1" t="s">
        <v>101</v>
      </c>
      <c r="N2" s="1" t="s">
        <v>102</v>
      </c>
      <c r="O2" s="1" t="s">
        <v>103</v>
      </c>
      <c r="P2" s="20" t="s">
        <v>126</v>
      </c>
    </row>
    <row r="3" spans="3:18">
      <c r="C3" s="1" t="s">
        <v>100</v>
      </c>
      <c r="D3" s="7">
        <v>2</v>
      </c>
      <c r="F3" s="11">
        <v>5</v>
      </c>
      <c r="G3" s="11">
        <v>2</v>
      </c>
      <c r="H3" s="11">
        <v>3</v>
      </c>
      <c r="K3">
        <v>10</v>
      </c>
      <c r="L3">
        <v>11</v>
      </c>
      <c r="M3">
        <v>1</v>
      </c>
      <c r="N3" t="s">
        <v>56</v>
      </c>
      <c r="O3" t="s">
        <v>56</v>
      </c>
      <c r="P3" t="e">
        <f ca="1">[1]!Q_Lq(K3:O3)</f>
        <v>#NAME?</v>
      </c>
      <c r="R3" t="s">
        <v>120</v>
      </c>
    </row>
    <row r="4" spans="3:18">
      <c r="C4" s="1" t="s">
        <v>101</v>
      </c>
      <c r="D4" s="7">
        <v>3</v>
      </c>
      <c r="K4">
        <v>10</v>
      </c>
      <c r="L4">
        <v>11</v>
      </c>
      <c r="M4">
        <v>1</v>
      </c>
      <c r="N4">
        <v>5</v>
      </c>
      <c r="O4" t="s">
        <v>56</v>
      </c>
      <c r="P4" t="e">
        <f ca="1">[1]!Q_Lq(K4:O4)</f>
        <v>#NAME?</v>
      </c>
      <c r="R4" t="s">
        <v>121</v>
      </c>
    </row>
    <row r="5" spans="3:18">
      <c r="K5">
        <v>10</v>
      </c>
      <c r="L5">
        <v>11</v>
      </c>
      <c r="M5">
        <v>1</v>
      </c>
      <c r="N5">
        <v>5</v>
      </c>
      <c r="O5">
        <v>10</v>
      </c>
      <c r="P5" t="e">
        <f ca="1">[1]!Q_Lq(K5:O5)</f>
        <v>#NAME?</v>
      </c>
      <c r="R5" t="s">
        <v>122</v>
      </c>
    </row>
    <row r="8" spans="3:18">
      <c r="C8" s="1" t="s">
        <v>75</v>
      </c>
      <c r="D8" s="8" t="e">
        <f ca="1">[1]!Q_type($D$2:$D$4)</f>
        <v>#NAME?</v>
      </c>
      <c r="F8" s="1" t="s">
        <v>75</v>
      </c>
      <c r="G8" s="8" t="e">
        <f ca="1">[1]!Q_type(F3:H3)</f>
        <v>#NAME?</v>
      </c>
      <c r="J8" s="18" t="s">
        <v>74</v>
      </c>
      <c r="K8">
        <v>10</v>
      </c>
      <c r="L8">
        <v>10</v>
      </c>
      <c r="M8">
        <v>10</v>
      </c>
    </row>
    <row r="9" spans="3:18">
      <c r="C9" s="1" t="s">
        <v>76</v>
      </c>
      <c r="D9" s="9" t="e">
        <f ca="1">[1]!Q_L(D2:D4)</f>
        <v>#NAME?</v>
      </c>
      <c r="F9" s="1" t="s">
        <v>76</v>
      </c>
      <c r="G9" s="9" t="e">
        <f ca="1">[1]!Q_L(F3:H3)</f>
        <v>#NAME?</v>
      </c>
      <c r="J9" s="18" t="s">
        <v>100</v>
      </c>
      <c r="K9">
        <v>11</v>
      </c>
      <c r="L9">
        <v>11</v>
      </c>
      <c r="M9">
        <v>11</v>
      </c>
    </row>
    <row r="10" spans="3:18">
      <c r="C10" s="1" t="s">
        <v>77</v>
      </c>
      <c r="D10" s="9" t="e">
        <f ca="1">[1]!Q_W(D2:D4)</f>
        <v>#NAME?</v>
      </c>
      <c r="F10" s="1" t="s">
        <v>77</v>
      </c>
      <c r="G10" s="9" t="e">
        <f ca="1">[1]!Q_W(F3:H3)</f>
        <v>#NAME?</v>
      </c>
      <c r="J10" s="18" t="s">
        <v>101</v>
      </c>
      <c r="K10">
        <v>1</v>
      </c>
      <c r="L10">
        <v>1</v>
      </c>
      <c r="M10">
        <v>1</v>
      </c>
    </row>
    <row r="11" spans="3:18">
      <c r="C11" s="1" t="s">
        <v>78</v>
      </c>
      <c r="D11" s="9" t="e">
        <f ca="1">[1]!Q_Lq(D2:D4)</f>
        <v>#NAME?</v>
      </c>
      <c r="F11" s="1" t="s">
        <v>78</v>
      </c>
      <c r="G11" s="9" t="e">
        <f ca="1">[1]!Q_Lq(F3:H3)</f>
        <v>#NAME?</v>
      </c>
      <c r="J11" s="18" t="s">
        <v>102</v>
      </c>
      <c r="K11" t="s">
        <v>56</v>
      </c>
      <c r="L11">
        <v>5</v>
      </c>
      <c r="M11">
        <v>5</v>
      </c>
    </row>
    <row r="12" spans="3:18">
      <c r="C12" s="1" t="s">
        <v>79</v>
      </c>
      <c r="D12" s="9" t="e">
        <f ca="1">[1]!Q_Wq(D2:D4)</f>
        <v>#NAME?</v>
      </c>
      <c r="F12" s="1" t="s">
        <v>79</v>
      </c>
      <c r="G12" s="9" t="e">
        <f ca="1">[1]!Q_Wq(F3:H3)</f>
        <v>#NAME?</v>
      </c>
      <c r="J12" s="18" t="s">
        <v>103</v>
      </c>
      <c r="K12" t="s">
        <v>56</v>
      </c>
      <c r="L12" t="s">
        <v>56</v>
      </c>
      <c r="M12">
        <v>10</v>
      </c>
    </row>
    <row r="13" spans="3:18">
      <c r="C13" s="1" t="s">
        <v>80</v>
      </c>
      <c r="D13" s="9" t="e">
        <f ca="1">[1]!Q_Ls(D2:D4)</f>
        <v>#NAME?</v>
      </c>
      <c r="F13" s="1" t="s">
        <v>80</v>
      </c>
      <c r="G13" s="9" t="e">
        <f ca="1">[1]!Q_Ls(F3:H3)</f>
        <v>#NAME?</v>
      </c>
      <c r="J13" s="18" t="s">
        <v>104</v>
      </c>
      <c r="K13" t="e">
        <f ca="1">[1]!Q_Lq(K8:K12)</f>
        <v>#NAME?</v>
      </c>
      <c r="L13" t="e">
        <f ca="1">[1]!Q_Lq(L8:L12)</f>
        <v>#NAME?</v>
      </c>
      <c r="M13" t="e">
        <f ca="1">[1]!Q_Lq(M8:M12)</f>
        <v>#NAME?</v>
      </c>
    </row>
    <row r="14" spans="3:18" ht="19.95" customHeight="1">
      <c r="C14" s="1" t="s">
        <v>81</v>
      </c>
      <c r="D14" s="9" t="e">
        <f ca="1">[1]!Q_Ws(D2:D4)</f>
        <v>#NAME?</v>
      </c>
      <c r="F14" s="1" t="s">
        <v>81</v>
      </c>
      <c r="G14" s="9" t="e">
        <f ca="1">[1]!Q_Ws(F3:H3)</f>
        <v>#NAME?</v>
      </c>
    </row>
    <row r="15" spans="3:18">
      <c r="C15" s="1" t="s">
        <v>82</v>
      </c>
      <c r="D15" s="9" t="e">
        <f ca="1">[1]!Q_LamB(D2:D4)</f>
        <v>#NAME?</v>
      </c>
      <c r="F15" s="1" t="s">
        <v>82</v>
      </c>
      <c r="G15" s="9" t="e">
        <f ca="1">[1]!Q_LamB(F3:H3)</f>
        <v>#NAME?</v>
      </c>
      <c r="K15" s="1" t="s">
        <v>123</v>
      </c>
      <c r="L15" s="1" t="s">
        <v>124</v>
      </c>
      <c r="M15" s="1" t="s">
        <v>125</v>
      </c>
    </row>
    <row r="16" spans="3:18">
      <c r="C16" s="1" t="s">
        <v>83</v>
      </c>
      <c r="D16" s="9" t="e">
        <f ca="1">[1]!Q_Eff(D2:D4)</f>
        <v>#NAME?</v>
      </c>
      <c r="F16" s="1" t="s">
        <v>83</v>
      </c>
      <c r="G16" s="9" t="e">
        <f ca="1">[1]!Q_Eff(F3:H3)</f>
        <v>#NAME?</v>
      </c>
    </row>
    <row r="17" spans="3:7">
      <c r="C17" s="1" t="s">
        <v>84</v>
      </c>
      <c r="D17" s="9" t="e">
        <f ca="1">[1]!Q_P0(D2:D4)</f>
        <v>#NAME?</v>
      </c>
      <c r="F17" s="1" t="s">
        <v>84</v>
      </c>
      <c r="G17" s="9" t="e">
        <f ca="1">[1]!Q_P0(F3:H3)</f>
        <v>#NAME?</v>
      </c>
    </row>
    <row r="18" spans="3:7">
      <c r="C18" s="1" t="s">
        <v>85</v>
      </c>
      <c r="D18" s="9" t="e">
        <f ca="1">[1]!Q_PB(D2:D4)</f>
        <v>#NAME?</v>
      </c>
      <c r="F18" s="1" t="s">
        <v>85</v>
      </c>
      <c r="G18" s="9" t="e">
        <f ca="1">[1]!Q_PB(F3:H3)</f>
        <v>#NAME?</v>
      </c>
    </row>
    <row r="19" spans="3:7">
      <c r="C19" s="1" t="s">
        <v>86</v>
      </c>
      <c r="D19" s="9" t="e">
        <f ca="1">[1]!Q_PF(D2:D4)</f>
        <v>#NAME?</v>
      </c>
      <c r="F19" s="1" t="s">
        <v>86</v>
      </c>
      <c r="G19" s="9" t="e">
        <f ca="1">[1]!Q_PF(F3:H3)</f>
        <v>#NAME?</v>
      </c>
    </row>
    <row r="20" spans="3:7">
      <c r="C20" s="1" t="s">
        <v>87</v>
      </c>
      <c r="D20" s="9">
        <v>0.5</v>
      </c>
      <c r="F20" s="1" t="s">
        <v>87</v>
      </c>
      <c r="G20" s="9">
        <v>0.5</v>
      </c>
    </row>
    <row r="21" spans="3:7">
      <c r="C21" s="1" t="s">
        <v>88</v>
      </c>
      <c r="D21" s="9" t="e">
        <f ca="1">[1]!Q_PTq(D20,D2:D4)</f>
        <v>#NAME?</v>
      </c>
      <c r="F21" s="1" t="s">
        <v>88</v>
      </c>
      <c r="G21" s="9" t="e">
        <f ca="1">[1]!Q_PTq(G20,F3:H3)</f>
        <v>#NAME?</v>
      </c>
    </row>
    <row r="22" spans="3:7">
      <c r="C22" s="1" t="s">
        <v>89</v>
      </c>
      <c r="D22" s="9" t="e">
        <f ca="1">[1]!Q_P0(D2:D4)</f>
        <v>#NAME?</v>
      </c>
      <c r="F22" s="1" t="s">
        <v>89</v>
      </c>
      <c r="G22" s="9" t="e">
        <f ca="1">[1]!Q_P0(F3:H3)</f>
        <v>#NAME?</v>
      </c>
    </row>
    <row r="23" spans="3:7">
      <c r="C23" s="1" t="s">
        <v>90</v>
      </c>
      <c r="D23" s="9" t="e">
        <f ca="1">[1]!Q_FNEXT(1,D2:D4)*D22</f>
        <v>#NAME?</v>
      </c>
      <c r="F23" s="1" t="s">
        <v>90</v>
      </c>
      <c r="G23" s="9" t="e">
        <f ca="1">[1]!Q_FNEXT(1,F3:H3)*G22</f>
        <v>#NAME?</v>
      </c>
    </row>
    <row r="24" spans="3:7">
      <c r="C24" s="1" t="s">
        <v>91</v>
      </c>
      <c r="D24" s="9" t="e">
        <f ca="1">[1]!Q_FNEXT(2,D2:D4)*D23</f>
        <v>#NAME?</v>
      </c>
      <c r="F24" s="1" t="s">
        <v>91</v>
      </c>
      <c r="G24" s="9" t="e">
        <f ca="1">[1]!Q_FNEXT(2,F3:H3)*G23</f>
        <v>#NAME?</v>
      </c>
    </row>
    <row r="25" spans="3:7">
      <c r="C25" s="1" t="s">
        <v>92</v>
      </c>
      <c r="D25" s="9" t="e">
        <f ca="1">[1]!Q_FNEXT(3,D2:D4)*D24</f>
        <v>#NAME?</v>
      </c>
      <c r="F25" s="1" t="s">
        <v>92</v>
      </c>
      <c r="G25" s="9" t="e">
        <f ca="1">[1]!Q_FNEXT(3,F3:H3)*G24</f>
        <v>#NAME?</v>
      </c>
    </row>
    <row r="26" spans="3:7">
      <c r="C26" s="1" t="s">
        <v>93</v>
      </c>
      <c r="D26" s="9" t="e">
        <f ca="1">[1]!Q_FNEXT(4,D2:D4)*D25</f>
        <v>#NAME?</v>
      </c>
      <c r="F26" s="1" t="s">
        <v>93</v>
      </c>
      <c r="G26" s="9" t="e">
        <f ca="1">[1]!Q_FNEXT(4,F3:H3)*G25</f>
        <v>#NAME?</v>
      </c>
    </row>
    <row r="27" spans="3:7">
      <c r="C27" s="1" t="s">
        <v>94</v>
      </c>
      <c r="D27" s="9" t="e">
        <f ca="1">[1]!Q_FNEXT(5,D2:D4)*D26</f>
        <v>#NAME?</v>
      </c>
      <c r="F27" s="1" t="s">
        <v>94</v>
      </c>
      <c r="G27" s="9" t="e">
        <f ca="1">[1]!Q_FNEXT(5,F3:H3)*G26</f>
        <v>#NAME?</v>
      </c>
    </row>
    <row r="28" spans="3:7">
      <c r="C28" s="1" t="s">
        <v>95</v>
      </c>
      <c r="D28" s="9" t="e">
        <f ca="1">[1]!Q_FNEXT(6,D2:D4)*D27</f>
        <v>#NAME?</v>
      </c>
      <c r="F28" s="1" t="s">
        <v>95</v>
      </c>
      <c r="G28" s="9" t="e">
        <f ca="1">[1]!Q_FNEXT(6,F3:H3)*G27</f>
        <v>#NAME?</v>
      </c>
    </row>
    <row r="29" spans="3:7">
      <c r="C29" s="1" t="s">
        <v>96</v>
      </c>
      <c r="D29" s="9" t="e">
        <f ca="1">[1]!Q_FNEXT(7,D2:D4)*D28</f>
        <v>#NAME?</v>
      </c>
      <c r="F29" s="1" t="s">
        <v>96</v>
      </c>
      <c r="G29" s="9" t="e">
        <f ca="1">[1]!Q_FNEXT(7,F3:H3)*G28</f>
        <v>#NAME?</v>
      </c>
    </row>
    <row r="30" spans="3:7">
      <c r="C30" s="1" t="s">
        <v>97</v>
      </c>
      <c r="D30" s="9" t="e">
        <f ca="1">[1]!Q_FNEXT(8,D2:D4)*D29</f>
        <v>#NAME?</v>
      </c>
      <c r="F30" s="1" t="s">
        <v>97</v>
      </c>
      <c r="G30" s="9" t="e">
        <f ca="1">[1]!Q_FNEXT(8,F3:H3)*G29</f>
        <v>#NAME?</v>
      </c>
    </row>
    <row r="31" spans="3:7">
      <c r="C31" s="1" t="s">
        <v>98</v>
      </c>
      <c r="D31" s="9" t="e">
        <f ca="1">[1]!Q_FNEXT(9,D2:D4)*D30</f>
        <v>#NAME?</v>
      </c>
      <c r="F31" s="1" t="s">
        <v>98</v>
      </c>
      <c r="G31" s="9" t="e">
        <f ca="1">[1]!Q_FNEXT(9,F3:H3)*G30</f>
        <v>#NAME?</v>
      </c>
    </row>
    <row r="32" spans="3:7" ht="12" thickBot="1">
      <c r="C32" s="1" t="s">
        <v>99</v>
      </c>
      <c r="D32" s="10" t="e">
        <f ca="1">[1]!Q_FNEXT(10,D2:D4)*D31</f>
        <v>#NAME?</v>
      </c>
      <c r="F32" s="1" t="s">
        <v>99</v>
      </c>
      <c r="G32" s="10" t="e">
        <f ca="1">[1]!Q_FNEXT(10,F3:H3)*G31</f>
        <v>#NAME?</v>
      </c>
    </row>
    <row r="33" ht="12" thickTop="1"/>
  </sheetData>
  <phoneticPr fontId="2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0"/>
  <sheetViews>
    <sheetView workbookViewId="0">
      <selection activeCell="G38" sqref="G38"/>
    </sheetView>
  </sheetViews>
  <sheetFormatPr defaultRowHeight="11.4"/>
  <cols>
    <col min="1" max="256" width="11" customWidth="1"/>
  </cols>
  <sheetData>
    <row r="1" spans="2:7"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15</v>
      </c>
    </row>
    <row r="2" spans="2:7">
      <c r="B2">
        <v>100</v>
      </c>
      <c r="C2">
        <v>50</v>
      </c>
      <c r="D2">
        <f>PAJ_GCD(B2,C2)</f>
        <v>50</v>
      </c>
      <c r="E2">
        <f>B2/D2</f>
        <v>2</v>
      </c>
      <c r="F2">
        <f>C2/D2</f>
        <v>1</v>
      </c>
      <c r="G2">
        <f t="shared" ref="G2:G20" si="0">PAJ_LCM(B2,C2)</f>
        <v>100</v>
      </c>
    </row>
    <row r="3" spans="2:7">
      <c r="B3">
        <v>3</v>
      </c>
      <c r="C3">
        <v>4</v>
      </c>
      <c r="D3">
        <f t="shared" ref="D3:D20" si="1">PAJ_GCD(B3,C3)</f>
        <v>1</v>
      </c>
      <c r="E3">
        <f t="shared" ref="E3:E8" si="2">B3/D3</f>
        <v>3</v>
      </c>
      <c r="F3">
        <f t="shared" ref="F3:F8" si="3">C3/D3</f>
        <v>4</v>
      </c>
      <c r="G3">
        <f t="shared" si="0"/>
        <v>12</v>
      </c>
    </row>
    <row r="4" spans="2:7">
      <c r="B4">
        <v>3</v>
      </c>
      <c r="C4">
        <v>6</v>
      </c>
      <c r="D4">
        <f t="shared" si="1"/>
        <v>3</v>
      </c>
      <c r="E4">
        <f t="shared" si="2"/>
        <v>1</v>
      </c>
      <c r="F4">
        <f t="shared" si="3"/>
        <v>2</v>
      </c>
      <c r="G4">
        <f t="shared" si="0"/>
        <v>6</v>
      </c>
    </row>
    <row r="5" spans="2:7">
      <c r="B5">
        <v>1.5</v>
      </c>
      <c r="C5">
        <v>4</v>
      </c>
      <c r="D5">
        <f t="shared" si="1"/>
        <v>0.5</v>
      </c>
      <c r="E5">
        <f t="shared" si="2"/>
        <v>3</v>
      </c>
      <c r="F5">
        <f t="shared" si="3"/>
        <v>8</v>
      </c>
      <c r="G5">
        <f t="shared" si="0"/>
        <v>12</v>
      </c>
    </row>
    <row r="6" spans="2:7">
      <c r="B6">
        <v>7</v>
      </c>
      <c r="C6">
        <v>14</v>
      </c>
      <c r="D6">
        <f t="shared" si="1"/>
        <v>7</v>
      </c>
      <c r="E6">
        <f t="shared" si="2"/>
        <v>1</v>
      </c>
      <c r="F6">
        <f t="shared" si="3"/>
        <v>2</v>
      </c>
      <c r="G6">
        <f t="shared" si="0"/>
        <v>14</v>
      </c>
    </row>
    <row r="7" spans="2:7">
      <c r="B7">
        <v>0.3</v>
      </c>
      <c r="C7">
        <v>0.9</v>
      </c>
      <c r="D7">
        <f t="shared" si="1"/>
        <v>0.29999995231628418</v>
      </c>
      <c r="E7">
        <f t="shared" si="2"/>
        <v>1.0000001589457446</v>
      </c>
      <c r="F7">
        <f t="shared" si="3"/>
        <v>3.0000004768372341</v>
      </c>
      <c r="G7">
        <f t="shared" si="0"/>
        <v>0.90000014305117026</v>
      </c>
    </row>
    <row r="8" spans="2:7">
      <c r="B8">
        <v>0.6</v>
      </c>
      <c r="C8">
        <v>0.9</v>
      </c>
      <c r="D8">
        <f t="shared" si="1"/>
        <v>0.29999995231628418</v>
      </c>
      <c r="E8">
        <f t="shared" si="2"/>
        <v>2.0000003178914891</v>
      </c>
      <c r="F8">
        <f t="shared" si="3"/>
        <v>3.0000004768372341</v>
      </c>
      <c r="G8">
        <f t="shared" si="0"/>
        <v>1.8000002861023405</v>
      </c>
    </row>
    <row r="9" spans="2:7">
      <c r="D9" t="str">
        <f t="shared" si="1"/>
        <v>***</v>
      </c>
      <c r="G9" t="str">
        <f t="shared" si="0"/>
        <v>***</v>
      </c>
    </row>
    <row r="10" spans="2:7">
      <c r="D10" t="str">
        <f t="shared" si="1"/>
        <v>***</v>
      </c>
      <c r="G10" t="str">
        <f t="shared" si="0"/>
        <v>***</v>
      </c>
    </row>
    <row r="11" spans="2:7">
      <c r="D11" t="str">
        <f t="shared" si="1"/>
        <v>***</v>
      </c>
      <c r="G11" t="str">
        <f t="shared" si="0"/>
        <v>***</v>
      </c>
    </row>
    <row r="12" spans="2:7">
      <c r="D12" t="str">
        <f t="shared" si="1"/>
        <v>***</v>
      </c>
      <c r="G12" t="str">
        <f t="shared" si="0"/>
        <v>***</v>
      </c>
    </row>
    <row r="13" spans="2:7">
      <c r="D13" t="str">
        <f t="shared" si="1"/>
        <v>***</v>
      </c>
      <c r="G13" t="str">
        <f t="shared" si="0"/>
        <v>***</v>
      </c>
    </row>
    <row r="14" spans="2:7">
      <c r="D14" t="str">
        <f t="shared" si="1"/>
        <v>***</v>
      </c>
      <c r="G14" t="str">
        <f t="shared" si="0"/>
        <v>***</v>
      </c>
    </row>
    <row r="15" spans="2:7">
      <c r="D15" t="str">
        <f t="shared" si="1"/>
        <v>***</v>
      </c>
      <c r="G15" t="str">
        <f t="shared" si="0"/>
        <v>***</v>
      </c>
    </row>
    <row r="16" spans="2:7">
      <c r="D16" t="str">
        <f t="shared" si="1"/>
        <v>***</v>
      </c>
      <c r="G16" t="str">
        <f t="shared" si="0"/>
        <v>***</v>
      </c>
    </row>
    <row r="17" spans="4:7">
      <c r="D17" t="str">
        <f t="shared" si="1"/>
        <v>***</v>
      </c>
      <c r="G17" t="str">
        <f t="shared" si="0"/>
        <v>***</v>
      </c>
    </row>
    <row r="18" spans="4:7">
      <c r="D18" t="str">
        <f t="shared" si="1"/>
        <v>***</v>
      </c>
      <c r="G18" t="str">
        <f t="shared" si="0"/>
        <v>***</v>
      </c>
    </row>
    <row r="19" spans="4:7">
      <c r="D19" t="str">
        <f t="shared" si="1"/>
        <v>***</v>
      </c>
      <c r="G19" t="str">
        <f t="shared" si="0"/>
        <v>***</v>
      </c>
    </row>
    <row r="20" spans="4:7">
      <c r="D20" t="str">
        <f t="shared" si="1"/>
        <v>***</v>
      </c>
      <c r="G20" t="str">
        <f t="shared" si="0"/>
        <v>***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30"/>
  <sheetViews>
    <sheetView workbookViewId="0">
      <selection activeCell="G30" sqref="G30"/>
    </sheetView>
  </sheetViews>
  <sheetFormatPr defaultRowHeight="11.4"/>
  <cols>
    <col min="1" max="1" width="11" customWidth="1"/>
    <col min="2" max="2" width="30" bestFit="1" customWidth="1"/>
    <col min="3" max="256" width="11" customWidth="1"/>
  </cols>
  <sheetData>
    <row r="1" spans="2:16" ht="12" thickBot="1"/>
    <row r="2" spans="2:16" ht="13.2" thickTop="1" thickBot="1">
      <c r="B2" s="6" t="s">
        <v>18</v>
      </c>
      <c r="C2" s="21" t="s">
        <v>19</v>
      </c>
      <c r="E2" s="21" t="s">
        <v>47</v>
      </c>
      <c r="F2" s="22" t="s">
        <v>47</v>
      </c>
      <c r="G2" s="22" t="s">
        <v>21</v>
      </c>
      <c r="H2" s="23">
        <v>100</v>
      </c>
      <c r="I2" s="23">
        <v>1000</v>
      </c>
      <c r="J2" s="23">
        <v>0</v>
      </c>
      <c r="K2" s="23">
        <v>10</v>
      </c>
      <c r="L2" s="23">
        <v>0</v>
      </c>
      <c r="M2" s="23">
        <v>1000000</v>
      </c>
      <c r="N2" s="24">
        <v>4.999999888241291E-3</v>
      </c>
      <c r="O2" s="23">
        <v>0</v>
      </c>
      <c r="P2" s="25">
        <v>0</v>
      </c>
    </row>
    <row r="3" spans="2:16" ht="12.6" thickTop="1" thickBot="1">
      <c r="B3" s="1" t="s">
        <v>20</v>
      </c>
      <c r="C3" s="22" t="s">
        <v>19</v>
      </c>
    </row>
    <row r="4" spans="2:16" ht="12.6" thickTop="1" thickBot="1">
      <c r="B4" s="1" t="s">
        <v>75</v>
      </c>
      <c r="C4" s="22" t="s">
        <v>21</v>
      </c>
      <c r="E4" t="s">
        <v>48</v>
      </c>
      <c r="F4" s="32">
        <v>400</v>
      </c>
    </row>
    <row r="5" spans="2:16" ht="12.6" thickTop="1" thickBot="1">
      <c r="B5" s="1" t="s">
        <v>22</v>
      </c>
      <c r="C5" s="23">
        <v>100</v>
      </c>
      <c r="E5" t="s">
        <v>50</v>
      </c>
      <c r="F5" s="33" t="e">
        <f ca="1">[3]!Inv_TotProfit(F4,_Inv2)</f>
        <v>#NAME?</v>
      </c>
    </row>
    <row r="6" spans="2:16" ht="12.6" thickTop="1" thickBot="1">
      <c r="B6" s="1" t="s">
        <v>23</v>
      </c>
      <c r="C6" s="23">
        <v>1000</v>
      </c>
    </row>
    <row r="7" spans="2:16" ht="12.6" thickTop="1" thickBot="1">
      <c r="B7" s="1" t="s">
        <v>24</v>
      </c>
      <c r="C7" s="23">
        <v>0</v>
      </c>
      <c r="E7" t="s">
        <v>49</v>
      </c>
      <c r="F7" s="32" t="e">
        <f ca="1">[3]!Inv_EOQ(_Inv2)</f>
        <v>#NAME?</v>
      </c>
    </row>
    <row r="8" spans="2:16" ht="12.6" thickTop="1" thickBot="1">
      <c r="B8" s="1" t="s">
        <v>25</v>
      </c>
      <c r="C8" s="23">
        <v>10</v>
      </c>
      <c r="E8" t="s">
        <v>51</v>
      </c>
      <c r="F8" s="33" t="e">
        <f ca="1">[3]!Inv_TotProfit(F7,_Inv2)</f>
        <v>#NAME?</v>
      </c>
    </row>
    <row r="9" spans="2:16" ht="12" thickTop="1">
      <c r="B9" s="1" t="s">
        <v>26</v>
      </c>
      <c r="C9" s="23">
        <v>0</v>
      </c>
    </row>
    <row r="10" spans="2:16">
      <c r="B10" s="1" t="s">
        <v>27</v>
      </c>
      <c r="C10" s="23">
        <v>1000000</v>
      </c>
    </row>
    <row r="11" spans="2:16">
      <c r="B11" s="1" t="s">
        <v>28</v>
      </c>
      <c r="C11" s="24">
        <v>4.999999888241291E-3</v>
      </c>
    </row>
    <row r="12" spans="2:16">
      <c r="B12" s="1" t="s">
        <v>29</v>
      </c>
      <c r="C12" s="23">
        <v>0</v>
      </c>
    </row>
    <row r="13" spans="2:16" ht="12" thickBot="1">
      <c r="B13" s="1" t="s">
        <v>30</v>
      </c>
      <c r="C13" s="25">
        <v>0</v>
      </c>
    </row>
    <row r="14" spans="2:16" ht="12.6" thickTop="1" thickBot="1">
      <c r="B14" s="1" t="s">
        <v>31</v>
      </c>
      <c r="C14" s="26">
        <v>400</v>
      </c>
    </row>
    <row r="15" spans="2:16" ht="12" thickTop="1">
      <c r="B15" s="1" t="s">
        <v>32</v>
      </c>
      <c r="C15" s="27" t="e">
        <f ca="1">[3]!Inv_TotProfit(Inv1_Inst,_Inv1)</f>
        <v>#NAME?</v>
      </c>
    </row>
    <row r="16" spans="2:16">
      <c r="B16" s="1" t="s">
        <v>33</v>
      </c>
      <c r="C16" s="28" t="e">
        <f ca="1">[3]!Inv_InvCost(Inv1_Inst,_Inv1)</f>
        <v>#NAME?</v>
      </c>
    </row>
    <row r="17" spans="2:3">
      <c r="B17" s="1" t="s">
        <v>34</v>
      </c>
      <c r="C17" s="29" t="e">
        <f ca="1">[3]!Inv_Level(Inv1_Inst,_Inv1)</f>
        <v>#NAME?</v>
      </c>
    </row>
    <row r="18" spans="2:3">
      <c r="B18" s="1" t="s">
        <v>35</v>
      </c>
      <c r="C18" s="29" t="e">
        <f ca="1">[3]!Inv_Max(Inv1_Inst,_Inv1)</f>
        <v>#NAME?</v>
      </c>
    </row>
    <row r="19" spans="2:3">
      <c r="B19" s="1" t="s">
        <v>36</v>
      </c>
      <c r="C19" s="29" t="e">
        <f ca="1">[3]!Inv_Reorder(Inv1_Inst,_Inv1)</f>
        <v>#NAME?</v>
      </c>
    </row>
    <row r="20" spans="2:3">
      <c r="B20" s="1" t="s">
        <v>37</v>
      </c>
      <c r="C20" s="30" t="e">
        <f ca="1">[3]!Inv_CycleTime(Inv1_Inst,_Inv1)</f>
        <v>#NAME?</v>
      </c>
    </row>
    <row r="21" spans="2:3" ht="12" thickBot="1">
      <c r="B21" s="1" t="s">
        <v>38</v>
      </c>
      <c r="C21" s="31" t="e">
        <f ca="1">[3]!Inv_ResTime(Inv1_Inst,_Inv1)</f>
        <v>#NAME?</v>
      </c>
    </row>
    <row r="22" spans="2:3" ht="12.6" thickTop="1" thickBot="1">
      <c r="B22" s="1" t="s">
        <v>39</v>
      </c>
      <c r="C22" s="32" t="e">
        <f ca="1">[3]!Inv_EOQ(_Inv1)</f>
        <v>#NAME?</v>
      </c>
    </row>
    <row r="23" spans="2:3" ht="12" thickTop="1">
      <c r="B23" s="1" t="s">
        <v>40</v>
      </c>
      <c r="C23" s="27" t="e">
        <f ca="1">[3]!Inv_TotProfit(Inv1_Opt,_Inv1)</f>
        <v>#NAME?</v>
      </c>
    </row>
    <row r="24" spans="2:3">
      <c r="B24" s="1" t="s">
        <v>41</v>
      </c>
      <c r="C24" s="28" t="e">
        <f ca="1">[3]!Inv_InvCost(Inv1_Opt,_Inv1)</f>
        <v>#NAME?</v>
      </c>
    </row>
    <row r="25" spans="2:3">
      <c r="B25" s="1" t="s">
        <v>42</v>
      </c>
      <c r="C25" s="29" t="e">
        <f ca="1">[3]!Inv_Level(Inv1_Opt,_Inv1)</f>
        <v>#NAME?</v>
      </c>
    </row>
    <row r="26" spans="2:3">
      <c r="B26" s="1" t="s">
        <v>43</v>
      </c>
      <c r="C26" s="29" t="e">
        <f ca="1">[3]!Inv_Max(Inv1_Opt,_Inv1)</f>
        <v>#NAME?</v>
      </c>
    </row>
    <row r="27" spans="2:3">
      <c r="B27" s="1" t="s">
        <v>44</v>
      </c>
      <c r="C27" s="29" t="e">
        <f ca="1">[3]!Inv_Reorder(Inv1_Opt,_Inv1)</f>
        <v>#NAME?</v>
      </c>
    </row>
    <row r="28" spans="2:3">
      <c r="B28" s="1" t="s">
        <v>45</v>
      </c>
      <c r="C28" s="30" t="e">
        <f ca="1">[3]!Inv_CycleTime(Inv1_Opt,_Inv1)</f>
        <v>#NAME?</v>
      </c>
    </row>
    <row r="29" spans="2:3" ht="12" thickBot="1">
      <c r="B29" s="1" t="s">
        <v>46</v>
      </c>
      <c r="C29" s="31" t="e">
        <f ca="1">[3]!Inv_ResTime(Inv1_Opt,_Inv1)</f>
        <v>#NAME?</v>
      </c>
    </row>
    <row r="30" spans="2:3" ht="12" thickTop="1">
      <c r="B30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2"/>
  <sheetViews>
    <sheetView topLeftCell="A2" workbookViewId="0">
      <selection activeCell="F35" sqref="F35"/>
    </sheetView>
  </sheetViews>
  <sheetFormatPr defaultRowHeight="11.4"/>
  <cols>
    <col min="1" max="1" width="11" customWidth="1"/>
    <col min="2" max="2" width="21.125" bestFit="1" customWidth="1"/>
    <col min="3" max="4" width="11" customWidth="1"/>
    <col min="5" max="5" width="3.625" customWidth="1"/>
    <col min="6" max="7" width="11" customWidth="1"/>
    <col min="8" max="8" width="12.875" bestFit="1" customWidth="1"/>
    <col min="9" max="256" width="11" customWidth="1"/>
  </cols>
  <sheetData>
    <row r="1" spans="2:10" ht="12" thickBot="1"/>
    <row r="2" spans="2:10" ht="12" thickTop="1">
      <c r="B2" s="12" t="s">
        <v>105</v>
      </c>
      <c r="C2" s="13" t="s">
        <v>109</v>
      </c>
    </row>
    <row r="3" spans="2:10">
      <c r="B3" s="14" t="s">
        <v>106</v>
      </c>
      <c r="C3" s="15" t="s">
        <v>110</v>
      </c>
      <c r="H3" s="19" t="s">
        <v>119</v>
      </c>
    </row>
    <row r="4" spans="2:10">
      <c r="B4" s="14" t="s">
        <v>107</v>
      </c>
      <c r="C4" s="15">
        <v>10</v>
      </c>
      <c r="H4" s="19">
        <v>0</v>
      </c>
    </row>
    <row r="5" spans="2:10" ht="12" thickBot="1">
      <c r="B5" s="16" t="s">
        <v>108</v>
      </c>
      <c r="C5" s="17">
        <v>5</v>
      </c>
      <c r="H5" s="19">
        <v>5</v>
      </c>
    </row>
    <row r="6" spans="2:10" ht="12" thickTop="1">
      <c r="H6" s="19">
        <v>10</v>
      </c>
    </row>
    <row r="7" spans="2:10" ht="12" thickBot="1">
      <c r="G7" s="18" t="s">
        <v>111</v>
      </c>
      <c r="H7" t="e">
        <f ca="1">[2]!RV_MEAN($H$3:$H$6)</f>
        <v>#NAME?</v>
      </c>
      <c r="J7" t="s">
        <v>0</v>
      </c>
    </row>
    <row r="8" spans="2:10" ht="12" thickTop="1">
      <c r="B8" s="12" t="s">
        <v>105</v>
      </c>
      <c r="C8" s="13" t="s">
        <v>118</v>
      </c>
      <c r="G8" s="18" t="s">
        <v>112</v>
      </c>
      <c r="H8" t="e">
        <f ca="1">[2]!RV_VAR($H$3:$H$6)</f>
        <v>#NAME?</v>
      </c>
      <c r="J8" t="s">
        <v>1</v>
      </c>
    </row>
    <row r="9" spans="2:10">
      <c r="B9" s="14" t="s">
        <v>106</v>
      </c>
      <c r="C9" s="15" t="s">
        <v>119</v>
      </c>
      <c r="G9" s="18" t="s">
        <v>113</v>
      </c>
      <c r="H9" t="e">
        <f ca="1">[2]!RV_SKEW($H$3:$H$6)</f>
        <v>#NAME?</v>
      </c>
      <c r="J9" t="s">
        <v>2</v>
      </c>
    </row>
    <row r="10" spans="2:10">
      <c r="B10" s="14" t="s">
        <v>115</v>
      </c>
      <c r="C10" s="15">
        <v>0</v>
      </c>
      <c r="G10" s="18" t="s">
        <v>114</v>
      </c>
      <c r="H10" t="e">
        <f ca="1">[2]!RV_KURT($H$3:$H$6)</f>
        <v>#NAME?</v>
      </c>
      <c r="J10" t="s">
        <v>3</v>
      </c>
    </row>
    <row r="11" spans="2:10">
      <c r="B11" s="14" t="s">
        <v>116</v>
      </c>
      <c r="C11" s="15">
        <v>5</v>
      </c>
    </row>
    <row r="12" spans="2:10" ht="12" thickBot="1">
      <c r="B12" s="16" t="s">
        <v>117</v>
      </c>
      <c r="C12" s="17">
        <v>10</v>
      </c>
      <c r="F12" s="19" t="s">
        <v>110</v>
      </c>
      <c r="G12" s="18" t="s">
        <v>111</v>
      </c>
      <c r="H12" t="e">
        <f ca="1">[2]!RV_MEAN(_RV3)</f>
        <v>#NAME?</v>
      </c>
      <c r="J12" t="s">
        <v>4</v>
      </c>
    </row>
    <row r="13" spans="2:10" ht="12" thickTop="1">
      <c r="F13" s="19">
        <v>10</v>
      </c>
      <c r="G13" s="18" t="s">
        <v>112</v>
      </c>
      <c r="H13" t="e">
        <f ca="1">[2]!RV_VAR(_RV3)</f>
        <v>#NAME?</v>
      </c>
      <c r="J13" t="s">
        <v>5</v>
      </c>
    </row>
    <row r="14" spans="2:10">
      <c r="F14" s="19">
        <v>5</v>
      </c>
      <c r="G14" s="18" t="s">
        <v>113</v>
      </c>
      <c r="H14" t="e">
        <f ca="1">[2]!RV_SKEW(_RV3)</f>
        <v>#NAME?</v>
      </c>
      <c r="J14" t="s">
        <v>6</v>
      </c>
    </row>
    <row r="15" spans="2:10">
      <c r="G15" s="18" t="s">
        <v>114</v>
      </c>
      <c r="H15" t="e">
        <f ca="1">[2]!RV_KURT(_RV3)</f>
        <v>#NAME?</v>
      </c>
      <c r="J15" t="s">
        <v>7</v>
      </c>
    </row>
    <row r="17" spans="6:9">
      <c r="F17" s="11" t="s">
        <v>110</v>
      </c>
      <c r="G17" s="11">
        <v>10</v>
      </c>
      <c r="H17" s="11">
        <v>5</v>
      </c>
    </row>
    <row r="19" spans="6:9">
      <c r="F19" s="18" t="s">
        <v>111</v>
      </c>
      <c r="G19" t="e">
        <f ca="1">[2]!RV_MEAN($F$17:$H$17)</f>
        <v>#NAME?</v>
      </c>
      <c r="I19" t="s">
        <v>8</v>
      </c>
    </row>
    <row r="20" spans="6:9">
      <c r="F20" s="18" t="s">
        <v>112</v>
      </c>
      <c r="G20" t="e">
        <f ca="1">[2]!RV_VAR($F$17:$H$17)</f>
        <v>#NAME?</v>
      </c>
      <c r="I20" t="s">
        <v>9</v>
      </c>
    </row>
    <row r="21" spans="6:9">
      <c r="F21" s="18" t="s">
        <v>113</v>
      </c>
      <c r="G21" t="e">
        <f ca="1">[2]!RV_SKEW($F$17:$H$17)</f>
        <v>#NAME?</v>
      </c>
      <c r="I21" t="s">
        <v>10</v>
      </c>
    </row>
    <row r="22" spans="6:9">
      <c r="F22" s="18" t="s">
        <v>114</v>
      </c>
      <c r="G22" t="e">
        <f ca="1">[2]!RV_KURT($F$17:$H$17)</f>
        <v>#NAME?</v>
      </c>
      <c r="I22" t="s">
        <v>11</v>
      </c>
    </row>
  </sheetData>
  <phoneticPr fontId="2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Functions</vt:lpstr>
      <vt:lpstr>Buttons</vt:lpstr>
      <vt:lpstr>Queues</vt:lpstr>
      <vt:lpstr>GCD</vt:lpstr>
      <vt:lpstr>Inventory</vt:lpstr>
      <vt:lpstr>Random</vt:lpstr>
      <vt:lpstr>Dice</vt:lpstr>
      <vt:lpstr>Inv1</vt:lpstr>
      <vt:lpstr>Inv1_DR</vt:lpstr>
      <vt:lpstr>Inv1_EOQ</vt:lpstr>
      <vt:lpstr>Inv1_Inst</vt:lpstr>
      <vt:lpstr>Inv1_Opt</vt:lpstr>
      <vt:lpstr>Inv1_Q</vt:lpstr>
      <vt:lpstr>Inv2</vt:lpstr>
      <vt:lpstr>Q_Sample</vt:lpstr>
      <vt:lpstr>RV1</vt:lpstr>
      <vt:lpstr>RV2</vt:lpstr>
      <vt:lpstr>RV3</vt:lpstr>
    </vt:vector>
  </TitlesOfParts>
  <Manager/>
  <Company>University of Texas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PAJ_Components</dc:title>
  <dc:subject/>
  <dc:creator>Paul Jensen</dc:creator>
  <cp:keywords/>
  <dc:description/>
  <cp:lastModifiedBy>Aniket Gupta</cp:lastModifiedBy>
  <dcterms:created xsi:type="dcterms:W3CDTF">2003-09-08T15:34:52Z</dcterms:created>
  <dcterms:modified xsi:type="dcterms:W3CDTF">2024-02-03T22:30:28Z</dcterms:modified>
  <cp:category/>
</cp:coreProperties>
</file>