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2A79991-9FE4-4A0E-9251-851D0AA64459}" xr6:coauthVersionLast="47" xr6:coauthVersionMax="47" xr10:uidLastSave="{00000000-0000-0000-0000-000000000000}"/>
  <bookViews>
    <workbookView xWindow="3348" yWindow="3348" windowWidth="17280" windowHeight="8880"/>
  </bookViews>
  <sheets>
    <sheet name="Business Case Transactions" sheetId="1" r:id="rId1"/>
    <sheet name="Trial Balance Postings" sheetId="4" r:id="rId2"/>
    <sheet name="Final Trial Balance" sheetId="2" r:id="rId3"/>
  </sheets>
  <definedNames>
    <definedName name="_xlnm._FilterDatabase" localSheetId="2" hidden="1">'Final Trial Balance'!$A$1:$AD$18</definedName>
    <definedName name="_xlnm._FilterDatabase" localSheetId="1" hidden="1">'Trial Balance Postings'!$A$5:$O$67</definedName>
    <definedName name="_xlnm.Print_Area" localSheetId="0">'Business Case Transactions'!$A$1:$F$129</definedName>
    <definedName name="_xlnm.Print_Area" localSheetId="2">'Final Trial Balance'!$A$1:$E$34</definedName>
    <definedName name="_xlnm.Print_Area" localSheetId="1">'Trial Balance Postings'!$A$1:$P$68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7" i="1"/>
  <c r="E16" i="1"/>
  <c r="E17" i="1"/>
  <c r="E19" i="1"/>
  <c r="E20" i="1"/>
  <c r="D56" i="4" s="1"/>
  <c r="P55" i="4" s="1"/>
  <c r="E15" i="2" s="1"/>
  <c r="E23" i="1"/>
  <c r="E22" i="1" s="1"/>
  <c r="D66" i="4" s="1"/>
  <c r="P66" i="4" s="1"/>
  <c r="E22" i="2" s="1"/>
  <c r="E25" i="1"/>
  <c r="E26" i="1"/>
  <c r="E28" i="1"/>
  <c r="E29" i="1" s="1"/>
  <c r="D17" i="4" s="1"/>
  <c r="E32" i="1"/>
  <c r="D45" i="1" s="1"/>
  <c r="E33" i="1"/>
  <c r="E106" i="1" s="1"/>
  <c r="E35" i="1"/>
  <c r="E36" i="1"/>
  <c r="E120" i="1" s="1"/>
  <c r="B38" i="1"/>
  <c r="E38" i="1"/>
  <c r="E41" i="1" s="1"/>
  <c r="C39" i="1"/>
  <c r="D39" i="1"/>
  <c r="E39" i="1"/>
  <c r="D41" i="1"/>
  <c r="D42" i="1"/>
  <c r="B44" i="1"/>
  <c r="D44" i="1"/>
  <c r="C45" i="1"/>
  <c r="B47" i="1"/>
  <c r="D47" i="1"/>
  <c r="C48" i="1"/>
  <c r="E50" i="1"/>
  <c r="E51" i="1"/>
  <c r="E57" i="1"/>
  <c r="E58" i="1"/>
  <c r="G52" i="4" s="1"/>
  <c r="P51" i="4" s="1"/>
  <c r="E13" i="2" s="1"/>
  <c r="E66" i="1"/>
  <c r="E128" i="1" s="1"/>
  <c r="E69" i="1"/>
  <c r="E70" i="1"/>
  <c r="H10" i="4" s="1"/>
  <c r="E79" i="1"/>
  <c r="E89" i="1" s="1"/>
  <c r="B96" i="1"/>
  <c r="C103" i="1" s="1"/>
  <c r="D96" i="1"/>
  <c r="E96" i="1"/>
  <c r="E97" i="1" s="1"/>
  <c r="C97" i="1"/>
  <c r="D97" i="1"/>
  <c r="E99" i="1"/>
  <c r="K24" i="4" s="1"/>
  <c r="K67" i="4" s="1"/>
  <c r="E100" i="1"/>
  <c r="B102" i="1"/>
  <c r="E102" i="1"/>
  <c r="E103" i="1"/>
  <c r="E110" i="1"/>
  <c r="M22" i="4" s="1"/>
  <c r="E16" i="2"/>
  <c r="G10" i="4"/>
  <c r="D12" i="4"/>
  <c r="D14" i="4"/>
  <c r="E14" i="4"/>
  <c r="D16" i="4"/>
  <c r="K22" i="4"/>
  <c r="P25" i="4"/>
  <c r="P26" i="4"/>
  <c r="F28" i="4"/>
  <c r="P27" i="4" s="1"/>
  <c r="E26" i="2" s="1"/>
  <c r="F30" i="4"/>
  <c r="G32" i="4"/>
  <c r="P35" i="4"/>
  <c r="P36" i="4"/>
  <c r="K38" i="4"/>
  <c r="P37" i="4" s="1"/>
  <c r="E30" i="2" s="1"/>
  <c r="P39" i="4"/>
  <c r="I41" i="4"/>
  <c r="E43" i="4"/>
  <c r="E46" i="4"/>
  <c r="K46" i="4"/>
  <c r="H54" i="4"/>
  <c r="P53" i="4" s="1"/>
  <c r="E14" i="2" s="1"/>
  <c r="K59" i="4"/>
  <c r="P64" i="4"/>
  <c r="E20" i="2" s="1"/>
  <c r="L24" i="4" l="1"/>
  <c r="E107" i="1"/>
  <c r="O32" i="4"/>
  <c r="P31" i="4" s="1"/>
  <c r="E28" i="2" s="1"/>
  <c r="E127" i="1"/>
  <c r="O34" i="4" s="1"/>
  <c r="P33" i="4" s="1"/>
  <c r="E29" i="2" s="1"/>
  <c r="E121" i="1"/>
  <c r="N49" i="4" s="1"/>
  <c r="N46" i="4"/>
  <c r="D67" i="4"/>
  <c r="E42" i="1"/>
  <c r="J59" i="4"/>
  <c r="P58" i="4" s="1"/>
  <c r="E17" i="2" s="1"/>
  <c r="E90" i="1"/>
  <c r="J24" i="4" s="1"/>
  <c r="F67" i="4"/>
  <c r="E24" i="4"/>
  <c r="E125" i="1"/>
  <c r="E111" i="1"/>
  <c r="M8" i="4" s="1"/>
  <c r="D102" i="1"/>
  <c r="D48" i="1"/>
  <c r="E44" i="1"/>
  <c r="B41" i="1"/>
  <c r="E80" i="1"/>
  <c r="E67" i="1"/>
  <c r="G30" i="4" s="1"/>
  <c r="P29" i="4" s="1"/>
  <c r="E27" i="2" s="1"/>
  <c r="C42" i="1"/>
  <c r="D38" i="1"/>
  <c r="P40" i="4"/>
  <c r="E31" i="2" s="1"/>
  <c r="D103" i="1"/>
  <c r="E124" i="1" l="1"/>
  <c r="O7" i="4" s="1"/>
  <c r="O10" i="4"/>
  <c r="P9" i="4" s="1"/>
  <c r="E4" i="2" s="1"/>
  <c r="E117" i="1"/>
  <c r="L23" i="4"/>
  <c r="E92" i="1"/>
  <c r="I44" i="4"/>
  <c r="E16" i="4"/>
  <c r="P16" i="4" s="1"/>
  <c r="E7" i="2" s="1"/>
  <c r="E45" i="1"/>
  <c r="E54" i="1" s="1"/>
  <c r="E47" i="1"/>
  <c r="E63" i="4" s="1"/>
  <c r="E48" i="1"/>
  <c r="E17" i="4" s="1"/>
  <c r="E12" i="4"/>
  <c r="I67" i="4" l="1"/>
  <c r="E67" i="4"/>
  <c r="E118" i="1"/>
  <c r="N8" i="4" s="1"/>
  <c r="N67" i="4" s="1"/>
  <c r="N23" i="4"/>
  <c r="J44" i="4"/>
  <c r="P42" i="4" s="1"/>
  <c r="E32" i="2" s="1"/>
  <c r="E93" i="1"/>
  <c r="E55" i="1"/>
  <c r="G12" i="4" s="1"/>
  <c r="E60" i="1"/>
  <c r="O67" i="4"/>
  <c r="L67" i="4"/>
  <c r="P21" i="4"/>
  <c r="E9" i="2" s="1"/>
  <c r="P6" i="4" l="1"/>
  <c r="E72" i="1"/>
  <c r="E61" i="1"/>
  <c r="G61" i="4" s="1"/>
  <c r="P60" i="4" s="1"/>
  <c r="E18" i="2" s="1"/>
  <c r="E73" i="1"/>
  <c r="H15" i="4" s="1"/>
  <c r="G15" i="4"/>
  <c r="G67" i="4" s="1"/>
  <c r="J47" i="4"/>
  <c r="E113" i="1"/>
  <c r="E63" i="1" l="1"/>
  <c r="E76" i="1"/>
  <c r="E77" i="1" s="1"/>
  <c r="B88" i="1"/>
  <c r="E84" i="1"/>
  <c r="H14" i="4"/>
  <c r="E114" i="1"/>
  <c r="M50" i="4" s="1"/>
  <c r="P48" i="4" s="1"/>
  <c r="E34" i="2" s="1"/>
  <c r="M47" i="4"/>
  <c r="E3" i="2"/>
  <c r="E83" i="1" l="1"/>
  <c r="J12" i="4" s="1"/>
  <c r="J14" i="4"/>
  <c r="E64" i="1"/>
  <c r="E87" i="1"/>
  <c r="J63" i="4" s="1"/>
  <c r="H63" i="4"/>
  <c r="P62" i="4" s="1"/>
  <c r="E19" i="2" s="1"/>
  <c r="E21" i="2" s="1"/>
  <c r="E23" i="2" s="1"/>
  <c r="E10" i="2" s="1"/>
  <c r="P13" i="4"/>
  <c r="E6" i="2" s="1"/>
  <c r="M67" i="4"/>
  <c r="P45" i="4"/>
  <c r="E33" i="2" s="1"/>
  <c r="E86" i="1" l="1"/>
  <c r="J17" i="4" s="1"/>
  <c r="H17" i="4"/>
  <c r="J67" i="4"/>
  <c r="P11" i="4"/>
  <c r="E5" i="2" l="1"/>
  <c r="P17" i="4"/>
  <c r="E8" i="2" s="1"/>
  <c r="H67" i="4"/>
  <c r="P67" i="4" l="1"/>
</calcChain>
</file>

<file path=xl/sharedStrings.xml><?xml version="1.0" encoding="utf-8"?>
<sst xmlns="http://schemas.openxmlformats.org/spreadsheetml/2006/main" count="193" uniqueCount="116">
  <si>
    <t>Debit</t>
  </si>
  <si>
    <t>Credit</t>
  </si>
  <si>
    <t>Cost of Goods Sold</t>
  </si>
  <si>
    <t>Valuation</t>
  </si>
  <si>
    <t>Revenue from Goods Sold</t>
  </si>
  <si>
    <t>Unfilled Customer Orders</t>
  </si>
  <si>
    <t>Inventory Held for Repair</t>
  </si>
  <si>
    <t>Undelivered Orders - Obligations Unpaid</t>
  </si>
  <si>
    <t>Fund Balance with Treasury</t>
  </si>
  <si>
    <t>Cumulative Results of Operations</t>
  </si>
  <si>
    <t>Accounts Payable</t>
  </si>
  <si>
    <t>Operating Expenses</t>
  </si>
  <si>
    <t>Inventory Purchased for Resale</t>
  </si>
  <si>
    <t>Financing Sources Transferred In Without Reimburse ment</t>
  </si>
  <si>
    <t>Other Financing Sources</t>
  </si>
  <si>
    <t>Current Year Contract Authority Realized</t>
  </si>
  <si>
    <t>Anticipated Reimbursements and Other Income Earned</t>
  </si>
  <si>
    <t>Reimbursements and Other Income Earned - Receivable</t>
  </si>
  <si>
    <t>Allotments - Realized Resources</t>
  </si>
  <si>
    <t>Commitments</t>
  </si>
  <si>
    <t>Delivered Orders - Obligations Unpaid</t>
  </si>
  <si>
    <t>Apportionments Unavailable - Anticipated Resources</t>
  </si>
  <si>
    <t>Unobligated Funds Not Subject to Apportionment</t>
  </si>
  <si>
    <t>Unapportioned Authority</t>
  </si>
  <si>
    <t>Repair Net Price</t>
  </si>
  <si>
    <t>Inventory Held for Repair - Due In</t>
  </si>
  <si>
    <t>Unfilled Customer Order</t>
  </si>
  <si>
    <t>Anticipated Reimbursement and Other Income</t>
  </si>
  <si>
    <t>Reimbursements and Other Earned Income - Receivable</t>
  </si>
  <si>
    <t>Inventory Held for Repair (Losing Plant)</t>
  </si>
  <si>
    <t xml:space="preserve">Inventory Held for Repair </t>
  </si>
  <si>
    <t>Inventory Held for Repair (Receiving Plant)</t>
  </si>
  <si>
    <t>Transaction</t>
  </si>
  <si>
    <t>(Received customer order for 1 RFI with return of carcass expected.)</t>
  </si>
  <si>
    <t>(Issue 1 RFI with return of NRFI carcass expected.)</t>
  </si>
  <si>
    <t>Financing Sources Transfer-In without Reimbursement</t>
  </si>
  <si>
    <t>Goods Receipt/Invoice Receipt</t>
  </si>
  <si>
    <t>(Pay actual repair costs for invoice received.)</t>
  </si>
  <si>
    <t>Funds Disbursed</t>
  </si>
  <si>
    <t>Delivered Orders, Obligations Paid - Procurement</t>
  </si>
  <si>
    <t>Delivered Orders, Obligations Paid - OTARP Repair</t>
  </si>
  <si>
    <t>(Pay commercial vendor for invoice received.)</t>
  </si>
  <si>
    <t>Delivered Orders, Obligations Unpaid - Procurement</t>
  </si>
  <si>
    <t>Funds Collected</t>
  </si>
  <si>
    <t>Reimbursements and Other Income Earned - Collected</t>
  </si>
  <si>
    <t>(Collect on customer order.)</t>
  </si>
  <si>
    <t>Accounts Payable Government - Current</t>
  </si>
  <si>
    <t>Accounts Payable Public - Current</t>
  </si>
  <si>
    <t>Undelivered Orders - Obligations Unpaid - Procurement</t>
  </si>
  <si>
    <t>Accounts Receivable Government - Current</t>
  </si>
  <si>
    <t>Commitments Outstanding OTARP</t>
  </si>
  <si>
    <t>Undelivered Orders - Obligations Unpaid - Repair</t>
  </si>
  <si>
    <t>Delivered Orders, Obligations Unpaid - Repair</t>
  </si>
  <si>
    <t>Transaction No.</t>
  </si>
  <si>
    <t>Accounts Recievable</t>
  </si>
  <si>
    <t>Delivered Orders - Obligations Unpaid - Procurement</t>
  </si>
  <si>
    <t>Commitments Oustanding OTARP</t>
  </si>
  <si>
    <t>Delivered Orders - Obligations Unpaid - Repair</t>
  </si>
  <si>
    <t>Delivered Orders  Obligations Paid</t>
  </si>
  <si>
    <t>Delivered Orders - Obligations Paid - Procurement</t>
  </si>
  <si>
    <t>USSGL</t>
  </si>
  <si>
    <t>Sub-Account</t>
  </si>
  <si>
    <t>Balance Sheet</t>
  </si>
  <si>
    <t>Profit and Loss</t>
  </si>
  <si>
    <t>Budgetary</t>
  </si>
  <si>
    <t>Net Results of Operations</t>
  </si>
  <si>
    <t>Contra Revenue for Goods Sold</t>
  </si>
  <si>
    <t>Prior Period Adjustments</t>
  </si>
  <si>
    <t>(1 RFI asset from Transaction No. 6 returned from repair facility.)</t>
  </si>
  <si>
    <t>(Carcass from Transaction No. 5 forwarded to repair facility.  Commitment transaction previously booked.)</t>
  </si>
  <si>
    <t>PreClosing</t>
  </si>
  <si>
    <t>Balance</t>
  </si>
  <si>
    <t>(Carcass received and credit granted.)</t>
  </si>
  <si>
    <t>Other Exp Not Requiring Budgetary Resources - DLR</t>
  </si>
  <si>
    <t xml:space="preserve">Other Exp Not Requiring Budgetary Resources </t>
  </si>
  <si>
    <t>Operating Expenses - DLR Repair Cost - Organic</t>
  </si>
  <si>
    <t>Operating Exp - DLR Repair Cost - Organic</t>
  </si>
  <si>
    <t>Delivered Orders - Obligations Paid - Repair</t>
  </si>
  <si>
    <t>Other Gains</t>
  </si>
  <si>
    <t>Other Gains - Change in Carcass Value for DLRs</t>
  </si>
  <si>
    <t>Prior Period Adjustment</t>
  </si>
  <si>
    <t>Account Receivable Government - Current</t>
  </si>
  <si>
    <t>Other Exp Not Requiring Budgetary Resources</t>
  </si>
  <si>
    <t>Financing Sources Transferred In Without Reimbursement</t>
  </si>
  <si>
    <t>LAC</t>
  </si>
  <si>
    <t>Impairment Factor %</t>
  </si>
  <si>
    <t>Sell Price @ 125% LAC</t>
  </si>
  <si>
    <t>Latest Representative Buy</t>
  </si>
  <si>
    <t>Excess, Obsolete, and Unserviceable</t>
  </si>
  <si>
    <t>Impairment Allowance</t>
  </si>
  <si>
    <t>(Goods receipt of 2 RFI units from commercial vendor; and apportion costs between 1521/1523/1524 to maintain MAC consistency between the accounts.)</t>
  </si>
  <si>
    <t>Actual Repair Cost</t>
  </si>
  <si>
    <t>Estimated Repair Cost</t>
  </si>
  <si>
    <t>(Invoice received for actual repair costs.)</t>
  </si>
  <si>
    <t xml:space="preserve">Assumptions </t>
  </si>
  <si>
    <t>*Note:  Bolded data may be changed to view effects of different assumptions.</t>
  </si>
  <si>
    <t>LRC does not equal allowance</t>
  </si>
  <si>
    <t>ARC does not equal either estimate or allowance.</t>
  </si>
  <si>
    <t>SP is based on LAC</t>
  </si>
  <si>
    <t>LRB may be lower than MAC sometimes.</t>
  </si>
  <si>
    <t>+B2/1.25-B8-Washout@$140</t>
  </si>
  <si>
    <t>(Capitalization entry:  2 Ready For Issue, 1 NotRFI, 1 E/O/U opening stock position.)</t>
  </si>
  <si>
    <t>Payable: Goods Receipt/Invoice Receipt</t>
  </si>
  <si>
    <t>Until transaction 2, at higher LAC.</t>
  </si>
  <si>
    <t>MAC is historical--could be very old data.</t>
  </si>
  <si>
    <t>Based on market basket of repair cost drivers:LAC</t>
  </si>
  <si>
    <t>MAC*impairment factor</t>
  </si>
  <si>
    <t>Notes</t>
  </si>
  <si>
    <t>Starting MAC</t>
  </si>
  <si>
    <t>(Commercial vendor bills ICP for 2 units previously shipped and accepted.)</t>
  </si>
  <si>
    <t>(No proprietary effect)</t>
  </si>
  <si>
    <t>NOTE:  Change the assumption for LRB to demonstrate the transactions for RISING or DECLINING costs</t>
  </si>
  <si>
    <t>Inventory - Allowance</t>
  </si>
  <si>
    <t xml:space="preserve">When credit is granted: </t>
  </si>
  <si>
    <t>Inventory - Allowance for Impaired Inventory</t>
  </si>
  <si>
    <t>Inventory - Allowance for Unserviceable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</si>
</sst>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9" formatCode="0.0000"/>
    <numFmt numFmtId="171" formatCode="0.00_);\(0.00\)"/>
    <numFmt numFmtId="174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10"/>
      <name val="Arial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2" fillId="0" borderId="0" xfId="0" applyFont="1"/>
    <xf numFmtId="165" fontId="4" fillId="0" borderId="0" xfId="1" applyNumberFormat="1" applyFont="1"/>
    <xf numFmtId="0" fontId="5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9" fontId="5" fillId="0" borderId="0" xfId="0" applyNumberFormat="1" applyFont="1"/>
    <xf numFmtId="169" fontId="0" fillId="0" borderId="0" xfId="0" applyNumberFormat="1"/>
    <xf numFmtId="169" fontId="5" fillId="0" borderId="0" xfId="0" applyNumberFormat="1" applyFont="1" applyAlignment="1"/>
    <xf numFmtId="4" fontId="5" fillId="0" borderId="0" xfId="0" applyNumberFormat="1" applyFont="1"/>
    <xf numFmtId="4" fontId="5" fillId="0" borderId="0" xfId="0" applyNumberFormat="1" applyFont="1" applyAlignment="1"/>
    <xf numFmtId="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9" fontId="5" fillId="2" borderId="0" xfId="0" applyNumberFormat="1" applyFont="1" applyFill="1"/>
    <xf numFmtId="0" fontId="2" fillId="2" borderId="0" xfId="0" applyFont="1" applyFill="1"/>
    <xf numFmtId="169" fontId="5" fillId="2" borderId="0" xfId="0" applyNumberFormat="1" applyFont="1" applyFill="1" applyAlignment="1"/>
    <xf numFmtId="4" fontId="5" fillId="2" borderId="0" xfId="0" applyNumberFormat="1" applyFont="1" applyFill="1"/>
    <xf numFmtId="0" fontId="5" fillId="2" borderId="0" xfId="0" applyFont="1" applyFill="1"/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4" fontId="5" fillId="2" borderId="0" xfId="0" applyNumberFormat="1" applyFont="1" applyFill="1" applyAlignment="1">
      <alignment horizontal="right" wrapText="1"/>
    </xf>
    <xf numFmtId="169" fontId="0" fillId="2" borderId="0" xfId="0" applyNumberFormat="1" applyFill="1"/>
    <xf numFmtId="0" fontId="0" fillId="2" borderId="0" xfId="0" applyFill="1"/>
    <xf numFmtId="0" fontId="2" fillId="0" borderId="0" xfId="0" applyFont="1" applyFill="1" applyAlignment="1">
      <alignment horizontal="center"/>
    </xf>
    <xf numFmtId="169" fontId="0" fillId="0" borderId="0" xfId="0" applyNumberFormat="1" applyFill="1"/>
    <xf numFmtId="0" fontId="0" fillId="0" borderId="0" xfId="0" applyFill="1"/>
    <xf numFmtId="4" fontId="5" fillId="0" borderId="0" xfId="0" applyNumberFormat="1" applyFont="1" applyFill="1"/>
    <xf numFmtId="0" fontId="2" fillId="0" borderId="0" xfId="0" applyFont="1" applyFill="1" applyAlignment="1">
      <alignment horizontal="left" wrapText="1"/>
    </xf>
    <xf numFmtId="4" fontId="5" fillId="0" borderId="0" xfId="0" applyNumberFormat="1" applyFont="1" applyFill="1" applyAlignment="1">
      <alignment horizontal="right" wrapText="1"/>
    </xf>
    <xf numFmtId="0" fontId="2" fillId="0" borderId="0" xfId="0" applyFont="1" applyFill="1"/>
    <xf numFmtId="0" fontId="0" fillId="0" borderId="0" xfId="0" applyFill="1" applyAlignment="1"/>
    <xf numFmtId="4" fontId="5" fillId="2" borderId="0" xfId="0" applyNumberFormat="1" applyFont="1" applyFill="1" applyAlignment="1">
      <alignment wrapText="1"/>
    </xf>
    <xf numFmtId="0" fontId="0" fillId="2" borderId="0" xfId="0" applyFill="1" applyAlignment="1">
      <alignment wrapText="1"/>
    </xf>
    <xf numFmtId="169" fontId="0" fillId="0" borderId="0" xfId="0" applyNumberFormat="1" applyAlignment="1">
      <alignment horizontal="left"/>
    </xf>
    <xf numFmtId="165" fontId="4" fillId="0" borderId="0" xfId="1" applyNumberFormat="1" applyFont="1" applyProtection="1"/>
    <xf numFmtId="2" fontId="3" fillId="0" borderId="0" xfId="1" applyNumberFormat="1" applyFont="1" applyProtection="1"/>
    <xf numFmtId="4" fontId="0" fillId="2" borderId="0" xfId="0" applyNumberFormat="1" applyFill="1"/>
    <xf numFmtId="169" fontId="3" fillId="0" borderId="0" xfId="0" applyNumberFormat="1" applyFont="1" applyAlignment="1">
      <alignment horizontal="left"/>
    </xf>
    <xf numFmtId="2" fontId="3" fillId="0" borderId="0" xfId="1" applyNumberFormat="1" applyFont="1"/>
    <xf numFmtId="2" fontId="0" fillId="0" borderId="0" xfId="0" applyNumberFormat="1"/>
    <xf numFmtId="169" fontId="6" fillId="0" borderId="0" xfId="0" applyNumberFormat="1" applyFont="1" applyAlignment="1">
      <alignment horizontal="left"/>
    </xf>
    <xf numFmtId="0" fontId="6" fillId="0" borderId="0" xfId="0" applyFont="1"/>
    <xf numFmtId="2" fontId="4" fillId="0" borderId="0" xfId="1" applyNumberFormat="1" applyFont="1"/>
    <xf numFmtId="165" fontId="3" fillId="0" borderId="0" xfId="1" applyNumberFormat="1" applyFont="1" applyProtection="1">
      <protection hidden="1"/>
    </xf>
    <xf numFmtId="0" fontId="0" fillId="0" borderId="0" xfId="0" applyProtection="1">
      <protection hidden="1"/>
    </xf>
    <xf numFmtId="2" fontId="0" fillId="0" borderId="0" xfId="0" applyNumberFormat="1" applyProtection="1"/>
    <xf numFmtId="0" fontId="4" fillId="0" borderId="0" xfId="0" applyFont="1"/>
    <xf numFmtId="1" fontId="3" fillId="0" borderId="0" xfId="0" applyNumberFormat="1" applyFont="1" applyAlignment="1">
      <alignment horizontal="left"/>
    </xf>
    <xf numFmtId="1" fontId="0" fillId="0" borderId="0" xfId="0" applyNumberFormat="1"/>
    <xf numFmtId="171" fontId="4" fillId="0" borderId="0" xfId="1" applyNumberFormat="1" applyFont="1" applyProtection="1"/>
    <xf numFmtId="171" fontId="3" fillId="0" borderId="0" xfId="1" applyNumberFormat="1" applyFont="1" applyProtection="1"/>
    <xf numFmtId="171" fontId="0" fillId="0" borderId="0" xfId="0" applyNumberFormat="1" applyProtection="1">
      <protection hidden="1"/>
    </xf>
    <xf numFmtId="171" fontId="3" fillId="0" borderId="0" xfId="1" applyNumberFormat="1" applyFont="1"/>
    <xf numFmtId="171" fontId="0" fillId="0" borderId="0" xfId="0" applyNumberFormat="1" applyProtection="1"/>
    <xf numFmtId="1" fontId="4" fillId="0" borderId="0" xfId="0" applyNumberFormat="1" applyFont="1" applyAlignment="1">
      <alignment horizontal="left"/>
    </xf>
    <xf numFmtId="4" fontId="2" fillId="0" borderId="0" xfId="0" applyNumberFormat="1" applyFont="1"/>
    <xf numFmtId="4" fontId="3" fillId="0" borderId="0" xfId="0" applyNumberFormat="1" applyFont="1" applyProtection="1">
      <protection hidden="1"/>
    </xf>
    <xf numFmtId="169" fontId="5" fillId="0" borderId="0" xfId="0" applyNumberFormat="1" applyFont="1" applyFill="1"/>
    <xf numFmtId="171" fontId="5" fillId="0" borderId="0" xfId="0" applyNumberFormat="1" applyFont="1"/>
    <xf numFmtId="171" fontId="0" fillId="0" borderId="0" xfId="0" applyNumberFormat="1"/>
    <xf numFmtId="0" fontId="0" fillId="0" borderId="0" xfId="0" applyBorder="1"/>
    <xf numFmtId="0" fontId="3" fillId="3" borderId="0" xfId="0" applyFont="1" applyFill="1"/>
    <xf numFmtId="0" fontId="3" fillId="3" borderId="0" xfId="0" applyFont="1" applyFill="1" applyBorder="1"/>
    <xf numFmtId="2" fontId="0" fillId="0" borderId="1" xfId="0" applyNumberFormat="1" applyBorder="1" applyProtection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left"/>
    </xf>
    <xf numFmtId="0" fontId="2" fillId="0" borderId="0" xfId="0" applyFont="1" applyBorder="1"/>
    <xf numFmtId="0" fontId="2" fillId="0" borderId="0" xfId="0" quotePrefix="1" applyFont="1"/>
    <xf numFmtId="174" fontId="2" fillId="0" borderId="0" xfId="1" applyNumberFormat="1" applyFont="1" applyAlignment="1">
      <alignment wrapText="1"/>
    </xf>
    <xf numFmtId="174" fontId="2" fillId="0" borderId="0" xfId="1" applyNumberFormat="1" applyFont="1" applyAlignment="1"/>
    <xf numFmtId="174" fontId="2" fillId="0" borderId="0" xfId="0" applyNumberFormat="1" applyFont="1"/>
    <xf numFmtId="174" fontId="2" fillId="0" borderId="0" xfId="0" applyNumberFormat="1" applyFont="1" applyAlignment="1">
      <alignment horizontal="left"/>
    </xf>
    <xf numFmtId="174" fontId="2" fillId="2" borderId="0" xfId="0" applyNumberFormat="1" applyFont="1" applyFill="1"/>
    <xf numFmtId="174" fontId="0" fillId="0" borderId="0" xfId="0" applyNumberFormat="1" applyFill="1" applyAlignment="1"/>
    <xf numFmtId="174" fontId="0" fillId="0" borderId="0" xfId="0" applyNumberFormat="1" applyAlignment="1"/>
    <xf numFmtId="174" fontId="0" fillId="0" borderId="0" xfId="0" applyNumberFormat="1"/>
    <xf numFmtId="174" fontId="2" fillId="0" borderId="0" xfId="0" applyNumberFormat="1" applyFont="1" applyFill="1" applyAlignment="1">
      <alignment horizontal="left" wrapText="1"/>
    </xf>
    <xf numFmtId="174" fontId="0" fillId="2" borderId="0" xfId="0" applyNumberFormat="1" applyFill="1"/>
    <xf numFmtId="174" fontId="0" fillId="0" borderId="0" xfId="0" applyNumberFormat="1" applyFill="1"/>
    <xf numFmtId="174" fontId="0" fillId="0" borderId="0" xfId="0" applyNumberFormat="1" applyAlignment="1">
      <alignment wrapText="1"/>
    </xf>
    <xf numFmtId="174" fontId="2" fillId="0" borderId="0" xfId="0" applyNumberFormat="1" applyFont="1" applyAlignment="1"/>
    <xf numFmtId="174" fontId="2" fillId="0" borderId="5" xfId="1" applyNumberFormat="1" applyFont="1" applyBorder="1"/>
    <xf numFmtId="174" fontId="2" fillId="0" borderId="0" xfId="1" applyNumberFormat="1" applyFont="1" applyBorder="1"/>
    <xf numFmtId="174" fontId="2" fillId="0" borderId="0" xfId="1" applyNumberFormat="1" applyFont="1"/>
    <xf numFmtId="174" fontId="2" fillId="0" borderId="0" xfId="1" applyNumberFormat="1" applyFont="1" applyAlignment="1">
      <alignment horizontal="left"/>
    </xf>
    <xf numFmtId="174" fontId="2" fillId="0" borderId="0" xfId="1" applyNumberFormat="1" applyFont="1" applyFill="1" applyAlignment="1"/>
    <xf numFmtId="174" fontId="0" fillId="0" borderId="0" xfId="1" applyNumberFormat="1" applyFont="1"/>
    <xf numFmtId="174" fontId="0" fillId="0" borderId="0" xfId="1" applyNumberFormat="1" applyFont="1" applyFill="1" applyAlignment="1">
      <alignment horizontal="right"/>
    </xf>
    <xf numFmtId="174" fontId="2" fillId="0" borderId="0" xfId="1" applyNumberFormat="1" applyFont="1" applyFill="1" applyAlignment="1">
      <alignment horizontal="left" wrapText="1"/>
    </xf>
    <xf numFmtId="174" fontId="0" fillId="2" borderId="0" xfId="1" applyNumberFormat="1" applyFont="1" applyFill="1"/>
    <xf numFmtId="174" fontId="0" fillId="0" borderId="0" xfId="1" applyNumberFormat="1" applyFont="1" applyFill="1"/>
    <xf numFmtId="174" fontId="7" fillId="0" borderId="0" xfId="1" applyNumberFormat="1" applyFont="1"/>
    <xf numFmtId="174" fontId="7" fillId="0" borderId="0" xfId="0" applyNumberFormat="1" applyFont="1"/>
    <xf numFmtId="169" fontId="7" fillId="0" borderId="0" xfId="0" applyNumberFormat="1" applyFont="1"/>
    <xf numFmtId="4" fontId="7" fillId="0" borderId="0" xfId="0" applyNumberFormat="1" applyFont="1"/>
    <xf numFmtId="0" fontId="7" fillId="0" borderId="0" xfId="0" applyFont="1"/>
    <xf numFmtId="9" fontId="2" fillId="0" borderId="6" xfId="3" applyFont="1" applyBorder="1"/>
    <xf numFmtId="44" fontId="0" fillId="0" borderId="6" xfId="2" applyFont="1" applyBorder="1"/>
    <xf numFmtId="44" fontId="2" fillId="0" borderId="6" xfId="2" applyFont="1" applyBorder="1"/>
    <xf numFmtId="44" fontId="2" fillId="0" borderId="6" xfId="2" applyFont="1" applyFill="1" applyBorder="1"/>
    <xf numFmtId="44" fontId="2" fillId="0" borderId="7" xfId="2" applyFont="1" applyBorder="1"/>
    <xf numFmtId="0" fontId="2" fillId="2" borderId="0" xfId="0" applyFont="1" applyFill="1" applyAlignment="1">
      <alignment horizontal="center" vertical="top" wrapText="1"/>
    </xf>
    <xf numFmtId="1" fontId="5" fillId="2" borderId="0" xfId="1" applyNumberFormat="1" applyFont="1" applyFill="1"/>
    <xf numFmtId="1" fontId="2" fillId="2" borderId="0" xfId="1" applyNumberFormat="1" applyFont="1" applyFill="1"/>
    <xf numFmtId="1" fontId="5" fillId="0" borderId="0" xfId="1" applyNumberFormat="1" applyFont="1"/>
    <xf numFmtId="1" fontId="2" fillId="0" borderId="0" xfId="1" applyNumberFormat="1" applyFont="1" applyAlignment="1"/>
    <xf numFmtId="1" fontId="0" fillId="0" borderId="0" xfId="1" applyNumberFormat="1" applyFont="1"/>
    <xf numFmtId="1" fontId="2" fillId="0" borderId="0" xfId="1" applyNumberFormat="1" applyFont="1"/>
    <xf numFmtId="1" fontId="0" fillId="2" borderId="0" xfId="1" applyNumberFormat="1" applyFont="1" applyFill="1"/>
    <xf numFmtId="1" fontId="5" fillId="0" borderId="0" xfId="1" applyNumberFormat="1" applyFont="1" applyFill="1"/>
    <xf numFmtId="1" fontId="5" fillId="0" borderId="0" xfId="0" applyNumberFormat="1" applyFont="1"/>
    <xf numFmtId="1" fontId="0" fillId="2" borderId="0" xfId="0" applyNumberFormat="1" applyFill="1"/>
    <xf numFmtId="1" fontId="0" fillId="0" borderId="0" xfId="0" applyNumberFormat="1" applyFill="1"/>
    <xf numFmtId="1" fontId="5" fillId="0" borderId="0" xfId="0" applyNumberFormat="1" applyFont="1" applyFill="1" applyAlignment="1">
      <alignment horizontal="right"/>
    </xf>
    <xf numFmtId="1" fontId="2" fillId="0" borderId="0" xfId="0" applyNumberFormat="1" applyFont="1"/>
    <xf numFmtId="1" fontId="2" fillId="2" borderId="0" xfId="0" applyNumberFormat="1" applyFont="1" applyFill="1"/>
    <xf numFmtId="1" fontId="5" fillId="2" borderId="0" xfId="0" applyNumberFormat="1" applyFont="1" applyFill="1"/>
    <xf numFmtId="1" fontId="0" fillId="4" borderId="0" xfId="0" applyNumberFormat="1" applyFill="1"/>
    <xf numFmtId="0" fontId="0" fillId="4" borderId="0" xfId="0" applyFill="1"/>
    <xf numFmtId="4" fontId="5" fillId="4" borderId="0" xfId="0" applyNumberFormat="1" applyFont="1" applyFill="1"/>
    <xf numFmtId="1" fontId="0" fillId="4" borderId="0" xfId="1" applyNumberFormat="1" applyFont="1" applyFill="1"/>
    <xf numFmtId="1" fontId="5" fillId="4" borderId="0" xfId="1" applyNumberFormat="1" applyFont="1" applyFill="1" applyAlignment="1">
      <alignment horizontal="right"/>
    </xf>
    <xf numFmtId="1" fontId="0" fillId="4" borderId="0" xfId="0" applyNumberFormat="1" applyFill="1" applyAlignment="1">
      <alignment horizontal="right"/>
    </xf>
    <xf numFmtId="0" fontId="5" fillId="4" borderId="0" xfId="0" applyFont="1" applyFill="1"/>
    <xf numFmtId="1" fontId="0" fillId="4" borderId="0" xfId="1" applyNumberFormat="1" applyFont="1" applyFill="1" applyAlignment="1">
      <alignment horizontal="right"/>
    </xf>
    <xf numFmtId="169" fontId="5" fillId="4" borderId="0" xfId="0" applyNumberFormat="1" applyFont="1" applyFill="1"/>
    <xf numFmtId="1" fontId="0" fillId="5" borderId="0" xfId="1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/>
    </xf>
    <xf numFmtId="169" fontId="5" fillId="5" borderId="0" xfId="0" applyNumberFormat="1" applyFont="1" applyFill="1"/>
    <xf numFmtId="4" fontId="5" fillId="5" borderId="0" xfId="0" applyNumberFormat="1" applyFont="1" applyFill="1"/>
    <xf numFmtId="1" fontId="5" fillId="4" borderId="0" xfId="1" applyNumberFormat="1" applyFont="1" applyFill="1"/>
    <xf numFmtId="1" fontId="2" fillId="4" borderId="0" xfId="0" applyNumberFormat="1" applyFont="1" applyFill="1"/>
    <xf numFmtId="1" fontId="5" fillId="4" borderId="0" xfId="0" applyNumberFormat="1" applyFont="1" applyFill="1"/>
    <xf numFmtId="0" fontId="2" fillId="4" borderId="0" xfId="0" applyFont="1" applyFill="1"/>
    <xf numFmtId="174" fontId="0" fillId="4" borderId="0" xfId="0" applyNumberFormat="1" applyFill="1" applyAlignment="1">
      <alignment horizontal="right"/>
    </xf>
    <xf numFmtId="165" fontId="2" fillId="0" borderId="0" xfId="1" applyNumberFormat="1" applyFont="1" applyFill="1" applyAlignment="1">
      <alignment horizontal="center" vertical="top" wrapText="1"/>
    </xf>
    <xf numFmtId="44" fontId="2" fillId="0" borderId="0" xfId="2" applyFont="1" applyBorder="1"/>
    <xf numFmtId="174" fontId="0" fillId="4" borderId="0" xfId="0" applyNumberFormat="1" applyFill="1"/>
    <xf numFmtId="1" fontId="5" fillId="5" borderId="0" xfId="1" applyNumberFormat="1" applyFont="1" applyFill="1"/>
    <xf numFmtId="1" fontId="5" fillId="5" borderId="0" xfId="0" applyNumberFormat="1" applyFont="1" applyFill="1"/>
    <xf numFmtId="0" fontId="5" fillId="5" borderId="0" xfId="0" applyFont="1" applyFill="1"/>
    <xf numFmtId="1" fontId="0" fillId="0" borderId="0" xfId="0" applyNumberFormat="1" applyAlignment="1"/>
    <xf numFmtId="1" fontId="5" fillId="4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174" fontId="2" fillId="2" borderId="0" xfId="1" applyNumberFormat="1" applyFont="1" applyFill="1" applyAlignment="1"/>
    <xf numFmtId="174" fontId="0" fillId="0" borderId="0" xfId="1" applyNumberFormat="1" applyFont="1" applyAlignment="1"/>
    <xf numFmtId="174" fontId="2" fillId="0" borderId="0" xfId="1" applyNumberFormat="1" applyFont="1" applyAlignment="1"/>
    <xf numFmtId="174" fontId="2" fillId="2" borderId="0" xfId="1" applyNumberFormat="1" applyFont="1" applyFill="1" applyAlignment="1">
      <alignment horizontal="left"/>
    </xf>
    <xf numFmtId="174" fontId="0" fillId="2" borderId="0" xfId="1" applyNumberFormat="1" applyFont="1" applyFill="1" applyAlignment="1">
      <alignment horizontal="left"/>
    </xf>
    <xf numFmtId="174" fontId="2" fillId="2" borderId="0" xfId="1" applyNumberFormat="1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74" fontId="2" fillId="2" borderId="0" xfId="1" applyNumberFormat="1" applyFont="1" applyFill="1" applyAlignment="1">
      <alignment vertical="top" wrapText="1"/>
    </xf>
    <xf numFmtId="174" fontId="2" fillId="0" borderId="0" xfId="1" applyNumberFormat="1" applyFont="1" applyAlignment="1">
      <alignment wrapText="1"/>
    </xf>
    <xf numFmtId="174" fontId="0" fillId="0" borderId="0" xfId="1" applyNumberFormat="1" applyFont="1" applyAlignment="1">
      <alignment wrapText="1"/>
    </xf>
    <xf numFmtId="174" fontId="2" fillId="2" borderId="0" xfId="1" applyNumberFormat="1" applyFont="1" applyFill="1" applyAlignment="1">
      <alignment wrapText="1"/>
    </xf>
    <xf numFmtId="174" fontId="0" fillId="2" borderId="0" xfId="1" applyNumberFormat="1" applyFont="1" applyFill="1" applyAlignment="1">
      <alignment wrapText="1"/>
    </xf>
    <xf numFmtId="165" fontId="4" fillId="0" borderId="0" xfId="1" applyNumberFormat="1" applyFont="1" applyAlignment="1" applyProtection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9"/>
  <sheetViews>
    <sheetView tabSelected="1" topLeftCell="A28" zoomScale="90" zoomScaleNormal="90" workbookViewId="0">
      <selection activeCell="A7" sqref="A7"/>
    </sheetView>
  </sheetViews>
  <sheetFormatPr defaultRowHeight="13.2" x14ac:dyDescent="0.25"/>
  <cols>
    <col min="1" max="1" width="23.6640625" style="3" customWidth="1"/>
    <col min="2" max="2" width="12.109375" style="92" customWidth="1"/>
    <col min="3" max="3" width="11" style="81" customWidth="1"/>
    <col min="4" max="4" width="50" customWidth="1"/>
    <col min="5" max="5" width="14.5546875" style="14" customWidth="1"/>
    <col min="6" max="6" width="2.5546875" customWidth="1"/>
  </cols>
  <sheetData>
    <row r="1" spans="1:6" s="3" customFormat="1" x14ac:dyDescent="0.25">
      <c r="A1" s="71" t="s">
        <v>94</v>
      </c>
      <c r="B1" s="87"/>
      <c r="C1" s="76"/>
      <c r="D1" s="8" t="s">
        <v>107</v>
      </c>
      <c r="E1" s="14"/>
    </row>
    <row r="2" spans="1:6" s="3" customFormat="1" x14ac:dyDescent="0.25">
      <c r="A2" s="69" t="s">
        <v>86</v>
      </c>
      <c r="B2" s="103">
        <f>1.25*B4</f>
        <v>1875</v>
      </c>
      <c r="C2" s="76"/>
      <c r="D2" s="3" t="s">
        <v>98</v>
      </c>
      <c r="E2" s="14"/>
    </row>
    <row r="3" spans="1:6" s="3" customFormat="1" x14ac:dyDescent="0.25">
      <c r="A3" s="69" t="s">
        <v>24</v>
      </c>
      <c r="B3" s="104">
        <v>850</v>
      </c>
      <c r="C3" s="76"/>
      <c r="D3" s="73" t="s">
        <v>100</v>
      </c>
      <c r="E3" s="14"/>
    </row>
    <row r="4" spans="1:6" s="3" customFormat="1" x14ac:dyDescent="0.25">
      <c r="A4" s="69" t="s">
        <v>84</v>
      </c>
      <c r="B4" s="104">
        <v>1500</v>
      </c>
      <c r="C4" s="76"/>
      <c r="D4" s="3" t="s">
        <v>103</v>
      </c>
      <c r="E4" s="14"/>
    </row>
    <row r="5" spans="1:6" s="3" customFormat="1" x14ac:dyDescent="0.25">
      <c r="A5" s="69" t="s">
        <v>108</v>
      </c>
      <c r="B5" s="104">
        <v>1000</v>
      </c>
      <c r="C5" s="76"/>
      <c r="D5" s="3" t="s">
        <v>104</v>
      </c>
      <c r="E5" s="14"/>
    </row>
    <row r="6" spans="1:6" s="3" customFormat="1" x14ac:dyDescent="0.25">
      <c r="A6" s="69" t="s">
        <v>85</v>
      </c>
      <c r="B6" s="102">
        <v>0.42</v>
      </c>
      <c r="C6" s="76"/>
      <c r="D6" s="3" t="s">
        <v>105</v>
      </c>
      <c r="E6" s="14"/>
    </row>
    <row r="7" spans="1:6" s="3" customFormat="1" x14ac:dyDescent="0.25">
      <c r="A7" s="69" t="s">
        <v>89</v>
      </c>
      <c r="B7" s="103">
        <f>B6*B5</f>
        <v>420</v>
      </c>
      <c r="C7" s="76"/>
      <c r="D7" s="3" t="s">
        <v>106</v>
      </c>
      <c r="E7" s="14"/>
    </row>
    <row r="8" spans="1:6" s="3" customFormat="1" x14ac:dyDescent="0.25">
      <c r="A8" s="69" t="s">
        <v>92</v>
      </c>
      <c r="B8" s="104">
        <v>510</v>
      </c>
      <c r="C8" s="76"/>
      <c r="D8" s="3" t="s">
        <v>96</v>
      </c>
      <c r="E8" s="14"/>
    </row>
    <row r="9" spans="1:6" s="3" customFormat="1" x14ac:dyDescent="0.25">
      <c r="A9" s="69" t="s">
        <v>91</v>
      </c>
      <c r="B9" s="105">
        <v>1500</v>
      </c>
      <c r="C9" s="76"/>
      <c r="D9" s="3" t="s">
        <v>97</v>
      </c>
      <c r="E9" s="14"/>
    </row>
    <row r="10" spans="1:6" s="3" customFormat="1" x14ac:dyDescent="0.25">
      <c r="A10" s="70" t="s">
        <v>87</v>
      </c>
      <c r="B10" s="106">
        <v>2000</v>
      </c>
      <c r="C10" s="76"/>
      <c r="D10" s="3" t="s">
        <v>99</v>
      </c>
      <c r="E10" s="14"/>
    </row>
    <row r="11" spans="1:6" s="3" customFormat="1" x14ac:dyDescent="0.25">
      <c r="A11" s="65"/>
      <c r="B11" s="142"/>
      <c r="C11" s="76"/>
      <c r="E11" s="14"/>
    </row>
    <row r="12" spans="1:6" s="3" customFormat="1" x14ac:dyDescent="0.25">
      <c r="A12" s="72" t="s">
        <v>95</v>
      </c>
      <c r="B12" s="88"/>
      <c r="C12" s="76"/>
      <c r="E12" s="14"/>
    </row>
    <row r="13" spans="1:6" s="3" customFormat="1" x14ac:dyDescent="0.25">
      <c r="A13" s="149"/>
      <c r="B13" s="149"/>
      <c r="C13" s="149"/>
      <c r="D13" s="149"/>
      <c r="E13" s="149"/>
    </row>
    <row r="14" spans="1:6" s="3" customFormat="1" x14ac:dyDescent="0.25">
      <c r="A14" s="141"/>
      <c r="B14" s="141"/>
      <c r="C14" s="141"/>
      <c r="D14" s="141"/>
      <c r="E14" s="141"/>
    </row>
    <row r="15" spans="1:6" s="3" customFormat="1" x14ac:dyDescent="0.25">
      <c r="A15" s="8" t="s">
        <v>32</v>
      </c>
      <c r="B15" s="90" t="s">
        <v>0</v>
      </c>
      <c r="C15" s="77" t="s">
        <v>1</v>
      </c>
      <c r="E15" s="16" t="s">
        <v>3</v>
      </c>
    </row>
    <row r="16" spans="1:6" s="3" customFormat="1" x14ac:dyDescent="0.25">
      <c r="A16" s="17">
        <v>1</v>
      </c>
      <c r="B16" s="108">
        <v>1521</v>
      </c>
      <c r="C16" s="78"/>
      <c r="D16" s="20" t="s">
        <v>12</v>
      </c>
      <c r="E16" s="21">
        <f>2*$B$5</f>
        <v>2000</v>
      </c>
      <c r="F16" s="19"/>
    </row>
    <row r="17" spans="1:6" s="3" customFormat="1" x14ac:dyDescent="0.25">
      <c r="A17" s="158" t="s">
        <v>101</v>
      </c>
      <c r="B17" s="109"/>
      <c r="C17" s="122">
        <v>5720</v>
      </c>
      <c r="D17" s="22" t="s">
        <v>35</v>
      </c>
      <c r="E17" s="21">
        <f>2*$B$5</f>
        <v>2000</v>
      </c>
      <c r="F17" s="19"/>
    </row>
    <row r="18" spans="1:6" s="3" customFormat="1" x14ac:dyDescent="0.25">
      <c r="A18" s="158"/>
      <c r="B18" s="109"/>
      <c r="C18" s="122"/>
      <c r="D18" s="22"/>
      <c r="E18" s="21"/>
      <c r="F18" s="19"/>
    </row>
    <row r="19" spans="1:6" s="3" customFormat="1" x14ac:dyDescent="0.25">
      <c r="A19" s="158"/>
      <c r="B19" s="136">
        <v>1523</v>
      </c>
      <c r="C19" s="137"/>
      <c r="D19" s="131" t="s">
        <v>6</v>
      </c>
      <c r="E19" s="125">
        <f>B5</f>
        <v>1000</v>
      </c>
      <c r="F19" s="19"/>
    </row>
    <row r="20" spans="1:6" s="3" customFormat="1" x14ac:dyDescent="0.25">
      <c r="A20" s="158"/>
      <c r="B20" s="136"/>
      <c r="C20" s="138">
        <v>5720</v>
      </c>
      <c r="D20" s="129" t="s">
        <v>35</v>
      </c>
      <c r="E20" s="125">
        <f>E19</f>
        <v>1000</v>
      </c>
      <c r="F20" s="19"/>
    </row>
    <row r="21" spans="1:6" s="3" customFormat="1" x14ac:dyDescent="0.25">
      <c r="A21" s="17"/>
      <c r="B21" s="136"/>
      <c r="C21" s="138"/>
      <c r="D21" s="129"/>
      <c r="E21" s="125"/>
      <c r="F21" s="19"/>
    </row>
    <row r="22" spans="1:6" s="3" customFormat="1" x14ac:dyDescent="0.25">
      <c r="A22" s="17"/>
      <c r="B22" s="136">
        <v>7400</v>
      </c>
      <c r="C22" s="138"/>
      <c r="D22" s="129" t="s">
        <v>80</v>
      </c>
      <c r="E22" s="125">
        <f>E23</f>
        <v>420</v>
      </c>
      <c r="F22" s="19"/>
    </row>
    <row r="23" spans="1:6" s="3" customFormat="1" x14ac:dyDescent="0.25">
      <c r="A23" s="17"/>
      <c r="B23" s="136"/>
      <c r="C23" s="138">
        <v>1529</v>
      </c>
      <c r="D23" s="131" t="s">
        <v>114</v>
      </c>
      <c r="E23" s="125">
        <f>B7</f>
        <v>420</v>
      </c>
      <c r="F23" s="19"/>
    </row>
    <row r="24" spans="1:6" s="3" customFormat="1" x14ac:dyDescent="0.25">
      <c r="A24" s="17"/>
      <c r="B24" s="108"/>
      <c r="C24" s="122"/>
      <c r="D24" s="18"/>
      <c r="E24" s="21"/>
      <c r="F24" s="19"/>
    </row>
    <row r="25" spans="1:6" s="3" customFormat="1" x14ac:dyDescent="0.25">
      <c r="A25" s="17"/>
      <c r="B25" s="144">
        <v>1524</v>
      </c>
      <c r="C25" s="145"/>
      <c r="D25" s="134" t="s">
        <v>88</v>
      </c>
      <c r="E25" s="135">
        <f>B5</f>
        <v>1000</v>
      </c>
      <c r="F25" s="19"/>
    </row>
    <row r="26" spans="1:6" s="3" customFormat="1" x14ac:dyDescent="0.25">
      <c r="A26" s="17"/>
      <c r="B26" s="144"/>
      <c r="C26" s="145">
        <v>5720</v>
      </c>
      <c r="D26" s="146" t="s">
        <v>35</v>
      </c>
      <c r="E26" s="135">
        <f>E25</f>
        <v>1000</v>
      </c>
      <c r="F26" s="19"/>
    </row>
    <row r="27" spans="1:6" s="3" customFormat="1" x14ac:dyDescent="0.25">
      <c r="A27" s="17"/>
      <c r="B27" s="144"/>
      <c r="C27" s="145"/>
      <c r="D27" s="146"/>
      <c r="E27" s="135"/>
      <c r="F27" s="19"/>
    </row>
    <row r="28" spans="1:6" s="3" customFormat="1" x14ac:dyDescent="0.25">
      <c r="A28" s="17"/>
      <c r="B28" s="144">
        <v>7400</v>
      </c>
      <c r="C28" s="145"/>
      <c r="D28" s="146" t="s">
        <v>80</v>
      </c>
      <c r="E28" s="135">
        <f>E25</f>
        <v>1000</v>
      </c>
      <c r="F28" s="19"/>
    </row>
    <row r="29" spans="1:6" s="3" customFormat="1" x14ac:dyDescent="0.25">
      <c r="A29" s="17"/>
      <c r="B29" s="144"/>
      <c r="C29" s="145">
        <v>1529</v>
      </c>
      <c r="D29" s="134" t="s">
        <v>115</v>
      </c>
      <c r="E29" s="135">
        <f>E28</f>
        <v>1000</v>
      </c>
      <c r="F29" s="19"/>
    </row>
    <row r="30" spans="1:6" s="3" customFormat="1" x14ac:dyDescent="0.25">
      <c r="A30" s="17"/>
      <c r="B30" s="155"/>
      <c r="C30" s="156"/>
      <c r="D30" s="156"/>
      <c r="E30" s="21"/>
      <c r="F30" s="19"/>
    </row>
    <row r="31" spans="1:6" s="3" customFormat="1" x14ac:dyDescent="0.25">
      <c r="A31" s="28"/>
      <c r="B31" s="91"/>
      <c r="C31" s="79"/>
      <c r="D31" s="35"/>
      <c r="E31" s="31"/>
      <c r="F31" s="34"/>
    </row>
    <row r="32" spans="1:6" s="3" customFormat="1" x14ac:dyDescent="0.25">
      <c r="A32" s="8">
        <v>2</v>
      </c>
      <c r="B32" s="110">
        <v>1521.3</v>
      </c>
      <c r="C32" s="76"/>
      <c r="D32" s="11" t="s">
        <v>12</v>
      </c>
      <c r="E32" s="14">
        <f>2*$B$10</f>
        <v>4000</v>
      </c>
    </row>
    <row r="33" spans="1:5" s="3" customFormat="1" x14ac:dyDescent="0.25">
      <c r="A33" s="160" t="s">
        <v>90</v>
      </c>
      <c r="B33" s="111"/>
      <c r="C33" s="147">
        <v>2110.9899999999998</v>
      </c>
      <c r="D33" s="9" t="s">
        <v>102</v>
      </c>
      <c r="E33" s="14">
        <f>+E32</f>
        <v>4000</v>
      </c>
    </row>
    <row r="34" spans="1:5" s="3" customFormat="1" x14ac:dyDescent="0.25">
      <c r="A34" s="160"/>
      <c r="B34" s="111"/>
      <c r="C34" s="80"/>
      <c r="D34" s="9"/>
      <c r="E34" s="14"/>
    </row>
    <row r="35" spans="1:5" s="3" customFormat="1" x14ac:dyDescent="0.25">
      <c r="A35" s="160"/>
      <c r="B35" s="112">
        <v>4801.3100000000004</v>
      </c>
      <c r="C35" s="76"/>
      <c r="D35" s="12" t="s">
        <v>48</v>
      </c>
      <c r="E35" s="14">
        <f>2*$B$10</f>
        <v>4000</v>
      </c>
    </row>
    <row r="36" spans="1:5" s="3" customFormat="1" x14ac:dyDescent="0.25">
      <c r="A36" s="160"/>
      <c r="B36" s="112"/>
      <c r="C36" s="53">
        <v>4901.3100000000004</v>
      </c>
      <c r="D36" t="s">
        <v>42</v>
      </c>
      <c r="E36" s="14">
        <f>+E35</f>
        <v>4000</v>
      </c>
    </row>
    <row r="37" spans="1:5" s="3" customFormat="1" x14ac:dyDescent="0.25">
      <c r="A37" s="160"/>
      <c r="B37" s="112"/>
      <c r="C37" s="53"/>
      <c r="D37"/>
      <c r="E37" s="14"/>
    </row>
    <row r="38" spans="1:5" s="3" customFormat="1" x14ac:dyDescent="0.25">
      <c r="A38" s="161"/>
      <c r="B38" s="123">
        <f>IF((D31+D15)-((D15+D18+D24+D31)/6*4)&gt;0,1521.3,1523.1)</f>
        <v>1523.1</v>
      </c>
      <c r="C38" s="123"/>
      <c r="D38" s="124" t="str">
        <f>IF((E32+E16)-((E16+E19+E25+E32)/6*4)&gt;0, "Inventory Held for Repair", "Inventory Purchased for Resale")</f>
        <v>Inventory Held for Repair</v>
      </c>
      <c r="E38" s="125">
        <f>ROUNDUP(IF((E32+E16)-((E16+E19+E25+E32)/6*4)&gt;0,((E32+E16)-((E16+E19+E25+E32)/6*4))/2,(-((E32+E16)-((E16+E19++E25+E32)/6*4)))/2),0)</f>
        <v>334</v>
      </c>
    </row>
    <row r="39" spans="1:5" s="3" customFormat="1" x14ac:dyDescent="0.25">
      <c r="A39" s="161"/>
      <c r="B39" s="126"/>
      <c r="C39" s="123">
        <f>IF((E32+E16)-((E16+E19+E25+E32)/6*4)&gt;0,1521.3,1523.1)</f>
        <v>1521.3</v>
      </c>
      <c r="D39" s="124" t="str">
        <f>IF((E32+E16)-((E16+E19+E25+E32)/6*4)&gt;0, "Inventory Purchased for Resale", "Inventory Held for Repair")</f>
        <v>Inventory Purchased for Resale</v>
      </c>
      <c r="E39" s="125">
        <f>E38</f>
        <v>334</v>
      </c>
    </row>
    <row r="40" spans="1:5" s="3" customFormat="1" x14ac:dyDescent="0.25">
      <c r="A40" s="161"/>
      <c r="B40" s="126"/>
      <c r="C40" s="123"/>
      <c r="D40" s="124"/>
      <c r="E40" s="125"/>
    </row>
    <row r="41" spans="1:5" s="3" customFormat="1" x14ac:dyDescent="0.25">
      <c r="A41" s="8"/>
      <c r="B41" s="127">
        <f>IF((E32+E16)-((E16+E19+E25+E32)/6*4)&gt;0,6790.1, 1529)</f>
        <v>6790.1</v>
      </c>
      <c r="C41" s="128"/>
      <c r="D41" s="129" t="str">
        <f>IF((E32+E16)-((E16+E19+E25+E32)/6*4)&gt;0, "Other Exp Not Requiring Budgetary Resources - DLR", "Inventory - Allowance")</f>
        <v>Other Exp Not Requiring Budgetary Resources - DLR</v>
      </c>
      <c r="E41" s="125">
        <f>ROUNDUP(E38*B6,0)</f>
        <v>141</v>
      </c>
    </row>
    <row r="42" spans="1:5" s="3" customFormat="1" x14ac:dyDescent="0.25">
      <c r="A42" s="150" t="s">
        <v>111</v>
      </c>
      <c r="B42" s="130"/>
      <c r="C42" s="148">
        <f>IF((E32+E16)-((E16+E19+E25+E32)/6*4)&gt;0,1529,6790)</f>
        <v>1529</v>
      </c>
      <c r="D42" s="131" t="str">
        <f>IF((E32+E16)-((E16+E19+E25+E32)/6*4)&gt;0,"Inventory - Allowance for Impaired Inventory", "Other Exp Not Requiring Budgetary Resources - DLR")</f>
        <v>Inventory - Allowance for Impaired Inventory</v>
      </c>
      <c r="E42" s="125">
        <f>E41</f>
        <v>141</v>
      </c>
    </row>
    <row r="43" spans="1:5" s="3" customFormat="1" x14ac:dyDescent="0.25">
      <c r="A43" s="150"/>
      <c r="B43" s="93"/>
      <c r="C43" s="119"/>
      <c r="D43" s="62"/>
      <c r="E43" s="14"/>
    </row>
    <row r="44" spans="1:5" s="3" customFormat="1" x14ac:dyDescent="0.25">
      <c r="A44" s="150"/>
      <c r="B44" s="132">
        <f>IF((E32+E16)-((E16+E19+E25+E32)/6*4)&gt;0,1524.1,1521.3)</f>
        <v>1524.1</v>
      </c>
      <c r="C44" s="133"/>
      <c r="D44" s="134" t="str">
        <f>IF((E32+E16)-((E16+E19+E25+E32)/6*4)&gt;0, "Excess,Obsolete, and Unserviceable", "Inventory Purchased for Resale")</f>
        <v>Excess,Obsolete, and Unserviceable</v>
      </c>
      <c r="E44" s="135">
        <f>ROUNDUP(IF((E32+E16)-((E16+E19+E25+E32)/6*4)&gt;0,((E32+E16)-((E16+E19+E25+E32)/6*4))/2,(-((E32+E16)-((E16+E19++E25+E32)/6*4)))/2),0)</f>
        <v>334</v>
      </c>
    </row>
    <row r="45" spans="1:5" s="3" customFormat="1" x14ac:dyDescent="0.25">
      <c r="A45" s="150"/>
      <c r="B45" s="132"/>
      <c r="C45" s="133">
        <f>IF((E32+E16)-((E16+E19+E25+E32)/6*4)&gt;0,1521.3,1524.1)</f>
        <v>1521.3</v>
      </c>
      <c r="D45" s="134" t="str">
        <f>IF((E32+E16)-((E16+E19+E25+E32)/6*4)&gt;0, "Inventory Purchased for Resale", "Excess, Obsolete, and Unserviceable")</f>
        <v>Inventory Purchased for Resale</v>
      </c>
      <c r="E45" s="135">
        <f>E44</f>
        <v>334</v>
      </c>
    </row>
    <row r="46" spans="1:5" s="3" customFormat="1" x14ac:dyDescent="0.25">
      <c r="A46" s="150"/>
      <c r="B46" s="132"/>
      <c r="C46" s="133"/>
      <c r="D46" s="134"/>
      <c r="E46" s="135"/>
    </row>
    <row r="47" spans="1:5" s="3" customFormat="1" x14ac:dyDescent="0.25">
      <c r="A47" s="150"/>
      <c r="B47" s="132">
        <f>IF((E32+E16)-((E16+E19+E25+E32)/6*4)&gt;0,6790.1, 1529)</f>
        <v>6790.1</v>
      </c>
      <c r="C47" s="133"/>
      <c r="D47" s="134" t="str">
        <f>IF((E32+E16)-((E16+E19+E25+E32)/6*4)&gt;0, "Other Exp Not Requiring Budgetary Resources - DLR", "Inventory - Allowance")</f>
        <v>Other Exp Not Requiring Budgetary Resources - DLR</v>
      </c>
      <c r="E47" s="135">
        <f>E44</f>
        <v>334</v>
      </c>
    </row>
    <row r="48" spans="1:5" s="3" customFormat="1" x14ac:dyDescent="0.25">
      <c r="A48" s="8"/>
      <c r="B48" s="132"/>
      <c r="C48" s="133">
        <f>IF((E32+E16)-((E16+E19+E25+E32)/6*4)&gt;0,1529,6790)</f>
        <v>1529</v>
      </c>
      <c r="D48" s="134" t="str">
        <f>IF((E32+E16)-((E16+E19+E25+E32)/6*4)&gt;0,"Inventory - Allowance for Unserviceable Inventory", "Other Exp Not Requiring Budgetary Resources - DLR")</f>
        <v>Inventory - Allowance for Unserviceable Inventory</v>
      </c>
      <c r="E48" s="135">
        <f>E44</f>
        <v>334</v>
      </c>
    </row>
    <row r="49" spans="1:7" s="3" customFormat="1" x14ac:dyDescent="0.25">
      <c r="A49" s="8"/>
      <c r="B49" s="112"/>
      <c r="C49" s="53"/>
      <c r="D49"/>
      <c r="E49" s="14"/>
    </row>
    <row r="50" spans="1:7" s="3" customFormat="1" x14ac:dyDescent="0.25">
      <c r="A50" s="23">
        <v>3</v>
      </c>
      <c r="B50" s="108">
        <v>4221.1000000000004</v>
      </c>
      <c r="C50" s="121"/>
      <c r="D50" s="18" t="s">
        <v>26</v>
      </c>
      <c r="E50" s="21">
        <f>B3</f>
        <v>850</v>
      </c>
      <c r="F50" s="19"/>
      <c r="G50" s="31"/>
    </row>
    <row r="51" spans="1:7" s="3" customFormat="1" x14ac:dyDescent="0.25">
      <c r="A51" s="158" t="s">
        <v>33</v>
      </c>
      <c r="B51" s="108"/>
      <c r="C51" s="122">
        <v>4210.1000000000004</v>
      </c>
      <c r="D51" s="24" t="s">
        <v>27</v>
      </c>
      <c r="E51" s="21">
        <f>+E50</f>
        <v>850</v>
      </c>
      <c r="F51" s="19"/>
      <c r="G51" s="31"/>
    </row>
    <row r="52" spans="1:7" s="3" customFormat="1" ht="36.75" customHeight="1" x14ac:dyDescent="0.25">
      <c r="A52" s="158"/>
      <c r="B52" s="157"/>
      <c r="C52" s="157"/>
      <c r="D52" s="157"/>
      <c r="E52" s="25"/>
      <c r="F52" s="19"/>
    </row>
    <row r="53" spans="1:7" s="3" customFormat="1" ht="12.75" customHeight="1" x14ac:dyDescent="0.25">
      <c r="A53" s="28"/>
      <c r="B53" s="94"/>
      <c r="C53" s="82"/>
      <c r="D53" s="32"/>
      <c r="E53" s="33"/>
      <c r="F53" s="34"/>
    </row>
    <row r="54" spans="1:7" s="3" customFormat="1" x14ac:dyDescent="0.25">
      <c r="A54" s="7">
        <v>4</v>
      </c>
      <c r="B54" s="110">
        <v>6500.5</v>
      </c>
      <c r="C54" s="76"/>
      <c r="D54" s="11" t="s">
        <v>2</v>
      </c>
      <c r="E54" s="14">
        <f>ROUNDUP(IF((E32+E16)-((E16+E19+E25+E32)/6*4)&gt;0,((+$E$16+$E$32-E38-E45)/4),((+$E$16+$E$32+E38+E45)/4)),0)</f>
        <v>1333</v>
      </c>
    </row>
    <row r="55" spans="1:7" s="3" customFormat="1" x14ac:dyDescent="0.25">
      <c r="A55" s="150" t="s">
        <v>34</v>
      </c>
      <c r="B55" s="110"/>
      <c r="C55" s="116">
        <v>1521.3</v>
      </c>
      <c r="D55" s="5" t="s">
        <v>12</v>
      </c>
      <c r="E55" s="14">
        <f>+E54</f>
        <v>1333</v>
      </c>
    </row>
    <row r="56" spans="1:7" s="3" customFormat="1" x14ac:dyDescent="0.25">
      <c r="A56" s="150"/>
      <c r="B56" s="113"/>
      <c r="C56" s="120"/>
      <c r="E56" s="14"/>
    </row>
    <row r="57" spans="1:7" s="3" customFormat="1" x14ac:dyDescent="0.25">
      <c r="A57" s="150"/>
      <c r="B57" s="110">
        <v>1310.0999999999999</v>
      </c>
      <c r="C57" s="120"/>
      <c r="D57" s="11" t="s">
        <v>49</v>
      </c>
      <c r="E57" s="14">
        <f>B2</f>
        <v>1875</v>
      </c>
    </row>
    <row r="58" spans="1:7" s="3" customFormat="1" x14ac:dyDescent="0.25">
      <c r="A58" s="150"/>
      <c r="B58" s="110"/>
      <c r="C58" s="53">
        <v>5100.1000000000004</v>
      </c>
      <c r="D58" t="s">
        <v>4</v>
      </c>
      <c r="E58" s="14">
        <f>B2</f>
        <v>1875</v>
      </c>
    </row>
    <row r="59" spans="1:7" s="3" customFormat="1" x14ac:dyDescent="0.25">
      <c r="A59" s="8"/>
      <c r="B59" s="110"/>
      <c r="C59" s="120"/>
      <c r="D59" s="11"/>
      <c r="E59" s="14"/>
    </row>
    <row r="60" spans="1:7" s="3" customFormat="1" x14ac:dyDescent="0.25">
      <c r="A60" s="8"/>
      <c r="B60" s="136">
        <v>1523.4</v>
      </c>
      <c r="C60" s="137"/>
      <c r="D60" s="131" t="s">
        <v>25</v>
      </c>
      <c r="E60" s="125">
        <f>+E54</f>
        <v>1333</v>
      </c>
      <c r="F60" s="60"/>
    </row>
    <row r="61" spans="1:7" s="3" customFormat="1" x14ac:dyDescent="0.25">
      <c r="A61" s="8"/>
      <c r="B61" s="136"/>
      <c r="C61" s="138">
        <v>6500.5</v>
      </c>
      <c r="D61" s="131" t="s">
        <v>2</v>
      </c>
      <c r="E61" s="125">
        <f>E60</f>
        <v>1333</v>
      </c>
      <c r="F61" s="60"/>
    </row>
    <row r="62" spans="1:7" s="3" customFormat="1" x14ac:dyDescent="0.25">
      <c r="A62" s="8"/>
      <c r="B62" s="136"/>
      <c r="C62" s="137"/>
      <c r="D62" s="139"/>
      <c r="E62" s="139"/>
      <c r="F62" s="60"/>
    </row>
    <row r="63" spans="1:7" s="30" customFormat="1" x14ac:dyDescent="0.25">
      <c r="A63" s="28"/>
      <c r="B63" s="127">
        <v>6790.1</v>
      </c>
      <c r="C63" s="140"/>
      <c r="D63" s="129" t="s">
        <v>73</v>
      </c>
      <c r="E63" s="125">
        <f>ROUNDUP(B6*E72,0)</f>
        <v>560</v>
      </c>
    </row>
    <row r="64" spans="1:7" s="30" customFormat="1" x14ac:dyDescent="0.25">
      <c r="A64" s="28"/>
      <c r="B64" s="130"/>
      <c r="C64" s="148">
        <v>1529</v>
      </c>
      <c r="D64" s="131" t="s">
        <v>114</v>
      </c>
      <c r="E64" s="125">
        <f>E63</f>
        <v>560</v>
      </c>
    </row>
    <row r="65" spans="1:6" s="3" customFormat="1" x14ac:dyDescent="0.25">
      <c r="A65" s="8"/>
      <c r="B65" s="110"/>
      <c r="C65" s="120"/>
      <c r="F65" s="60"/>
    </row>
    <row r="66" spans="1:6" s="3" customFormat="1" x14ac:dyDescent="0.25">
      <c r="A66" s="8"/>
      <c r="B66" s="110">
        <v>4251.1000000000004</v>
      </c>
      <c r="C66" s="120"/>
      <c r="D66" s="13" t="s">
        <v>28</v>
      </c>
      <c r="E66" s="14">
        <f>B3</f>
        <v>850</v>
      </c>
    </row>
    <row r="67" spans="1:6" s="3" customFormat="1" x14ac:dyDescent="0.25">
      <c r="A67" s="8"/>
      <c r="B67" s="89"/>
      <c r="C67" s="116">
        <v>4221.1000000000004</v>
      </c>
      <c r="D67" s="5" t="s">
        <v>26</v>
      </c>
      <c r="E67" s="14">
        <f>E66</f>
        <v>850</v>
      </c>
    </row>
    <row r="68" spans="1:6" s="3" customFormat="1" x14ac:dyDescent="0.25">
      <c r="A68" s="8"/>
      <c r="B68" s="154"/>
      <c r="C68" s="153"/>
      <c r="D68" s="153"/>
      <c r="E68" s="14"/>
    </row>
    <row r="69" spans="1:6" s="3" customFormat="1" x14ac:dyDescent="0.25">
      <c r="A69" s="8" t="s">
        <v>113</v>
      </c>
      <c r="B69" s="110">
        <v>5109.1000000000004</v>
      </c>
      <c r="C69" s="120"/>
      <c r="D69" s="13" t="s">
        <v>66</v>
      </c>
      <c r="E69" s="14">
        <f>B2-B3</f>
        <v>1025</v>
      </c>
    </row>
    <row r="70" spans="1:6" s="3" customFormat="1" x14ac:dyDescent="0.25">
      <c r="A70" s="8"/>
      <c r="B70" s="110"/>
      <c r="C70" s="116">
        <v>1310.0999999999999</v>
      </c>
      <c r="D70" s="13" t="s">
        <v>81</v>
      </c>
      <c r="E70" s="14">
        <f>E69</f>
        <v>1025</v>
      </c>
    </row>
    <row r="71" spans="1:6" s="3" customFormat="1" x14ac:dyDescent="0.25">
      <c r="A71" s="8"/>
      <c r="B71" s="89"/>
      <c r="C71" s="76"/>
      <c r="E71" s="14"/>
    </row>
    <row r="72" spans="1:6" x14ac:dyDescent="0.25">
      <c r="A72" s="17">
        <v>5</v>
      </c>
      <c r="B72" s="114">
        <v>1523.1</v>
      </c>
      <c r="C72" s="83"/>
      <c r="D72" s="18" t="s">
        <v>30</v>
      </c>
      <c r="E72" s="21">
        <f>+E60</f>
        <v>1333</v>
      </c>
      <c r="F72" s="27"/>
    </row>
    <row r="73" spans="1:6" ht="26.4" x14ac:dyDescent="0.25">
      <c r="A73" s="107" t="s">
        <v>72</v>
      </c>
      <c r="B73" s="114"/>
      <c r="C73" s="117">
        <v>1523.4</v>
      </c>
      <c r="D73" s="22" t="s">
        <v>25</v>
      </c>
      <c r="E73" s="21">
        <f>+E60</f>
        <v>1333</v>
      </c>
      <c r="F73" s="27"/>
    </row>
    <row r="74" spans="1:6" x14ac:dyDescent="0.25">
      <c r="A74" s="107"/>
      <c r="B74" s="114"/>
      <c r="C74" s="117"/>
      <c r="D74" s="22"/>
      <c r="E74" s="21"/>
      <c r="F74" s="27"/>
    </row>
    <row r="75" spans="1:6" x14ac:dyDescent="0.25">
      <c r="A75" s="28"/>
      <c r="B75" s="96"/>
      <c r="C75" s="84"/>
      <c r="D75" s="30"/>
      <c r="E75" s="31"/>
      <c r="F75" s="30"/>
    </row>
    <row r="76" spans="1:6" x14ac:dyDescent="0.25">
      <c r="A76" s="8">
        <v>6</v>
      </c>
      <c r="B76" s="97">
        <v>1523.1</v>
      </c>
      <c r="C76" s="98"/>
      <c r="D76" s="99" t="s">
        <v>31</v>
      </c>
      <c r="E76" s="100">
        <f>+E72</f>
        <v>1333</v>
      </c>
    </row>
    <row r="77" spans="1:6" x14ac:dyDescent="0.25">
      <c r="A77" s="150" t="s">
        <v>69</v>
      </c>
      <c r="B77" s="97"/>
      <c r="C77" s="98">
        <v>1523.1</v>
      </c>
      <c r="D77" s="101" t="s">
        <v>29</v>
      </c>
      <c r="E77" s="100">
        <f>+E76</f>
        <v>1333</v>
      </c>
    </row>
    <row r="78" spans="1:6" x14ac:dyDescent="0.25">
      <c r="A78" s="150"/>
      <c r="D78" s="29" t="s">
        <v>110</v>
      </c>
    </row>
    <row r="79" spans="1:6" x14ac:dyDescent="0.25">
      <c r="A79" s="150"/>
      <c r="B79" s="112">
        <v>4710.3</v>
      </c>
      <c r="D79" s="12" t="s">
        <v>50</v>
      </c>
      <c r="E79" s="14">
        <f>B8</f>
        <v>510</v>
      </c>
    </row>
    <row r="80" spans="1:6" x14ac:dyDescent="0.25">
      <c r="A80" s="150"/>
      <c r="C80" s="53">
        <v>4801.32</v>
      </c>
      <c r="D80" t="s">
        <v>51</v>
      </c>
      <c r="E80" s="14">
        <f>+E79</f>
        <v>510</v>
      </c>
    </row>
    <row r="81" spans="1:6" ht="26.25" customHeight="1" x14ac:dyDescent="0.25">
      <c r="A81" s="161"/>
      <c r="B81" s="163"/>
      <c r="C81" s="163"/>
      <c r="D81" s="163"/>
    </row>
    <row r="82" spans="1:6" x14ac:dyDescent="0.25">
      <c r="A82" s="8"/>
      <c r="B82" s="163"/>
      <c r="C82" s="163"/>
      <c r="D82" s="163"/>
    </row>
    <row r="83" spans="1:6" x14ac:dyDescent="0.25">
      <c r="A83" s="17">
        <v>7</v>
      </c>
      <c r="B83" s="136">
        <v>1521.3</v>
      </c>
      <c r="C83" s="143"/>
      <c r="D83" s="131" t="s">
        <v>12</v>
      </c>
      <c r="E83" s="125">
        <f>+E84</f>
        <v>1333</v>
      </c>
      <c r="F83" s="41"/>
    </row>
    <row r="84" spans="1:6" x14ac:dyDescent="0.25">
      <c r="A84" s="151" t="s">
        <v>68</v>
      </c>
      <c r="B84" s="126"/>
      <c r="C84" s="123">
        <v>1523.1</v>
      </c>
      <c r="D84" s="129" t="s">
        <v>30</v>
      </c>
      <c r="E84" s="125">
        <f>+E72</f>
        <v>1333</v>
      </c>
      <c r="F84" s="41"/>
    </row>
    <row r="85" spans="1:6" x14ac:dyDescent="0.25">
      <c r="A85" s="151"/>
      <c r="B85" s="126"/>
      <c r="C85" s="123"/>
      <c r="D85" s="129"/>
      <c r="E85" s="125"/>
      <c r="F85" s="41"/>
    </row>
    <row r="86" spans="1:6" x14ac:dyDescent="0.25">
      <c r="A86" s="151"/>
      <c r="B86" s="136">
        <v>1529</v>
      </c>
      <c r="C86" s="123"/>
      <c r="D86" s="131" t="s">
        <v>114</v>
      </c>
      <c r="E86" s="125">
        <f>E64</f>
        <v>560</v>
      </c>
      <c r="F86" s="41"/>
    </row>
    <row r="87" spans="1:6" x14ac:dyDescent="0.25">
      <c r="A87" s="151"/>
      <c r="B87" s="126"/>
      <c r="C87" s="123">
        <v>6790.1</v>
      </c>
      <c r="D87" s="129" t="s">
        <v>73</v>
      </c>
      <c r="E87" s="125">
        <f>E63</f>
        <v>560</v>
      </c>
      <c r="F87" s="41"/>
    </row>
    <row r="88" spans="1:6" x14ac:dyDescent="0.25">
      <c r="A88" s="17"/>
      <c r="B88" s="114" t="str">
        <f>IF(E72&gt;B7, " ", 6100.31)</f>
        <v xml:space="preserve"> </v>
      </c>
      <c r="C88" s="117"/>
      <c r="D88" s="27"/>
      <c r="E88" s="21"/>
      <c r="F88" s="41"/>
    </row>
    <row r="89" spans="1:6" x14ac:dyDescent="0.25">
      <c r="A89" s="17"/>
      <c r="B89" s="108">
        <v>6100.12</v>
      </c>
      <c r="C89" s="117"/>
      <c r="D89" s="18" t="s">
        <v>76</v>
      </c>
      <c r="E89" s="21">
        <f>E79</f>
        <v>510</v>
      </c>
      <c r="F89" s="27"/>
    </row>
    <row r="90" spans="1:6" x14ac:dyDescent="0.25">
      <c r="A90" s="17"/>
      <c r="B90" s="108"/>
      <c r="C90" s="117">
        <v>2110.9899999999998</v>
      </c>
      <c r="D90" s="27" t="s">
        <v>36</v>
      </c>
      <c r="E90" s="21">
        <f>E89</f>
        <v>510</v>
      </c>
      <c r="F90" s="27"/>
    </row>
    <row r="91" spans="1:6" x14ac:dyDescent="0.25">
      <c r="A91" s="17"/>
      <c r="B91" s="114"/>
      <c r="C91" s="117"/>
      <c r="D91" s="27"/>
      <c r="E91" s="21"/>
      <c r="F91" s="27"/>
    </row>
    <row r="92" spans="1:6" x14ac:dyDescent="0.25">
      <c r="A92" s="17"/>
      <c r="B92" s="114">
        <v>4801.32</v>
      </c>
      <c r="C92" s="117"/>
      <c r="D92" s="27" t="s">
        <v>51</v>
      </c>
      <c r="E92" s="21">
        <f>E80</f>
        <v>510</v>
      </c>
      <c r="F92" s="27"/>
    </row>
    <row r="93" spans="1:6" x14ac:dyDescent="0.25">
      <c r="A93" s="17"/>
      <c r="B93" s="114"/>
      <c r="C93" s="117">
        <v>4901.32</v>
      </c>
      <c r="D93" s="27" t="s">
        <v>52</v>
      </c>
      <c r="E93" s="21">
        <f>+E92</f>
        <v>510</v>
      </c>
      <c r="F93" s="27"/>
    </row>
    <row r="94" spans="1:6" ht="12.75" customHeight="1" x14ac:dyDescent="0.25">
      <c r="A94" s="17"/>
      <c r="B94" s="165"/>
      <c r="C94" s="166"/>
      <c r="D94" s="166"/>
      <c r="E94" s="21"/>
      <c r="F94" s="27"/>
    </row>
    <row r="95" spans="1:6" x14ac:dyDescent="0.25">
      <c r="A95" s="8"/>
      <c r="D95" s="65"/>
    </row>
    <row r="96" spans="1:6" x14ac:dyDescent="0.25">
      <c r="A96" s="8">
        <v>8</v>
      </c>
      <c r="B96" s="115">
        <f>IF(B9-B8&gt;0,6100.12,(IF(B9-B8=0,"",2110.99)))</f>
        <v>6100.12</v>
      </c>
      <c r="C96" s="84"/>
      <c r="D96" s="12" t="str">
        <f>IF(B9-B8&gt;0,"Operating Exp - DLR Repair Cost - Organic",(IF(B9-B8=0,"","Goods Receipt/Invoice Receipt")))</f>
        <v>Operating Exp - DLR Repair Cost - Organic</v>
      </c>
      <c r="E96" s="14">
        <f>IF(B9-B8&gt;0,B9-B8,(IF(B9-B8=0,"",B8-B9)))</f>
        <v>990</v>
      </c>
    </row>
    <row r="97" spans="1:6" x14ac:dyDescent="0.25">
      <c r="A97" s="150" t="s">
        <v>93</v>
      </c>
      <c r="B97" s="115"/>
      <c r="C97" s="53">
        <f>IF(B9-B8&gt;0,2110.99,(IF(B9-B8=0,"",6100.12)))</f>
        <v>2110.9899999999998</v>
      </c>
      <c r="D97" t="str">
        <f>IF(B9-B8&gt;0,"Goods Receipt/Invoice Receipt",(IF(B9-B8=0,"","Operating Exp - DLR Repair Cost - Organic")))</f>
        <v>Goods Receipt/Invoice Receipt</v>
      </c>
      <c r="E97" s="14">
        <f>E96</f>
        <v>990</v>
      </c>
    </row>
    <row r="98" spans="1:6" x14ac:dyDescent="0.25">
      <c r="A98" s="150"/>
      <c r="B98" s="115"/>
      <c r="C98" s="118"/>
      <c r="D98" s="12"/>
    </row>
    <row r="99" spans="1:6" x14ac:dyDescent="0.25">
      <c r="A99" s="150"/>
      <c r="B99" s="112">
        <v>2110.9899999999998</v>
      </c>
      <c r="C99" s="53"/>
      <c r="D99" t="s">
        <v>36</v>
      </c>
      <c r="E99" s="14">
        <f>B9</f>
        <v>1500</v>
      </c>
    </row>
    <row r="100" spans="1:6" x14ac:dyDescent="0.25">
      <c r="A100" s="150"/>
      <c r="B100" s="112"/>
      <c r="C100" s="53">
        <v>2110.1</v>
      </c>
      <c r="D100" t="s">
        <v>46</v>
      </c>
      <c r="E100" s="14">
        <f>E99</f>
        <v>1500</v>
      </c>
    </row>
    <row r="101" spans="1:6" x14ac:dyDescent="0.25">
      <c r="A101" s="8"/>
      <c r="B101" s="112"/>
      <c r="C101" s="53"/>
    </row>
    <row r="102" spans="1:6" x14ac:dyDescent="0.25">
      <c r="A102" s="8"/>
      <c r="B102" s="112">
        <f>IF(B96=6100.12,4610.3, IF(B96=2110.99,4901.32,""))</f>
        <v>4610.3</v>
      </c>
      <c r="C102" s="53"/>
      <c r="D102" s="12" t="str">
        <f>IF(B96=6100.12,"Allotments - Realized Resources",IF(B96=2110.99,"Delivered Orders - Obligations Unpaid - Repair",""))</f>
        <v>Allotments - Realized Resources</v>
      </c>
      <c r="E102" s="14">
        <f>E96</f>
        <v>990</v>
      </c>
    </row>
    <row r="103" spans="1:6" x14ac:dyDescent="0.25">
      <c r="A103" s="8"/>
      <c r="C103" s="53">
        <f>IF(B96=6100.12,4901.32, IF(B96=2110.99,4610.3,""))</f>
        <v>4901.32</v>
      </c>
      <c r="D103" t="str">
        <f>IF(B96=6100.12,"Delivered Orders, Obligations Unpaid - Repair",IF(B96=2110.99,"Allotments - Realized Resources",""))</f>
        <v>Delivered Orders, Obligations Unpaid - Repair</v>
      </c>
      <c r="E103" s="14">
        <f>E102</f>
        <v>990</v>
      </c>
    </row>
    <row r="104" spans="1:6" ht="13.5" customHeight="1" x14ac:dyDescent="0.25">
      <c r="A104" s="8"/>
      <c r="B104" s="163"/>
      <c r="C104" s="164"/>
      <c r="D104" s="164"/>
      <c r="E104" s="15"/>
    </row>
    <row r="105" spans="1:6" ht="12.75" customHeight="1" x14ac:dyDescent="0.25">
      <c r="A105" s="8"/>
      <c r="B105" s="74"/>
      <c r="C105" s="85"/>
      <c r="D105" s="10"/>
      <c r="E105" s="15"/>
    </row>
    <row r="106" spans="1:6" x14ac:dyDescent="0.25">
      <c r="A106" s="17">
        <v>9</v>
      </c>
      <c r="B106" s="114">
        <v>2110.9899999999998</v>
      </c>
      <c r="C106" s="83"/>
      <c r="D106" s="26" t="s">
        <v>36</v>
      </c>
      <c r="E106" s="21">
        <f>+E33</f>
        <v>4000</v>
      </c>
      <c r="F106" s="27"/>
    </row>
    <row r="107" spans="1:6" x14ac:dyDescent="0.25">
      <c r="A107" s="151" t="s">
        <v>109</v>
      </c>
      <c r="B107" s="114"/>
      <c r="C107" s="117">
        <v>2110.1999999999998</v>
      </c>
      <c r="D107" s="27" t="s">
        <v>47</v>
      </c>
      <c r="E107" s="21">
        <f>+E106</f>
        <v>4000</v>
      </c>
      <c r="F107" s="27"/>
    </row>
    <row r="108" spans="1:6" s="10" customFormat="1" ht="32.25" customHeight="1" x14ac:dyDescent="0.25">
      <c r="A108" s="159"/>
      <c r="B108" s="162"/>
      <c r="C108" s="162"/>
      <c r="D108" s="162"/>
      <c r="E108" s="36"/>
      <c r="F108" s="37"/>
    </row>
    <row r="109" spans="1:6" x14ac:dyDescent="0.25">
      <c r="A109" s="8"/>
      <c r="B109" s="75"/>
      <c r="C109" s="86"/>
      <c r="D109" s="6"/>
    </row>
    <row r="110" spans="1:6" x14ac:dyDescent="0.25">
      <c r="A110" s="8">
        <v>10</v>
      </c>
      <c r="B110" s="112">
        <v>2110.1</v>
      </c>
      <c r="D110" t="s">
        <v>46</v>
      </c>
      <c r="E110" s="14">
        <f>+E100</f>
        <v>1500</v>
      </c>
    </row>
    <row r="111" spans="1:6" x14ac:dyDescent="0.25">
      <c r="A111" s="150" t="s">
        <v>37</v>
      </c>
      <c r="B111" s="112"/>
      <c r="C111" s="53">
        <v>1010.2</v>
      </c>
      <c r="D111" t="s">
        <v>38</v>
      </c>
      <c r="E111" s="14">
        <f>+E110</f>
        <v>1500</v>
      </c>
    </row>
    <row r="112" spans="1:6" x14ac:dyDescent="0.25">
      <c r="A112" s="150"/>
      <c r="B112" s="112"/>
      <c r="C112" s="53"/>
    </row>
    <row r="113" spans="1:6" x14ac:dyDescent="0.25">
      <c r="A113" s="150"/>
      <c r="B113" s="112">
        <v>4901.32</v>
      </c>
      <c r="C113" s="53"/>
      <c r="D113" t="s">
        <v>52</v>
      </c>
      <c r="E113" s="14">
        <f>IF(B9-B8&gt;0,+E93+E103,(IF(B9-B8=0,E93,E93-E102)))</f>
        <v>1500</v>
      </c>
    </row>
    <row r="114" spans="1:6" x14ac:dyDescent="0.25">
      <c r="A114" s="150"/>
      <c r="B114" s="112"/>
      <c r="C114" s="53">
        <v>4902.62</v>
      </c>
      <c r="D114" t="s">
        <v>40</v>
      </c>
      <c r="E114" s="14">
        <f>+E113</f>
        <v>1500</v>
      </c>
    </row>
    <row r="115" spans="1:6" x14ac:dyDescent="0.25">
      <c r="A115" s="8"/>
      <c r="B115" s="154"/>
      <c r="C115" s="153"/>
      <c r="D115" s="153"/>
    </row>
    <row r="116" spans="1:6" x14ac:dyDescent="0.25">
      <c r="A116" s="8"/>
    </row>
    <row r="117" spans="1:6" x14ac:dyDescent="0.25">
      <c r="A117" s="17">
        <v>11</v>
      </c>
      <c r="B117" s="114">
        <v>2110.1999999999998</v>
      </c>
      <c r="C117" s="83"/>
      <c r="D117" s="27" t="s">
        <v>47</v>
      </c>
      <c r="E117" s="21">
        <f>+E107</f>
        <v>4000</v>
      </c>
      <c r="F117" s="27"/>
    </row>
    <row r="118" spans="1:6" x14ac:dyDescent="0.25">
      <c r="A118" s="151" t="s">
        <v>41</v>
      </c>
      <c r="B118" s="114"/>
      <c r="C118" s="117">
        <v>1010.2</v>
      </c>
      <c r="D118" s="27" t="s">
        <v>38</v>
      </c>
      <c r="E118" s="21">
        <f>+E117</f>
        <v>4000</v>
      </c>
      <c r="F118" s="27"/>
    </row>
    <row r="119" spans="1:6" x14ac:dyDescent="0.25">
      <c r="A119" s="151"/>
      <c r="B119" s="114"/>
      <c r="C119" s="117"/>
      <c r="D119" s="27"/>
      <c r="E119" s="21"/>
      <c r="F119" s="27"/>
    </row>
    <row r="120" spans="1:6" x14ac:dyDescent="0.25">
      <c r="A120" s="151"/>
      <c r="B120" s="114">
        <v>4901.3100000000004</v>
      </c>
      <c r="C120" s="117"/>
      <c r="D120" s="26" t="s">
        <v>42</v>
      </c>
      <c r="E120" s="21">
        <f>+E36</f>
        <v>4000</v>
      </c>
      <c r="F120" s="27"/>
    </row>
    <row r="121" spans="1:6" x14ac:dyDescent="0.25">
      <c r="A121" s="151"/>
      <c r="B121" s="95"/>
      <c r="C121" s="117">
        <v>4902.6099999999997</v>
      </c>
      <c r="D121" s="27" t="s">
        <v>39</v>
      </c>
      <c r="E121" s="21">
        <f>+E120</f>
        <v>4000</v>
      </c>
      <c r="F121" s="27"/>
    </row>
    <row r="122" spans="1:6" x14ac:dyDescent="0.25">
      <c r="A122" s="151"/>
      <c r="B122" s="152"/>
      <c r="C122" s="153"/>
      <c r="D122" s="153"/>
      <c r="E122" s="21"/>
      <c r="F122" s="27"/>
    </row>
    <row r="123" spans="1:6" x14ac:dyDescent="0.25">
      <c r="A123" s="8"/>
    </row>
    <row r="124" spans="1:6" x14ac:dyDescent="0.25">
      <c r="A124" s="8">
        <v>12</v>
      </c>
      <c r="B124" s="112">
        <v>1010.1</v>
      </c>
      <c r="D124" s="12" t="s">
        <v>43</v>
      </c>
      <c r="E124" s="14">
        <f>+E125</f>
        <v>850</v>
      </c>
    </row>
    <row r="125" spans="1:6" x14ac:dyDescent="0.25">
      <c r="A125" s="150" t="s">
        <v>45</v>
      </c>
      <c r="B125" s="112"/>
      <c r="C125" s="116">
        <v>1310.0999999999999</v>
      </c>
      <c r="D125" s="11" t="s">
        <v>49</v>
      </c>
      <c r="E125" s="14">
        <f>E66</f>
        <v>850</v>
      </c>
    </row>
    <row r="126" spans="1:6" x14ac:dyDescent="0.25">
      <c r="A126" s="150"/>
      <c r="B126" s="112"/>
      <c r="C126" s="116"/>
      <c r="D126" s="11"/>
    </row>
    <row r="127" spans="1:6" x14ac:dyDescent="0.25">
      <c r="A127" s="8"/>
      <c r="B127" s="112">
        <v>4252.1000000000004</v>
      </c>
      <c r="C127" s="53"/>
      <c r="D127" s="12" t="s">
        <v>44</v>
      </c>
      <c r="E127" s="14">
        <f>E128</f>
        <v>850</v>
      </c>
    </row>
    <row r="128" spans="1:6" x14ac:dyDescent="0.25">
      <c r="A128" s="8"/>
      <c r="C128" s="116">
        <v>4251.1000000000004</v>
      </c>
      <c r="D128" s="13" t="s">
        <v>28</v>
      </c>
      <c r="E128" s="14">
        <f>E66</f>
        <v>850</v>
      </c>
    </row>
    <row r="129" spans="1:4" x14ac:dyDescent="0.25">
      <c r="A129" s="8"/>
      <c r="B129" s="154"/>
      <c r="C129" s="153"/>
      <c r="D129" s="153"/>
    </row>
  </sheetData>
  <mergeCells count="24">
    <mergeCell ref="B129:D129"/>
    <mergeCell ref="B108:D108"/>
    <mergeCell ref="B104:D104"/>
    <mergeCell ref="B68:D68"/>
    <mergeCell ref="B94:D94"/>
    <mergeCell ref="B81:D81"/>
    <mergeCell ref="B82:D82"/>
    <mergeCell ref="A125:A126"/>
    <mergeCell ref="A17:A20"/>
    <mergeCell ref="A84:A87"/>
    <mergeCell ref="A97:A100"/>
    <mergeCell ref="A107:A108"/>
    <mergeCell ref="A33:A40"/>
    <mergeCell ref="A51:A52"/>
    <mergeCell ref="A77:A81"/>
    <mergeCell ref="A42:A47"/>
    <mergeCell ref="A13:E13"/>
    <mergeCell ref="A111:A114"/>
    <mergeCell ref="A118:A122"/>
    <mergeCell ref="A55:A58"/>
    <mergeCell ref="B122:D122"/>
    <mergeCell ref="B115:D115"/>
    <mergeCell ref="B30:D30"/>
    <mergeCell ref="B52:D52"/>
  </mergeCells>
  <printOptions horizontalCentered="1"/>
  <pageMargins left="0.25" right="0.25" top="1" bottom="1" header="0.5" footer="0.5"/>
  <pageSetup scale="76" fitToHeight="2" orientation="portrait" r:id="rId1"/>
  <headerFooter alignWithMargins="0">
    <oddFooter>&amp;L&amp;8&amp;D &amp;T&amp;C&amp;8&amp;P of &amp;N&amp;R&amp;8Attachment</oddFooter>
  </headerFooter>
  <rowBreaks count="1" manualBreakCount="1">
    <brk id="70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68"/>
  <sheetViews>
    <sheetView workbookViewId="0">
      <pane xSplit="3" ySplit="5" topLeftCell="N59" activePane="bottomRight" state="frozen"/>
      <selection pane="topRight" activeCell="D1" sqref="D1"/>
      <selection pane="bottomLeft" activeCell="A6" sqref="A6"/>
      <selection pane="bottomRight" activeCell="C18" sqref="C18"/>
    </sheetView>
  </sheetViews>
  <sheetFormatPr defaultRowHeight="13.2" x14ac:dyDescent="0.25"/>
  <cols>
    <col min="1" max="1" width="8.44140625" style="12" customWidth="1"/>
    <col min="2" max="2" width="11.33203125" style="12" customWidth="1"/>
    <col min="3" max="3" width="42.6640625" customWidth="1"/>
    <col min="4" max="4" width="8.44140625" style="49" customWidth="1"/>
    <col min="5" max="5" width="8.5546875" style="49" customWidth="1"/>
    <col min="6" max="7" width="8" style="49" customWidth="1"/>
    <col min="8" max="8" width="8.33203125" style="49" customWidth="1"/>
    <col min="9" max="9" width="7.44140625" style="49" customWidth="1"/>
    <col min="10" max="10" width="8.33203125" style="49" customWidth="1"/>
    <col min="11" max="11" width="7.88671875" style="49" customWidth="1"/>
    <col min="12" max="12" width="8" style="49" customWidth="1"/>
    <col min="13" max="13" width="8.109375" style="49" customWidth="1"/>
    <col min="14" max="15" width="7.6640625" style="49" customWidth="1"/>
    <col min="16" max="16" width="10.6640625" customWidth="1"/>
  </cols>
  <sheetData>
    <row r="3" spans="1:17" ht="13.8" x14ac:dyDescent="0.3">
      <c r="A3" s="38"/>
      <c r="B3" s="3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7" ht="13.8" x14ac:dyDescent="0.3">
      <c r="A4" s="38"/>
      <c r="B4" s="38"/>
      <c r="D4" s="167" t="s">
        <v>53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47" t="s">
        <v>70</v>
      </c>
    </row>
    <row r="5" spans="1:17" s="46" customFormat="1" ht="13.8" x14ac:dyDescent="0.3">
      <c r="A5" s="45" t="s">
        <v>60</v>
      </c>
      <c r="B5" s="45" t="s">
        <v>61</v>
      </c>
      <c r="D5" s="39">
        <v>1</v>
      </c>
      <c r="E5" s="39">
        <v>2</v>
      </c>
      <c r="F5" s="39">
        <v>3</v>
      </c>
      <c r="G5" s="39">
        <v>4</v>
      </c>
      <c r="H5" s="39">
        <v>5</v>
      </c>
      <c r="I5" s="39">
        <v>6</v>
      </c>
      <c r="J5" s="39">
        <v>7</v>
      </c>
      <c r="K5" s="39">
        <v>8</v>
      </c>
      <c r="L5" s="39">
        <v>9</v>
      </c>
      <c r="M5" s="39">
        <v>10</v>
      </c>
      <c r="N5" s="39">
        <v>11</v>
      </c>
      <c r="O5" s="39">
        <v>12</v>
      </c>
      <c r="P5" s="47" t="s">
        <v>71</v>
      </c>
    </row>
    <row r="6" spans="1:17" ht="13.8" x14ac:dyDescent="0.3">
      <c r="A6" s="42">
        <v>1010</v>
      </c>
      <c r="B6" s="42"/>
      <c r="C6" s="1" t="s">
        <v>8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7">
        <f>SUM(D7:O8)</f>
        <v>-4650</v>
      </c>
    </row>
    <row r="7" spans="1:17" ht="13.8" x14ac:dyDescent="0.3">
      <c r="A7" s="42"/>
      <c r="B7" s="42">
        <v>1010.1</v>
      </c>
      <c r="C7" s="1" t="s">
        <v>43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>
        <f>'Business Case Transactions'!E124</f>
        <v>850</v>
      </c>
      <c r="P7" s="57"/>
    </row>
    <row r="8" spans="1:17" ht="13.8" x14ac:dyDescent="0.3">
      <c r="A8" s="42"/>
      <c r="B8" s="42">
        <v>1010.2</v>
      </c>
      <c r="C8" s="1" t="s">
        <v>38</v>
      </c>
      <c r="D8" s="55"/>
      <c r="E8" s="55"/>
      <c r="F8" s="55"/>
      <c r="G8" s="55"/>
      <c r="H8" s="55"/>
      <c r="I8" s="55"/>
      <c r="J8" s="55"/>
      <c r="K8" s="55"/>
      <c r="L8" s="55"/>
      <c r="M8" s="55">
        <f>-'Business Case Transactions'!E111</f>
        <v>-1500</v>
      </c>
      <c r="N8" s="55">
        <f>-'Business Case Transactions'!E118</f>
        <v>-4000</v>
      </c>
      <c r="O8" s="55"/>
      <c r="P8" s="57"/>
    </row>
    <row r="9" spans="1:17" ht="13.8" x14ac:dyDescent="0.3">
      <c r="A9" s="42">
        <v>1310</v>
      </c>
      <c r="B9" s="42"/>
      <c r="C9" s="1" t="s">
        <v>54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7">
        <f>SUM(D10:O10)</f>
        <v>0</v>
      </c>
    </row>
    <row r="10" spans="1:17" ht="13.8" x14ac:dyDescent="0.3">
      <c r="A10" s="42"/>
      <c r="B10" s="42">
        <v>1310.0999999999999</v>
      </c>
      <c r="C10" s="1" t="s">
        <v>49</v>
      </c>
      <c r="D10" s="55"/>
      <c r="E10" s="55"/>
      <c r="F10" s="55"/>
      <c r="G10" s="55">
        <f>'Business Case Transactions'!E57</f>
        <v>1875</v>
      </c>
      <c r="H10" s="55">
        <f>-'Business Case Transactions'!E70</f>
        <v>-1025</v>
      </c>
      <c r="I10" s="55"/>
      <c r="J10" s="55"/>
      <c r="K10" s="55"/>
      <c r="L10" s="55"/>
      <c r="M10" s="55"/>
      <c r="N10" s="55"/>
      <c r="O10" s="55">
        <f>-'Business Case Transactions'!E125</f>
        <v>-850</v>
      </c>
      <c r="P10" s="57"/>
    </row>
    <row r="11" spans="1:17" ht="13.8" x14ac:dyDescent="0.3">
      <c r="A11" s="42">
        <v>1521</v>
      </c>
      <c r="B11" s="42"/>
      <c r="C11" s="1" t="s">
        <v>12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7">
        <f>SUM(D12:O12)</f>
        <v>5332</v>
      </c>
    </row>
    <row r="12" spans="1:17" ht="13.8" x14ac:dyDescent="0.3">
      <c r="A12" s="42"/>
      <c r="B12" s="42">
        <v>1521.3</v>
      </c>
      <c r="C12" s="1" t="s">
        <v>12</v>
      </c>
      <c r="D12" s="55">
        <f>'Business Case Transactions'!E16</f>
        <v>2000</v>
      </c>
      <c r="E12" s="55">
        <f>IF(('Business Case Transactions'!E32+'Business Case Transactions'!E16)-(('Business Case Transactions'!E16+'Business Case Transactions'!E19+'Business Case Transactions'!E25+'Business Case Transactions'!E32)/6*4)&gt;0,'Business Case Transactions'!E32-'Business Case Transactions'!E38-'Business Case Transactions'!E44,'Business Case Transactions'!E32+'Business Case Transactions'!E38+'Business Case Transactions'!E38)</f>
        <v>3332</v>
      </c>
      <c r="F12" s="55"/>
      <c r="G12" s="55">
        <f>-'Business Case Transactions'!E55</f>
        <v>-1333</v>
      </c>
      <c r="H12" s="55"/>
      <c r="I12" s="55"/>
      <c r="J12" s="55">
        <f>'Business Case Transactions'!E83</f>
        <v>1333</v>
      </c>
      <c r="K12" s="55"/>
      <c r="L12" s="55"/>
      <c r="M12" s="55"/>
      <c r="N12" s="55"/>
      <c r="O12" s="55"/>
      <c r="P12" s="57"/>
    </row>
    <row r="13" spans="1:17" ht="13.8" x14ac:dyDescent="0.3">
      <c r="A13" s="42">
        <v>1523</v>
      </c>
      <c r="B13" s="42"/>
      <c r="C13" s="1" t="s">
        <v>6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7">
        <f>SUM(D14:O15)</f>
        <v>1334</v>
      </c>
    </row>
    <row r="14" spans="1:17" ht="13.8" x14ac:dyDescent="0.3">
      <c r="A14" s="42"/>
      <c r="B14" s="42">
        <v>1523.1</v>
      </c>
      <c r="C14" s="1" t="s">
        <v>6</v>
      </c>
      <c r="D14" s="55">
        <f>'Business Case Transactions'!E19</f>
        <v>1000</v>
      </c>
      <c r="E14" s="55">
        <f>IF(('Business Case Transactions'!E32+'Business Case Transactions'!E16)-(('Business Case Transactions'!E16+'Business Case Transactions'!E19+'Business Case Transactions'!E25+'Business Case Transactions'!E32)/6*4)&gt;0,'Business Case Transactions'!E38,-'Business Case Transactions'!E38)</f>
        <v>334</v>
      </c>
      <c r="F14" s="55"/>
      <c r="G14" s="55"/>
      <c r="H14" s="55">
        <f>'Business Case Transactions'!E72</f>
        <v>1333</v>
      </c>
      <c r="I14" s="55"/>
      <c r="J14" s="55">
        <f>-'Business Case Transactions'!E84</f>
        <v>-1333</v>
      </c>
      <c r="K14" s="55"/>
      <c r="L14" s="55"/>
      <c r="M14" s="55"/>
      <c r="N14" s="55"/>
      <c r="O14" s="55"/>
      <c r="P14" s="57"/>
      <c r="Q14" s="64"/>
    </row>
    <row r="15" spans="1:17" ht="13.8" x14ac:dyDescent="0.3">
      <c r="A15" s="42"/>
      <c r="B15" s="42">
        <v>1523.4</v>
      </c>
      <c r="C15" s="1" t="s">
        <v>25</v>
      </c>
      <c r="D15" s="55"/>
      <c r="E15" s="55"/>
      <c r="F15" s="55"/>
      <c r="G15" s="55">
        <f>'Business Case Transactions'!E60</f>
        <v>1333</v>
      </c>
      <c r="H15" s="55">
        <f>-'Business Case Transactions'!E73</f>
        <v>-1333</v>
      </c>
      <c r="I15" s="55"/>
      <c r="J15" s="55"/>
      <c r="K15" s="55"/>
      <c r="L15" s="55"/>
      <c r="M15" s="55"/>
      <c r="N15" s="55"/>
      <c r="O15" s="55"/>
      <c r="P15" s="57"/>
      <c r="Q15" s="64"/>
    </row>
    <row r="16" spans="1:17" ht="13.8" x14ac:dyDescent="0.3">
      <c r="A16" s="42"/>
      <c r="B16" s="42">
        <v>1524.1</v>
      </c>
      <c r="C16" s="1" t="s">
        <v>88</v>
      </c>
      <c r="D16" s="55">
        <f>'Business Case Transactions'!E25</f>
        <v>1000</v>
      </c>
      <c r="E16" s="55">
        <f>IF(('Business Case Transactions'!E32+'Business Case Transactions'!E16)-(('Business Case Transactions'!E16+'Business Case Transactions'!E19+'Business Case Transactions'!E25+'Business Case Transactions'!E32)/6*4)&gt;0,'Business Case Transactions'!E44,-'Business Case Transactions'!E44)</f>
        <v>334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7">
        <f>SUM(D16:O16)</f>
        <v>1334</v>
      </c>
      <c r="Q16" s="64"/>
    </row>
    <row r="17" spans="1:16" ht="13.8" x14ac:dyDescent="0.3">
      <c r="A17" s="42"/>
      <c r="B17" s="42">
        <v>1529</v>
      </c>
      <c r="C17" s="1" t="s">
        <v>112</v>
      </c>
      <c r="D17" s="55">
        <f>-'Business Case Transactions'!E23-'Business Case Transactions'!E29</f>
        <v>-1420</v>
      </c>
      <c r="E17" s="55">
        <f>IF(('Business Case Transactions'!E32+'Business Case Transactions'!E16)-(('Business Case Transactions'!E16+'Business Case Transactions'!E19+'Business Case Transactions'!E25+'Business Case Transactions'!E32)/6*4)&gt;0,-'Business Case Transactions'!E42-'Business Case Transactions'!E48,'Business Case Transactions'!E42+'Business Case Transactions'!E48)</f>
        <v>-475</v>
      </c>
      <c r="F17" s="55"/>
      <c r="H17" s="55">
        <f>-'Business Case Transactions'!E64</f>
        <v>-560</v>
      </c>
      <c r="I17" s="55"/>
      <c r="J17" s="55">
        <f>'Business Case Transactions'!E86</f>
        <v>560</v>
      </c>
      <c r="K17" s="55"/>
      <c r="L17" s="55"/>
      <c r="M17" s="55"/>
      <c r="N17" s="55"/>
      <c r="O17" s="55"/>
      <c r="P17" s="57">
        <f>SUM(D17:O17)</f>
        <v>-1895</v>
      </c>
    </row>
    <row r="18" spans="1:16" ht="13.8" x14ac:dyDescent="0.3">
      <c r="A18" s="42"/>
      <c r="B18" s="42"/>
      <c r="C18" s="1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7"/>
    </row>
    <row r="19" spans="1:16" ht="13.8" x14ac:dyDescent="0.3">
      <c r="A19" s="42"/>
      <c r="B19" s="42"/>
      <c r="C19" s="1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7"/>
    </row>
    <row r="20" spans="1:16" ht="13.8" x14ac:dyDescent="0.3">
      <c r="A20" s="42"/>
      <c r="B20" s="42"/>
      <c r="C20" s="1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</row>
    <row r="21" spans="1:16" ht="13.8" x14ac:dyDescent="0.3">
      <c r="A21" s="42">
        <v>2110</v>
      </c>
      <c r="B21" s="42"/>
      <c r="C21" s="1" t="s">
        <v>10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7">
        <f>SUM(D22:O24)</f>
        <v>0</v>
      </c>
    </row>
    <row r="22" spans="1:16" ht="13.8" x14ac:dyDescent="0.3">
      <c r="A22" s="42"/>
      <c r="B22" s="42">
        <v>2110.1</v>
      </c>
      <c r="C22" s="1" t="s">
        <v>46</v>
      </c>
      <c r="D22" s="55"/>
      <c r="E22" s="55"/>
      <c r="F22" s="55"/>
      <c r="G22" s="55"/>
      <c r="H22" s="55"/>
      <c r="I22" s="55"/>
      <c r="J22" s="55"/>
      <c r="K22" s="55">
        <f>-'Business Case Transactions'!E100</f>
        <v>-1500</v>
      </c>
      <c r="L22" s="55"/>
      <c r="M22" s="55">
        <f>'Business Case Transactions'!E110</f>
        <v>1500</v>
      </c>
      <c r="N22" s="55"/>
      <c r="O22" s="55"/>
      <c r="P22" s="57"/>
    </row>
    <row r="23" spans="1:16" ht="13.8" x14ac:dyDescent="0.3">
      <c r="A23" s="42"/>
      <c r="B23" s="42">
        <v>2110.1999999999998</v>
      </c>
      <c r="C23" s="1" t="s">
        <v>47</v>
      </c>
      <c r="D23" s="55"/>
      <c r="E23" s="55"/>
      <c r="F23" s="55"/>
      <c r="G23" s="55"/>
      <c r="H23" s="55"/>
      <c r="I23" s="55"/>
      <c r="J23" s="55"/>
      <c r="K23" s="55"/>
      <c r="L23" s="55">
        <f>-'Business Case Transactions'!E107</f>
        <v>-4000</v>
      </c>
      <c r="M23" s="55"/>
      <c r="N23" s="55">
        <f>'Business Case Transactions'!E117</f>
        <v>4000</v>
      </c>
      <c r="O23" s="55"/>
      <c r="P23" s="57"/>
    </row>
    <row r="24" spans="1:16" ht="13.8" x14ac:dyDescent="0.3">
      <c r="A24" s="42"/>
      <c r="B24" s="42">
        <v>2110.9899999999998</v>
      </c>
      <c r="C24" s="1" t="s">
        <v>36</v>
      </c>
      <c r="D24" s="55"/>
      <c r="E24" s="55">
        <f>-'Business Case Transactions'!E33</f>
        <v>-4000</v>
      </c>
      <c r="F24" s="55"/>
      <c r="G24" s="55"/>
      <c r="H24" s="55"/>
      <c r="I24" s="55"/>
      <c r="J24" s="55">
        <f>-'Business Case Transactions'!E90</f>
        <v>-510</v>
      </c>
      <c r="K24" s="55">
        <f>IF('Business Case Transactions'!B9-'Business Case Transactions'!B8=0,0,'Business Case Transactions'!B8-'Business Case Transactions'!B9)+'Business Case Transactions'!E99</f>
        <v>510</v>
      </c>
      <c r="L24" s="55">
        <f>'Business Case Transactions'!E106</f>
        <v>4000</v>
      </c>
      <c r="M24" s="55"/>
      <c r="N24" s="55"/>
      <c r="O24" s="55"/>
      <c r="P24" s="57"/>
    </row>
    <row r="25" spans="1:16" ht="13.8" x14ac:dyDescent="0.3">
      <c r="A25" s="42">
        <v>3310</v>
      </c>
      <c r="B25" s="42"/>
      <c r="C25" s="1" t="s">
        <v>9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7">
        <f>SUM(D25:O25)</f>
        <v>0</v>
      </c>
    </row>
    <row r="26" spans="1:16" ht="13.8" x14ac:dyDescent="0.3">
      <c r="A26" s="42">
        <v>4131</v>
      </c>
      <c r="B26" s="42"/>
      <c r="C26" s="1" t="s">
        <v>15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7">
        <f>SUM(D26:O26)</f>
        <v>0</v>
      </c>
    </row>
    <row r="27" spans="1:16" ht="13.8" x14ac:dyDescent="0.3">
      <c r="A27" s="42">
        <v>4210</v>
      </c>
      <c r="B27" s="42"/>
      <c r="C27" s="1" t="s">
        <v>16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7">
        <f>SUM(D28:O28)</f>
        <v>-850</v>
      </c>
    </row>
    <row r="28" spans="1:16" ht="13.8" x14ac:dyDescent="0.3">
      <c r="A28" s="42"/>
      <c r="B28" s="42">
        <v>4210.1000000000004</v>
      </c>
      <c r="C28" s="1" t="s">
        <v>16</v>
      </c>
      <c r="D28" s="55"/>
      <c r="E28" s="55"/>
      <c r="F28" s="55">
        <f>-'Business Case Transactions'!E51</f>
        <v>-850</v>
      </c>
      <c r="G28" s="55"/>
      <c r="H28" s="55"/>
      <c r="I28" s="55"/>
      <c r="J28" s="55"/>
      <c r="K28" s="55"/>
      <c r="L28" s="55"/>
      <c r="M28" s="55"/>
      <c r="N28" s="55"/>
      <c r="O28" s="55"/>
      <c r="P28" s="57"/>
    </row>
    <row r="29" spans="1:16" ht="13.8" x14ac:dyDescent="0.3">
      <c r="A29" s="42">
        <v>4221</v>
      </c>
      <c r="B29" s="42"/>
      <c r="C29" s="1" t="s">
        <v>5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7">
        <f>SUM(D30:O30)</f>
        <v>0</v>
      </c>
    </row>
    <row r="30" spans="1:16" ht="13.8" x14ac:dyDescent="0.3">
      <c r="A30" s="42"/>
      <c r="B30" s="42">
        <v>4221.1000000000004</v>
      </c>
      <c r="C30" s="1" t="s">
        <v>5</v>
      </c>
      <c r="D30" s="55"/>
      <c r="E30" s="55"/>
      <c r="F30" s="55">
        <f>'Business Case Transactions'!E50</f>
        <v>850</v>
      </c>
      <c r="G30" s="55">
        <f>-'Business Case Transactions'!E67</f>
        <v>-850</v>
      </c>
      <c r="H30" s="55"/>
      <c r="I30" s="55"/>
      <c r="J30" s="55"/>
      <c r="K30" s="55"/>
      <c r="L30" s="55"/>
      <c r="M30" s="55"/>
      <c r="N30" s="55"/>
      <c r="O30" s="55"/>
      <c r="P30" s="57"/>
    </row>
    <row r="31" spans="1:16" ht="13.8" x14ac:dyDescent="0.3">
      <c r="A31" s="42">
        <v>4251</v>
      </c>
      <c r="B31" s="42"/>
      <c r="C31" s="1" t="s">
        <v>17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7">
        <f>SUM(D32:O32)</f>
        <v>0</v>
      </c>
    </row>
    <row r="32" spans="1:16" ht="13.8" x14ac:dyDescent="0.3">
      <c r="A32" s="42"/>
      <c r="B32" s="42">
        <v>4251.1000000000004</v>
      </c>
      <c r="C32" s="1" t="s">
        <v>17</v>
      </c>
      <c r="D32" s="55"/>
      <c r="E32" s="55"/>
      <c r="F32" s="55"/>
      <c r="G32" s="55">
        <f>'Business Case Transactions'!E66</f>
        <v>850</v>
      </c>
      <c r="H32" s="55"/>
      <c r="I32" s="55"/>
      <c r="J32" s="55"/>
      <c r="K32" s="55"/>
      <c r="L32" s="55"/>
      <c r="M32" s="55"/>
      <c r="N32" s="55"/>
      <c r="O32" s="55">
        <f>-'Business Case Transactions'!E128</f>
        <v>-850</v>
      </c>
      <c r="P32" s="57"/>
    </row>
    <row r="33" spans="1:16" ht="13.8" x14ac:dyDescent="0.3">
      <c r="A33" s="42">
        <v>4252</v>
      </c>
      <c r="B33" s="42"/>
      <c r="C33" s="1" t="s">
        <v>44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>
        <f>SUM(D34:O34)</f>
        <v>850</v>
      </c>
    </row>
    <row r="34" spans="1:16" ht="13.8" x14ac:dyDescent="0.3">
      <c r="A34" s="42"/>
      <c r="B34" s="42">
        <v>4252.1000000000004</v>
      </c>
      <c r="C34" s="1" t="s">
        <v>44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>
        <f>'Business Case Transactions'!E127</f>
        <v>850</v>
      </c>
      <c r="P34" s="57"/>
    </row>
    <row r="35" spans="1:16" ht="13.8" x14ac:dyDescent="0.3">
      <c r="A35" s="42">
        <v>4450</v>
      </c>
      <c r="B35" s="42"/>
      <c r="C35" s="1" t="s">
        <v>23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>
        <f>SUM(D35:O35)</f>
        <v>0</v>
      </c>
    </row>
    <row r="36" spans="1:16" ht="13.8" x14ac:dyDescent="0.3">
      <c r="A36" s="42">
        <v>4590</v>
      </c>
      <c r="B36" s="42"/>
      <c r="C36" s="1" t="s">
        <v>21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7">
        <f>SUM(D36:O36)</f>
        <v>0</v>
      </c>
    </row>
    <row r="37" spans="1:16" ht="13.8" x14ac:dyDescent="0.3">
      <c r="A37" s="42">
        <v>4610</v>
      </c>
      <c r="B37" s="42"/>
      <c r="C37" s="1" t="s">
        <v>18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7">
        <f>SUM(D38:O38)</f>
        <v>990</v>
      </c>
    </row>
    <row r="38" spans="1:16" ht="13.8" x14ac:dyDescent="0.3">
      <c r="A38" s="42"/>
      <c r="B38" s="42">
        <v>4610.3</v>
      </c>
      <c r="C38" s="1" t="s">
        <v>18</v>
      </c>
      <c r="D38" s="55"/>
      <c r="E38" s="55"/>
      <c r="F38" s="55"/>
      <c r="G38" s="55"/>
      <c r="H38" s="55"/>
      <c r="I38" s="55"/>
      <c r="J38" s="55"/>
      <c r="K38" s="55">
        <f>IF('Business Case Transactions'!B9-'Business Case Transactions'!B8=0,"",'Business Case Transactions'!B9-'Business Case Transactions'!B8)</f>
        <v>990</v>
      </c>
      <c r="L38" s="55"/>
      <c r="M38" s="55"/>
      <c r="N38" s="55"/>
      <c r="O38" s="55"/>
      <c r="P38" s="57"/>
    </row>
    <row r="39" spans="1:16" ht="13.8" x14ac:dyDescent="0.3">
      <c r="A39" s="42">
        <v>4620</v>
      </c>
      <c r="B39" s="42"/>
      <c r="C39" s="1" t="s">
        <v>22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7">
        <f>SUM(D39:O39)</f>
        <v>0</v>
      </c>
    </row>
    <row r="40" spans="1:16" ht="13.8" x14ac:dyDescent="0.3">
      <c r="A40" s="42">
        <v>4700</v>
      </c>
      <c r="B40" s="42"/>
      <c r="C40" s="1" t="s">
        <v>19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7">
        <f>SUM(D41:O41)</f>
        <v>510</v>
      </c>
    </row>
    <row r="41" spans="1:16" ht="13.8" x14ac:dyDescent="0.3">
      <c r="A41" s="42"/>
      <c r="B41" s="42">
        <v>4710.3</v>
      </c>
      <c r="C41" s="1" t="s">
        <v>56</v>
      </c>
      <c r="D41" s="55"/>
      <c r="E41" s="55"/>
      <c r="F41" s="55"/>
      <c r="G41" s="55"/>
      <c r="H41" s="55"/>
      <c r="I41" s="55">
        <f>'Business Case Transactions'!E79</f>
        <v>510</v>
      </c>
      <c r="J41" s="55"/>
      <c r="K41" s="55"/>
      <c r="L41" s="55"/>
      <c r="M41" s="55"/>
      <c r="N41" s="55"/>
      <c r="O41" s="55"/>
      <c r="P41" s="57"/>
    </row>
    <row r="42" spans="1:16" ht="13.8" x14ac:dyDescent="0.3">
      <c r="A42" s="42">
        <v>4801</v>
      </c>
      <c r="B42" s="42"/>
      <c r="C42" s="1" t="s">
        <v>7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7">
        <f>SUM(D43:O44)</f>
        <v>4000</v>
      </c>
    </row>
    <row r="43" spans="1:16" ht="13.8" x14ac:dyDescent="0.3">
      <c r="A43" s="42"/>
      <c r="B43" s="42">
        <v>4801.3100000000004</v>
      </c>
      <c r="C43" s="1" t="s">
        <v>48</v>
      </c>
      <c r="D43" s="55"/>
      <c r="E43" s="55">
        <f>'Business Case Transactions'!E35</f>
        <v>4000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7"/>
    </row>
    <row r="44" spans="1:16" ht="13.8" x14ac:dyDescent="0.3">
      <c r="A44" s="42"/>
      <c r="B44" s="42">
        <v>4801.32</v>
      </c>
      <c r="C44" s="1" t="s">
        <v>51</v>
      </c>
      <c r="D44" s="55"/>
      <c r="E44" s="55"/>
      <c r="F44" s="55"/>
      <c r="G44" s="55"/>
      <c r="H44" s="55"/>
      <c r="I44" s="55">
        <f>-'Business Case Transactions'!E80</f>
        <v>-510</v>
      </c>
      <c r="J44" s="55">
        <f>'Business Case Transactions'!E92</f>
        <v>510</v>
      </c>
      <c r="K44" s="55"/>
      <c r="L44" s="55"/>
      <c r="M44" s="55"/>
      <c r="N44" s="55"/>
      <c r="O44" s="55"/>
      <c r="P44" s="57"/>
    </row>
    <row r="45" spans="1:16" ht="13.8" x14ac:dyDescent="0.3">
      <c r="A45" s="42">
        <v>4901</v>
      </c>
      <c r="B45" s="42"/>
      <c r="C45" s="1" t="s">
        <v>20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7">
        <f>SUM(D46:O47)</f>
        <v>0</v>
      </c>
    </row>
    <row r="46" spans="1:16" ht="13.8" x14ac:dyDescent="0.3">
      <c r="A46" s="42"/>
      <c r="B46" s="42">
        <v>4901.3100000000004</v>
      </c>
      <c r="C46" s="1" t="s">
        <v>55</v>
      </c>
      <c r="D46" s="55"/>
      <c r="E46" s="55">
        <f>-'Business Case Transactions'!E36</f>
        <v>-4000</v>
      </c>
      <c r="F46" s="55"/>
      <c r="G46" s="55"/>
      <c r="H46" s="55"/>
      <c r="I46" s="55"/>
      <c r="K46" s="55">
        <f>IF('Business Case Transactions'!B9-'Business Case Transactions'!B8=0,"",'Business Case Transactions'!B8-'Business Case Transactions'!B9)</f>
        <v>-990</v>
      </c>
      <c r="L46" s="55"/>
      <c r="N46" s="55">
        <f>'Business Case Transactions'!E120</f>
        <v>4000</v>
      </c>
      <c r="O46" s="55"/>
      <c r="P46" s="57"/>
    </row>
    <row r="47" spans="1:16" ht="13.8" x14ac:dyDescent="0.3">
      <c r="A47" s="42"/>
      <c r="B47" s="42">
        <v>4901.32</v>
      </c>
      <c r="C47" s="1" t="s">
        <v>57</v>
      </c>
      <c r="D47" s="55"/>
      <c r="E47" s="55"/>
      <c r="F47" s="55"/>
      <c r="G47" s="55"/>
      <c r="H47" s="55"/>
      <c r="I47" s="55"/>
      <c r="J47" s="55">
        <f>-'Business Case Transactions'!E93</f>
        <v>-510</v>
      </c>
      <c r="L47" s="55"/>
      <c r="M47" s="55">
        <f>'Business Case Transactions'!E113</f>
        <v>1500</v>
      </c>
      <c r="N47" s="55"/>
      <c r="O47" s="55"/>
      <c r="P47" s="57"/>
    </row>
    <row r="48" spans="1:16" ht="13.8" x14ac:dyDescent="0.3">
      <c r="A48" s="42">
        <v>4902</v>
      </c>
      <c r="B48" s="42"/>
      <c r="C48" s="1" t="s">
        <v>58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7">
        <f>SUM(D49:O50)</f>
        <v>-5500</v>
      </c>
    </row>
    <row r="49" spans="1:16" ht="13.8" x14ac:dyDescent="0.3">
      <c r="A49" s="42"/>
      <c r="B49" s="42">
        <v>4902.6099999999997</v>
      </c>
      <c r="C49" s="1" t="s">
        <v>59</v>
      </c>
      <c r="D49" s="55"/>
      <c r="E49" s="55"/>
      <c r="F49" s="55"/>
      <c r="G49" s="55"/>
      <c r="H49" s="55"/>
      <c r="I49" s="55"/>
      <c r="J49" s="55"/>
      <c r="K49" s="55"/>
      <c r="L49" s="55"/>
      <c r="N49" s="55">
        <f>-'Business Case Transactions'!E121</f>
        <v>-4000</v>
      </c>
      <c r="O49" s="55"/>
      <c r="P49" s="57"/>
    </row>
    <row r="50" spans="1:16" ht="13.8" x14ac:dyDescent="0.3">
      <c r="A50" s="42"/>
      <c r="B50" s="42">
        <v>4902.62</v>
      </c>
      <c r="C50" s="1" t="s">
        <v>77</v>
      </c>
      <c r="D50" s="55"/>
      <c r="E50" s="55"/>
      <c r="F50" s="55"/>
      <c r="G50" s="55"/>
      <c r="H50" s="55"/>
      <c r="I50" s="55"/>
      <c r="J50" s="55"/>
      <c r="K50" s="55"/>
      <c r="L50" s="55"/>
      <c r="M50" s="55">
        <f>-'Business Case Transactions'!E114</f>
        <v>-1500</v>
      </c>
      <c r="N50" s="55"/>
      <c r="O50" s="55"/>
      <c r="P50" s="57"/>
    </row>
    <row r="51" spans="1:16" ht="13.8" x14ac:dyDescent="0.3">
      <c r="A51" s="42">
        <v>5100</v>
      </c>
      <c r="B51" s="42"/>
      <c r="C51" s="1" t="s">
        <v>4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7">
        <f>SUM(D52:O52)</f>
        <v>-1875</v>
      </c>
    </row>
    <row r="52" spans="1:16" ht="13.8" x14ac:dyDescent="0.3">
      <c r="A52" s="42"/>
      <c r="B52" s="42">
        <v>5100.1000000000004</v>
      </c>
      <c r="C52" s="1" t="s">
        <v>4</v>
      </c>
      <c r="D52" s="55"/>
      <c r="E52" s="55"/>
      <c r="F52" s="55"/>
      <c r="G52" s="55">
        <f>-'Business Case Transactions'!E58</f>
        <v>-1875</v>
      </c>
      <c r="H52" s="55"/>
      <c r="I52" s="55"/>
      <c r="J52" s="55"/>
      <c r="K52" s="55"/>
      <c r="L52" s="55"/>
      <c r="M52" s="55"/>
      <c r="N52" s="55"/>
      <c r="O52" s="55"/>
      <c r="P52" s="57"/>
    </row>
    <row r="53" spans="1:16" ht="13.8" x14ac:dyDescent="0.3">
      <c r="A53" s="42"/>
      <c r="B53" s="42"/>
      <c r="C53" s="1" t="s">
        <v>66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7">
        <f>SUM(D54:O54)</f>
        <v>1025</v>
      </c>
    </row>
    <row r="54" spans="1:16" ht="13.8" x14ac:dyDescent="0.3">
      <c r="A54" s="42"/>
      <c r="B54" s="42">
        <v>5109.1000000000004</v>
      </c>
      <c r="C54" s="1" t="s">
        <v>66</v>
      </c>
      <c r="D54" s="55"/>
      <c r="E54" s="55"/>
      <c r="F54" s="55"/>
      <c r="G54" s="55"/>
      <c r="H54" s="55">
        <f>'Business Case Transactions'!E69</f>
        <v>1025</v>
      </c>
      <c r="I54" s="55"/>
      <c r="J54" s="55"/>
      <c r="K54" s="55"/>
      <c r="L54" s="55"/>
      <c r="M54" s="55"/>
      <c r="N54" s="55"/>
      <c r="O54" s="55"/>
      <c r="P54" s="57"/>
    </row>
    <row r="55" spans="1:16" ht="13.8" x14ac:dyDescent="0.3">
      <c r="A55" s="42">
        <v>5720</v>
      </c>
      <c r="B55" s="42"/>
      <c r="C55" s="1" t="s">
        <v>13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7">
        <f>SUM(D56:O56)</f>
        <v>-4000</v>
      </c>
    </row>
    <row r="56" spans="1:16" ht="13.8" x14ac:dyDescent="0.3">
      <c r="A56" s="42"/>
      <c r="B56" s="42">
        <v>5720.1</v>
      </c>
      <c r="C56" s="1" t="s">
        <v>13</v>
      </c>
      <c r="D56" s="55">
        <f>-'Business Case Transactions'!E17-'Business Case Transactions'!E20-'Business Case Transactions'!E26</f>
        <v>-4000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7"/>
    </row>
    <row r="57" spans="1:16" ht="13.8" x14ac:dyDescent="0.3">
      <c r="A57" s="42">
        <v>5790</v>
      </c>
      <c r="B57" s="42"/>
      <c r="C57" s="1" t="s">
        <v>14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7"/>
    </row>
    <row r="58" spans="1:16" ht="13.8" x14ac:dyDescent="0.3">
      <c r="A58" s="42">
        <v>6100</v>
      </c>
      <c r="B58" s="42"/>
      <c r="C58" s="1" t="s">
        <v>11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7">
        <f>SUM(D59:O59)</f>
        <v>1500</v>
      </c>
    </row>
    <row r="59" spans="1:16" ht="13.8" x14ac:dyDescent="0.3">
      <c r="A59" s="42"/>
      <c r="B59" s="42">
        <v>6100.12</v>
      </c>
      <c r="C59" s="1" t="s">
        <v>75</v>
      </c>
      <c r="D59" s="55"/>
      <c r="E59" s="55"/>
      <c r="F59" s="55"/>
      <c r="G59" s="55"/>
      <c r="H59" s="55"/>
      <c r="I59" s="55"/>
      <c r="J59" s="61">
        <f>'Business Case Transactions'!E89</f>
        <v>510</v>
      </c>
      <c r="K59" s="61">
        <f>IF('Business Case Transactions'!B9-'Business Case Transactions'!B8=0,"",'Business Case Transactions'!B9-'Business Case Transactions'!B8)</f>
        <v>990</v>
      </c>
      <c r="L59" s="55"/>
      <c r="M59" s="55"/>
      <c r="N59" s="55"/>
      <c r="O59" s="55"/>
      <c r="P59" s="57"/>
    </row>
    <row r="60" spans="1:16" ht="13.8" x14ac:dyDescent="0.3">
      <c r="A60" s="42">
        <v>6500</v>
      </c>
      <c r="B60" s="42"/>
      <c r="C60" s="1" t="s">
        <v>2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7">
        <f>SUM(D61:O61)</f>
        <v>0</v>
      </c>
    </row>
    <row r="61" spans="1:16" ht="13.8" x14ac:dyDescent="0.3">
      <c r="A61" s="42"/>
      <c r="B61" s="42">
        <v>6500.5</v>
      </c>
      <c r="C61" s="67" t="s">
        <v>2</v>
      </c>
      <c r="D61" s="55"/>
      <c r="E61" s="55"/>
      <c r="F61" s="58"/>
      <c r="G61" s="55">
        <f>'Business Case Transactions'!E54-'Business Case Transactions'!E61</f>
        <v>0</v>
      </c>
      <c r="H61" s="55"/>
      <c r="I61" s="55"/>
      <c r="J61" s="55"/>
      <c r="K61" s="55"/>
      <c r="L61" s="55"/>
      <c r="M61" s="55"/>
      <c r="N61" s="55"/>
      <c r="O61" s="55"/>
      <c r="P61" s="57"/>
    </row>
    <row r="62" spans="1:16" ht="13.8" x14ac:dyDescent="0.3">
      <c r="A62" s="42">
        <v>6790</v>
      </c>
      <c r="B62" s="42"/>
      <c r="C62" s="67" t="s">
        <v>74</v>
      </c>
      <c r="D62" s="55"/>
      <c r="E62" s="55"/>
      <c r="F62" s="58"/>
      <c r="G62" s="55"/>
      <c r="H62" s="55"/>
      <c r="I62" s="55"/>
      <c r="J62" s="55"/>
      <c r="K62" s="55"/>
      <c r="L62" s="55"/>
      <c r="M62" s="55"/>
      <c r="N62" s="55"/>
      <c r="O62" s="55"/>
      <c r="P62" s="57">
        <f>SUM(D63:O63)</f>
        <v>475</v>
      </c>
    </row>
    <row r="63" spans="1:16" ht="13.8" x14ac:dyDescent="0.3">
      <c r="A63" s="42"/>
      <c r="B63" s="42">
        <v>6790.1</v>
      </c>
      <c r="C63" s="67" t="s">
        <v>73</v>
      </c>
      <c r="D63" s="55"/>
      <c r="E63" s="55">
        <f>IF(('Business Case Transactions'!E32+'Business Case Transactions'!E16)-(('Business Case Transactions'!E16+'Business Case Transactions'!E19+'Business Case Transactions'!E25+'Business Case Transactions'!E32)/6*4)&gt;0,'Business Case Transactions'!E41+'Business Case Transactions'!E47,-'Business Case Transactions'!E41-'Business Case Transactions'!E47)</f>
        <v>475</v>
      </c>
      <c r="F63" s="58"/>
      <c r="G63" s="55"/>
      <c r="H63" s="55">
        <f>'Business Case Transactions'!E63</f>
        <v>560</v>
      </c>
      <c r="I63" s="55"/>
      <c r="J63" s="55">
        <f>-'Business Case Transactions'!E87</f>
        <v>-560</v>
      </c>
      <c r="K63" s="55"/>
      <c r="L63" s="55"/>
      <c r="M63" s="55"/>
      <c r="N63" s="55"/>
      <c r="O63" s="55"/>
      <c r="P63" s="57"/>
    </row>
    <row r="64" spans="1:16" ht="13.8" x14ac:dyDescent="0.3">
      <c r="A64" s="42">
        <v>7190</v>
      </c>
      <c r="B64" s="42"/>
      <c r="C64" s="67" t="s">
        <v>78</v>
      </c>
      <c r="D64" s="55"/>
      <c r="E64" s="55"/>
      <c r="F64" s="58"/>
      <c r="G64" s="55"/>
      <c r="H64" s="55"/>
      <c r="I64" s="55"/>
      <c r="J64" s="55"/>
      <c r="K64" s="55"/>
      <c r="L64" s="55"/>
      <c r="M64" s="55"/>
      <c r="N64" s="55"/>
      <c r="O64" s="55"/>
      <c r="P64" s="57">
        <f>SUM(D65:O65)</f>
        <v>0</v>
      </c>
    </row>
    <row r="65" spans="1:16" ht="13.8" x14ac:dyDescent="0.3">
      <c r="A65" s="42"/>
      <c r="B65" s="42">
        <v>7190.2</v>
      </c>
      <c r="C65" s="67" t="s">
        <v>79</v>
      </c>
      <c r="D65" s="55"/>
      <c r="E65" s="55"/>
      <c r="F65" s="58"/>
      <c r="G65" s="55"/>
      <c r="H65" s="55"/>
      <c r="I65" s="55"/>
      <c r="J65" s="55"/>
      <c r="K65" s="55"/>
      <c r="L65" s="55"/>
      <c r="M65" s="55"/>
      <c r="N65" s="55"/>
      <c r="O65" s="55"/>
    </row>
    <row r="66" spans="1:16" ht="13.8" x14ac:dyDescent="0.3">
      <c r="A66" s="42">
        <v>7400</v>
      </c>
      <c r="B66" s="42"/>
      <c r="C66" s="66" t="s">
        <v>67</v>
      </c>
      <c r="D66" s="55">
        <f>'Business Case Transactions'!E22+'Business Case Transactions'!E28</f>
        <v>1420</v>
      </c>
      <c r="E66" s="55"/>
      <c r="F66" s="58"/>
      <c r="G66" s="55"/>
      <c r="H66" s="55"/>
      <c r="I66" s="55"/>
      <c r="J66" s="55"/>
      <c r="K66" s="55"/>
      <c r="L66" s="55"/>
      <c r="M66" s="55"/>
      <c r="N66" s="55"/>
      <c r="O66" s="55"/>
      <c r="P66" s="57">
        <f>SUM(D66:O66)</f>
        <v>1420</v>
      </c>
    </row>
    <row r="67" spans="1:16" ht="13.8" thickBot="1" x14ac:dyDescent="0.3">
      <c r="A67" s="38"/>
      <c r="D67" s="68">
        <f>SUM(D6:D66)</f>
        <v>0</v>
      </c>
      <c r="E67" s="68">
        <f t="shared" ref="E67:P67" si="0">SUM(E6:E66)</f>
        <v>0</v>
      </c>
      <c r="F67" s="68">
        <f t="shared" si="0"/>
        <v>0</v>
      </c>
      <c r="G67" s="68">
        <f t="shared" si="0"/>
        <v>0</v>
      </c>
      <c r="H67" s="68">
        <f t="shared" si="0"/>
        <v>0</v>
      </c>
      <c r="I67" s="68">
        <f t="shared" si="0"/>
        <v>0</v>
      </c>
      <c r="J67" s="68">
        <f t="shared" si="0"/>
        <v>0</v>
      </c>
      <c r="K67" s="68">
        <f t="shared" si="0"/>
        <v>0</v>
      </c>
      <c r="L67" s="68">
        <f t="shared" si="0"/>
        <v>0</v>
      </c>
      <c r="M67" s="68">
        <f t="shared" si="0"/>
        <v>0</v>
      </c>
      <c r="N67" s="68">
        <f t="shared" si="0"/>
        <v>0</v>
      </c>
      <c r="O67" s="68">
        <f t="shared" si="0"/>
        <v>0</v>
      </c>
      <c r="P67" s="68">
        <f t="shared" si="0"/>
        <v>0</v>
      </c>
    </row>
    <row r="68" spans="1:16" ht="13.8" thickTop="1" x14ac:dyDescent="0.25"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63"/>
    </row>
  </sheetData>
  <mergeCells count="1">
    <mergeCell ref="D4:O4"/>
  </mergeCells>
  <printOptions horizontalCentered="1"/>
  <pageMargins left="0.75" right="0.75" top="0.75" bottom="0.46" header="0.25" footer="0.2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workbookViewId="0">
      <selection activeCell="C9" sqref="C9"/>
    </sheetView>
  </sheetViews>
  <sheetFormatPr defaultRowHeight="13.2" x14ac:dyDescent="0.25"/>
  <cols>
    <col min="1" max="1" width="7.33203125" style="53" customWidth="1"/>
    <col min="2" max="2" width="3.44140625" style="12" customWidth="1"/>
    <col min="3" max="3" width="39.88671875" customWidth="1"/>
    <col min="4" max="4" width="3" style="49" customWidth="1"/>
    <col min="5" max="5" width="8.88671875" style="56" customWidth="1"/>
    <col min="6" max="6" width="7" style="49" customWidth="1"/>
    <col min="7" max="7" width="6.88671875" style="49" customWidth="1"/>
    <col min="8" max="8" width="6.6640625" style="49" customWidth="1"/>
    <col min="9" max="9" width="6.88671875" style="49" customWidth="1"/>
    <col min="10" max="10" width="7" style="49" customWidth="1"/>
    <col min="11" max="11" width="6.88671875" style="49" customWidth="1"/>
    <col min="12" max="12" width="7" style="49" customWidth="1"/>
    <col min="13" max="13" width="7.33203125" style="49" customWidth="1"/>
    <col min="14" max="14" width="7.6640625" style="49" customWidth="1"/>
    <col min="15" max="15" width="7" style="49" customWidth="1"/>
    <col min="16" max="16" width="6.88671875" style="44" customWidth="1"/>
    <col min="17" max="30" width="3" customWidth="1"/>
  </cols>
  <sheetData>
    <row r="1" spans="1:30" s="46" customFormat="1" ht="13.8" x14ac:dyDescent="0.3">
      <c r="B1" s="45"/>
      <c r="D1" s="39"/>
      <c r="E1" s="54"/>
      <c r="F1" s="39"/>
      <c r="G1" s="39"/>
      <c r="H1" s="39"/>
      <c r="I1" s="39"/>
      <c r="J1" s="39"/>
      <c r="K1" s="39"/>
      <c r="L1" s="39"/>
      <c r="M1" s="39"/>
      <c r="N1" s="39"/>
      <c r="O1" s="39"/>
      <c r="P1" s="4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s="46" customFormat="1" ht="13.8" x14ac:dyDescent="0.3">
      <c r="A2" s="59" t="s">
        <v>60</v>
      </c>
      <c r="B2" s="45"/>
      <c r="C2" s="51" t="s">
        <v>62</v>
      </c>
      <c r="D2" s="39"/>
      <c r="E2" s="54"/>
      <c r="F2" s="39"/>
      <c r="G2" s="39"/>
      <c r="H2" s="39"/>
      <c r="I2" s="39"/>
      <c r="J2" s="39"/>
      <c r="K2" s="39"/>
      <c r="L2" s="39"/>
      <c r="M2" s="39"/>
      <c r="N2" s="39"/>
      <c r="O2" s="39"/>
      <c r="P2" s="4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3.8" x14ac:dyDescent="0.3">
      <c r="A3" s="52">
        <v>1010</v>
      </c>
      <c r="B3" s="42"/>
      <c r="C3" s="1" t="s">
        <v>8</v>
      </c>
      <c r="D3" s="40"/>
      <c r="E3" s="55">
        <f>'Trial Balance Postings'!P6</f>
        <v>-4650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3.8" x14ac:dyDescent="0.3">
      <c r="A4" s="52">
        <v>1310</v>
      </c>
      <c r="B4" s="42"/>
      <c r="C4" s="1" t="s">
        <v>54</v>
      </c>
      <c r="D4" s="40"/>
      <c r="E4" s="55">
        <f>'Trial Balance Postings'!P9</f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3.8" x14ac:dyDescent="0.3">
      <c r="A5" s="52">
        <v>1521</v>
      </c>
      <c r="B5" s="42"/>
      <c r="C5" s="1" t="s">
        <v>12</v>
      </c>
      <c r="D5" s="40"/>
      <c r="E5" s="55">
        <f>'Trial Balance Postings'!P11</f>
        <v>5332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3.8" x14ac:dyDescent="0.3">
      <c r="A6" s="52">
        <v>1523</v>
      </c>
      <c r="B6" s="42"/>
      <c r="C6" s="1" t="s">
        <v>6</v>
      </c>
      <c r="D6" s="40"/>
      <c r="E6" s="55">
        <f>'Trial Balance Postings'!P13</f>
        <v>1334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3.8" x14ac:dyDescent="0.3">
      <c r="A7" s="52">
        <v>1524</v>
      </c>
      <c r="B7" s="42"/>
      <c r="C7" s="1" t="s">
        <v>88</v>
      </c>
      <c r="D7" s="40"/>
      <c r="E7" s="55">
        <f>'Trial Balance Postings'!P16</f>
        <v>1334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.8" x14ac:dyDescent="0.3">
      <c r="A8" s="52">
        <v>1529</v>
      </c>
      <c r="B8" s="42"/>
      <c r="C8" s="1" t="s">
        <v>112</v>
      </c>
      <c r="D8" s="40"/>
      <c r="E8" s="55">
        <f>'Trial Balance Postings'!P17</f>
        <v>-1895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3.8" x14ac:dyDescent="0.3">
      <c r="A9" s="52">
        <v>2110</v>
      </c>
      <c r="B9" s="42"/>
      <c r="C9" s="1" t="s">
        <v>10</v>
      </c>
      <c r="D9" s="40"/>
      <c r="E9" s="55">
        <f>'Trial Balance Postings'!P21</f>
        <v>0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3.8" x14ac:dyDescent="0.3">
      <c r="A10" s="52">
        <v>3310</v>
      </c>
      <c r="B10" s="42"/>
      <c r="C10" s="1" t="s">
        <v>9</v>
      </c>
      <c r="D10" s="40"/>
      <c r="E10" s="55">
        <f>E23</f>
        <v>-1455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3.8" x14ac:dyDescent="0.3">
      <c r="A11" s="52"/>
      <c r="B11" s="42"/>
      <c r="C11" s="1"/>
      <c r="D11" s="40"/>
      <c r="E11" s="55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3.8" x14ac:dyDescent="0.3">
      <c r="A12" s="52"/>
      <c r="B12" s="42"/>
      <c r="C12" s="51" t="s">
        <v>63</v>
      </c>
      <c r="D12" s="40"/>
      <c r="E12" s="55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3.8" x14ac:dyDescent="0.3">
      <c r="A13" s="52">
        <v>5100</v>
      </c>
      <c r="B13" s="42"/>
      <c r="C13" s="1" t="s">
        <v>4</v>
      </c>
      <c r="D13" s="40"/>
      <c r="E13" s="55">
        <f>'Trial Balance Postings'!P51</f>
        <v>-1875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8" x14ac:dyDescent="0.3">
      <c r="A14" s="52">
        <v>5109</v>
      </c>
      <c r="B14" s="42"/>
      <c r="C14" s="1" t="s">
        <v>66</v>
      </c>
      <c r="D14" s="40"/>
      <c r="E14" s="55">
        <f>'Trial Balance Postings'!P53</f>
        <v>1025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3.8" x14ac:dyDescent="0.3">
      <c r="A15" s="52">
        <v>5720</v>
      </c>
      <c r="B15" s="42"/>
      <c r="C15" s="1" t="s">
        <v>83</v>
      </c>
      <c r="D15" s="40"/>
      <c r="E15" s="55">
        <f>'Trial Balance Postings'!P55</f>
        <v>-4000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.8" x14ac:dyDescent="0.3">
      <c r="A16" s="52">
        <v>5790</v>
      </c>
      <c r="B16" s="42"/>
      <c r="C16" s="1" t="s">
        <v>14</v>
      </c>
      <c r="D16" s="40"/>
      <c r="E16" s="55">
        <f>'Trial Balance Postings'!P57</f>
        <v>0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.8" x14ac:dyDescent="0.3">
      <c r="A17" s="52">
        <v>6100</v>
      </c>
      <c r="B17" s="42"/>
      <c r="C17" s="1" t="s">
        <v>11</v>
      </c>
      <c r="D17" s="40"/>
      <c r="E17" s="55">
        <f>'Trial Balance Postings'!P58</f>
        <v>1500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3.8" x14ac:dyDescent="0.3">
      <c r="A18" s="52">
        <v>6500</v>
      </c>
      <c r="B18" s="42"/>
      <c r="C18" s="1" t="s">
        <v>2</v>
      </c>
      <c r="D18" s="40"/>
      <c r="E18" s="55">
        <f>'Trial Balance Postings'!P60</f>
        <v>0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.8" x14ac:dyDescent="0.3">
      <c r="A19" s="52">
        <v>6790</v>
      </c>
      <c r="B19" s="42"/>
      <c r="C19" s="1" t="s">
        <v>82</v>
      </c>
      <c r="D19" s="40"/>
      <c r="E19" s="55">
        <f>'Trial Balance Postings'!P62</f>
        <v>475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3.8" x14ac:dyDescent="0.3">
      <c r="A20" s="52">
        <v>7190</v>
      </c>
      <c r="B20" s="42"/>
      <c r="C20" s="1" t="s">
        <v>78</v>
      </c>
      <c r="D20" s="40"/>
      <c r="E20" s="55">
        <f>'Trial Balance Postings'!P64</f>
        <v>0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.8" x14ac:dyDescent="0.3">
      <c r="A21" s="52"/>
      <c r="B21" s="42"/>
      <c r="C21" s="1" t="s">
        <v>65</v>
      </c>
      <c r="D21" s="40"/>
      <c r="E21" s="55">
        <f>SUM(E13:E20)</f>
        <v>-2875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.8" x14ac:dyDescent="0.3">
      <c r="A22" s="52"/>
      <c r="B22" s="42"/>
      <c r="C22" s="1" t="s">
        <v>67</v>
      </c>
      <c r="D22" s="40"/>
      <c r="E22" s="55">
        <f>'Trial Balance Postings'!P66</f>
        <v>1420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.8" x14ac:dyDescent="0.3">
      <c r="A23" s="52"/>
      <c r="B23" s="42"/>
      <c r="C23" s="1" t="s">
        <v>9</v>
      </c>
      <c r="D23" s="40"/>
      <c r="E23" s="55">
        <f>E21+E22</f>
        <v>-1455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.8" x14ac:dyDescent="0.3">
      <c r="A24" s="52"/>
      <c r="B24" s="42"/>
      <c r="C24" s="1"/>
      <c r="D24" s="40"/>
      <c r="E24" s="55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.8" x14ac:dyDescent="0.3">
      <c r="A25" s="52"/>
      <c r="B25" s="42"/>
      <c r="C25" s="51" t="s">
        <v>64</v>
      </c>
      <c r="D25" s="40"/>
      <c r="E25" s="55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.8" x14ac:dyDescent="0.3">
      <c r="A26" s="52">
        <v>4210</v>
      </c>
      <c r="B26" s="42"/>
      <c r="C26" s="1" t="s">
        <v>16</v>
      </c>
      <c r="D26" s="40"/>
      <c r="E26" s="55">
        <f>'Trial Balance Postings'!P27</f>
        <v>-850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8" x14ac:dyDescent="0.3">
      <c r="A27" s="52">
        <v>4221</v>
      </c>
      <c r="B27" s="42"/>
      <c r="C27" s="1" t="s">
        <v>5</v>
      </c>
      <c r="D27" s="40"/>
      <c r="E27" s="55">
        <f>'Trial Balance Postings'!P29</f>
        <v>0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8" x14ac:dyDescent="0.3">
      <c r="A28" s="52">
        <v>4251</v>
      </c>
      <c r="B28" s="42"/>
      <c r="C28" s="1" t="s">
        <v>17</v>
      </c>
      <c r="D28" s="40"/>
      <c r="E28" s="55">
        <f>'Trial Balance Postings'!P31</f>
        <v>0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8" x14ac:dyDescent="0.3">
      <c r="A29" s="52">
        <v>4252</v>
      </c>
      <c r="B29" s="42"/>
      <c r="C29" s="1" t="s">
        <v>44</v>
      </c>
      <c r="D29" s="40"/>
      <c r="E29" s="55">
        <f>'Trial Balance Postings'!P33</f>
        <v>850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8" x14ac:dyDescent="0.3">
      <c r="A30" s="52">
        <v>4610</v>
      </c>
      <c r="B30" s="42"/>
      <c r="C30" s="1" t="s">
        <v>18</v>
      </c>
      <c r="D30" s="40"/>
      <c r="E30" s="55">
        <f>'Trial Balance Postings'!P37</f>
        <v>990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8" x14ac:dyDescent="0.3">
      <c r="A31" s="52">
        <v>4700</v>
      </c>
      <c r="B31" s="42"/>
      <c r="C31" s="1" t="s">
        <v>19</v>
      </c>
      <c r="D31" s="40"/>
      <c r="E31" s="55">
        <f>'Trial Balance Postings'!P40</f>
        <v>510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8" x14ac:dyDescent="0.3">
      <c r="A32" s="52">
        <v>4801</v>
      </c>
      <c r="B32" s="42"/>
      <c r="C32" s="1" t="s">
        <v>7</v>
      </c>
      <c r="D32" s="40"/>
      <c r="E32" s="55">
        <f>'Trial Balance Postings'!P42</f>
        <v>4000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8" x14ac:dyDescent="0.3">
      <c r="A33" s="52">
        <v>4901</v>
      </c>
      <c r="B33" s="42"/>
      <c r="C33" s="1" t="s">
        <v>20</v>
      </c>
      <c r="D33" s="40"/>
      <c r="E33" s="55">
        <f>'Trial Balance Postings'!P45</f>
        <v>0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8" x14ac:dyDescent="0.3">
      <c r="A34" s="52">
        <v>4902</v>
      </c>
      <c r="B34" s="42"/>
      <c r="C34" s="1" t="s">
        <v>58</v>
      </c>
      <c r="D34" s="40"/>
      <c r="E34" s="55">
        <f>'Trial Balance Postings'!P48</f>
        <v>-5500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</sheetData>
  <printOptions horizontalCentered="1"/>
  <pageMargins left="0.75" right="0.75" top="1" bottom="0.71" header="0.5" footer="0.5"/>
  <pageSetup orientation="portrait" r:id="rId1"/>
  <headerFooter alignWithMargins="0">
    <oddFooter>&amp;L&amp;8&amp;P &amp;N&amp;C&amp;8&amp;P of &amp;N&amp;R&amp;8&amp;F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Business Case Transactions</vt:lpstr>
      <vt:lpstr>Trial Balance Postings</vt:lpstr>
      <vt:lpstr>Final Trial Balance</vt:lpstr>
      <vt:lpstr>'Business Case Transactions'!Print_Area</vt:lpstr>
      <vt:lpstr>'Final Trial Balance'!Print_Area</vt:lpstr>
      <vt:lpstr>'Trial Balance Postings'!Print_Area</vt:lpstr>
    </vt:vector>
  </TitlesOfParts>
  <Company>FMO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Detwiler</dc:creator>
  <cp:lastModifiedBy>Aniket Gupta</cp:lastModifiedBy>
  <cp:lastPrinted>2003-01-29T18:16:07Z</cp:lastPrinted>
  <dcterms:created xsi:type="dcterms:W3CDTF">2002-03-21T19:44:44Z</dcterms:created>
  <dcterms:modified xsi:type="dcterms:W3CDTF">2024-02-03T22:30:30Z</dcterms:modified>
</cp:coreProperties>
</file>