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B50BB8BD-66B7-44FF-AA55-A8EA41463E0F}" xr6:coauthVersionLast="47" xr6:coauthVersionMax="47" xr10:uidLastSave="{00000000-0000-0000-0000-000000000000}"/>
  <bookViews>
    <workbookView xWindow="768" yWindow="768" windowWidth="17280" windowHeight="8880"/>
  </bookViews>
  <sheets>
    <sheet name="Balance Sheet" sheetId="20" r:id="rId1"/>
    <sheet name="Inc. Stmt - Reported - YTD" sheetId="7" r:id="rId2"/>
    <sheet name="Inc. Stmt - Comparable - YTD" sheetId="17" r:id="rId3"/>
    <sheet name="Inc. Stmt - Reported QTR" sheetId="14" r:id="rId4"/>
    <sheet name="Inc. Stmt - Comparable QTR" sheetId="11" r:id="rId5"/>
    <sheet name="Reconciliation" sheetId="19" r:id="rId6"/>
    <sheet name="Outlook" sheetId="18" r:id="rId7"/>
  </sheets>
  <externalReferences>
    <externalReference r:id="rId8"/>
  </externalReferences>
  <definedNames>
    <definedName name="_xlnm.Print_Area" localSheetId="0">'Balance Sheet'!$A$1:$C$31</definedName>
    <definedName name="_xlnm.Print_Area" localSheetId="1">'Inc. Stmt - Reported - YTD'!$A$1:$D$57</definedName>
    <definedName name="_xlnm.Print_Area" localSheetId="3">'Inc. Stmt - Reported QTR'!$A$1:$D$56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0" l="1"/>
  <c r="C12" i="20" s="1"/>
  <c r="C17" i="20" s="1"/>
  <c r="B12" i="20"/>
  <c r="C13" i="20"/>
  <c r="B17" i="20"/>
  <c r="B22" i="20"/>
  <c r="B26" i="20" s="1"/>
  <c r="B31" i="20" s="1"/>
  <c r="C22" i="20"/>
  <c r="C26" i="20" s="1"/>
  <c r="C31" i="20" s="1"/>
  <c r="B25" i="20"/>
  <c r="C25" i="20"/>
  <c r="C30" i="20"/>
  <c r="B6" i="17"/>
  <c r="B7" i="17"/>
  <c r="B8" i="17"/>
  <c r="C8" i="17"/>
  <c r="D9" i="17"/>
  <c r="B10" i="17"/>
  <c r="B11" i="17" s="1"/>
  <c r="D10" i="17"/>
  <c r="C11" i="17"/>
  <c r="B12" i="17"/>
  <c r="D12" i="17"/>
  <c r="C13" i="17"/>
  <c r="C16" i="17" s="1"/>
  <c r="C20" i="17" s="1"/>
  <c r="B14" i="17"/>
  <c r="D14" i="17" s="1"/>
  <c r="B15" i="17"/>
  <c r="B17" i="17"/>
  <c r="D18" i="17"/>
  <c r="B19" i="17"/>
  <c r="D19" i="17" s="1"/>
  <c r="D32" i="17"/>
  <c r="D33" i="17"/>
  <c r="B38" i="17"/>
  <c r="B40" i="17" s="1"/>
  <c r="D38" i="17"/>
  <c r="D39" i="17"/>
  <c r="C40" i="17"/>
  <c r="D42" i="17"/>
  <c r="D43" i="17"/>
  <c r="B44" i="17"/>
  <c r="D44" i="17" s="1"/>
  <c r="C44" i="17"/>
  <c r="C45" i="17" s="1"/>
  <c r="D48" i="17"/>
  <c r="B49" i="17"/>
  <c r="B52" i="17" s="1"/>
  <c r="D52" i="17" s="1"/>
  <c r="D49" i="17"/>
  <c r="B50" i="17"/>
  <c r="D50" i="17" s="1"/>
  <c r="B51" i="17"/>
  <c r="C52" i="17"/>
  <c r="B6" i="11"/>
  <c r="C6" i="11"/>
  <c r="B7" i="11"/>
  <c r="D9" i="11"/>
  <c r="D10" i="11"/>
  <c r="B11" i="11"/>
  <c r="B13" i="11" s="1"/>
  <c r="C11" i="11"/>
  <c r="C13" i="11" s="1"/>
  <c r="C16" i="11" s="1"/>
  <c r="C19" i="11" s="1"/>
  <c r="D11" i="11"/>
  <c r="B12" i="11"/>
  <c r="D12" i="11" s="1"/>
  <c r="B14" i="11"/>
  <c r="D14" i="11"/>
  <c r="B15" i="11"/>
  <c r="D17" i="11"/>
  <c r="D18" i="11"/>
  <c r="D31" i="11"/>
  <c r="D32" i="11"/>
  <c r="D37" i="11"/>
  <c r="D38" i="11"/>
  <c r="B39" i="11"/>
  <c r="C39" i="11"/>
  <c r="D39" i="11" s="1"/>
  <c r="D41" i="11"/>
  <c r="D42" i="11"/>
  <c r="B43" i="11"/>
  <c r="D43" i="11" s="1"/>
  <c r="C43" i="11"/>
  <c r="C44" i="11"/>
  <c r="D47" i="11"/>
  <c r="D48" i="11"/>
  <c r="D49" i="11"/>
  <c r="B50" i="11"/>
  <c r="B51" i="11" s="1"/>
  <c r="D51" i="11" s="1"/>
  <c r="C51" i="11"/>
  <c r="C6" i="7"/>
  <c r="C6" i="17" s="1"/>
  <c r="C7" i="7"/>
  <c r="C7" i="17" s="1"/>
  <c r="D9" i="7"/>
  <c r="B10" i="7"/>
  <c r="D10" i="7" s="1"/>
  <c r="C11" i="7"/>
  <c r="C12" i="7"/>
  <c r="D12" i="7"/>
  <c r="C13" i="7"/>
  <c r="C14" i="7"/>
  <c r="B15" i="7"/>
  <c r="B14" i="7" s="1"/>
  <c r="D14" i="7" s="1"/>
  <c r="C16" i="7"/>
  <c r="K20" i="19" s="1"/>
  <c r="C18" i="7"/>
  <c r="D18" i="7"/>
  <c r="B19" i="7"/>
  <c r="C19" i="7"/>
  <c r="D19" i="7" s="1"/>
  <c r="D32" i="7"/>
  <c r="D33" i="7"/>
  <c r="B38" i="7"/>
  <c r="D38" i="7" s="1"/>
  <c r="D39" i="7"/>
  <c r="B40" i="7"/>
  <c r="C40" i="7"/>
  <c r="C45" i="7" s="1"/>
  <c r="D45" i="7" s="1"/>
  <c r="D40" i="7"/>
  <c r="D42" i="7"/>
  <c r="D43" i="7"/>
  <c r="B44" i="7"/>
  <c r="C44" i="7"/>
  <c r="D44" i="7"/>
  <c r="B45" i="7"/>
  <c r="D48" i="7"/>
  <c r="B49" i="7"/>
  <c r="D49" i="7"/>
  <c r="B50" i="7"/>
  <c r="D50" i="7"/>
  <c r="B51" i="7"/>
  <c r="B52" i="7"/>
  <c r="D52" i="7" s="1"/>
  <c r="C52" i="7"/>
  <c r="C6" i="14"/>
  <c r="B7" i="14"/>
  <c r="C7" i="14"/>
  <c r="C7" i="11" s="1"/>
  <c r="B8" i="14"/>
  <c r="B8" i="11" s="1"/>
  <c r="C8" i="14"/>
  <c r="C8" i="11" s="1"/>
  <c r="D9" i="14"/>
  <c r="D10" i="14"/>
  <c r="B11" i="14"/>
  <c r="D11" i="14" s="1"/>
  <c r="C11" i="14"/>
  <c r="D12" i="14"/>
  <c r="B13" i="14"/>
  <c r="B16" i="14" s="1"/>
  <c r="C13" i="14"/>
  <c r="C16" i="14" s="1"/>
  <c r="D13" i="14"/>
  <c r="D14" i="14"/>
  <c r="B15" i="14"/>
  <c r="D17" i="14"/>
  <c r="D18" i="14"/>
  <c r="D31" i="14"/>
  <c r="D32" i="14"/>
  <c r="D37" i="14"/>
  <c r="D38" i="14"/>
  <c r="B39" i="14"/>
  <c r="C39" i="14"/>
  <c r="D39" i="14" s="1"/>
  <c r="D41" i="14"/>
  <c r="D42" i="14"/>
  <c r="B43" i="14"/>
  <c r="D43" i="14" s="1"/>
  <c r="C43" i="14"/>
  <c r="C44" i="14"/>
  <c r="D47" i="14"/>
  <c r="D48" i="14"/>
  <c r="D49" i="14"/>
  <c r="B51" i="14"/>
  <c r="C51" i="14"/>
  <c r="D51" i="14"/>
  <c r="B9" i="18"/>
  <c r="E9" i="18"/>
  <c r="C10" i="18"/>
  <c r="F10" i="18"/>
  <c r="C11" i="18"/>
  <c r="F11" i="18"/>
  <c r="C12" i="18"/>
  <c r="F12" i="18"/>
  <c r="C13" i="18"/>
  <c r="F13" i="18"/>
  <c r="F9" i="18" s="1"/>
  <c r="C14" i="18"/>
  <c r="F14" i="18"/>
  <c r="C15" i="18"/>
  <c r="C9" i="18" s="1"/>
  <c r="F15" i="18"/>
  <c r="B9" i="19"/>
  <c r="D9" i="19" s="1"/>
  <c r="I9" i="19"/>
  <c r="K9" i="19"/>
  <c r="B12" i="19"/>
  <c r="C12" i="19" s="1"/>
  <c r="D12" i="19"/>
  <c r="G12" i="19" s="1"/>
  <c r="K12" i="19"/>
  <c r="N12" i="19"/>
  <c r="B14" i="19"/>
  <c r="C14" i="19" s="1"/>
  <c r="D14" i="19"/>
  <c r="G14" i="19" s="1"/>
  <c r="K14" i="19"/>
  <c r="K17" i="19" s="1"/>
  <c r="N17" i="19" s="1"/>
  <c r="I15" i="19"/>
  <c r="C16" i="19"/>
  <c r="I16" i="19"/>
  <c r="D17" i="19"/>
  <c r="G17" i="19"/>
  <c r="B21" i="19"/>
  <c r="C21" i="19" s="1"/>
  <c r="D21" i="19"/>
  <c r="E21" i="19" s="1"/>
  <c r="I21" i="19"/>
  <c r="L21" i="19" s="1"/>
  <c r="B22" i="19"/>
  <c r="C22" i="19" s="1"/>
  <c r="E23" i="19"/>
  <c r="I23" i="19"/>
  <c r="B24" i="19"/>
  <c r="C24" i="19" s="1"/>
  <c r="D24" i="19"/>
  <c r="E24" i="19" s="1"/>
  <c r="I24" i="19"/>
  <c r="L24" i="19" s="1"/>
  <c r="B29" i="19"/>
  <c r="C29" i="19" s="1"/>
  <c r="D29" i="19"/>
  <c r="D39" i="19" s="1"/>
  <c r="K29" i="19"/>
  <c r="K39" i="19" s="1"/>
  <c r="B30" i="19"/>
  <c r="C30" i="19" s="1"/>
  <c r="D30" i="19"/>
  <c r="K30" i="19"/>
  <c r="K40" i="19" s="1"/>
  <c r="B31" i="19"/>
  <c r="C31" i="19" s="1"/>
  <c r="D31" i="19"/>
  <c r="E31" i="19"/>
  <c r="K31" i="19"/>
  <c r="K41" i="19" s="1"/>
  <c r="B32" i="19"/>
  <c r="C32" i="19" s="1"/>
  <c r="D32" i="19"/>
  <c r="E32" i="19"/>
  <c r="K32" i="19"/>
  <c r="K42" i="19" s="1"/>
  <c r="E33" i="19"/>
  <c r="I33" i="19"/>
  <c r="L33" i="19"/>
  <c r="E34" i="19"/>
  <c r="I34" i="19"/>
  <c r="L34" i="19"/>
  <c r="I43" i="19"/>
  <c r="I44" i="19"/>
  <c r="B47" i="19"/>
  <c r="D41" i="19" s="1"/>
  <c r="B16" i="11" l="1"/>
  <c r="D13" i="11"/>
  <c r="D11" i="17"/>
  <c r="B13" i="17"/>
  <c r="B45" i="17"/>
  <c r="D45" i="17" s="1"/>
  <c r="D40" i="17"/>
  <c r="C22" i="17"/>
  <c r="C29" i="17" s="1"/>
  <c r="C24" i="17"/>
  <c r="C28" i="17" s="1"/>
  <c r="D20" i="19"/>
  <c r="C19" i="14"/>
  <c r="C23" i="11"/>
  <c r="C27" i="11" s="1"/>
  <c r="C21" i="11"/>
  <c r="C28" i="11" s="1"/>
  <c r="B20" i="19"/>
  <c r="D16" i="14"/>
  <c r="B19" i="14"/>
  <c r="N20" i="19"/>
  <c r="K25" i="19"/>
  <c r="N25" i="19" s="1"/>
  <c r="K44" i="19"/>
  <c r="L44" i="19" s="1"/>
  <c r="B42" i="19"/>
  <c r="I29" i="19"/>
  <c r="C23" i="19"/>
  <c r="D43" i="19"/>
  <c r="B39" i="19"/>
  <c r="E39" i="19" s="1"/>
  <c r="I32" i="19"/>
  <c r="I31" i="19"/>
  <c r="E30" i="19"/>
  <c r="E29" i="19"/>
  <c r="C15" i="19"/>
  <c r="F14" i="19"/>
  <c r="B43" i="19"/>
  <c r="E43" i="19" s="1"/>
  <c r="I22" i="19"/>
  <c r="N14" i="19"/>
  <c r="E14" i="19"/>
  <c r="B44" i="14"/>
  <c r="D44" i="14" s="1"/>
  <c r="B44" i="11"/>
  <c r="D44" i="11" s="1"/>
  <c r="K43" i="19"/>
  <c r="L43" i="19" s="1"/>
  <c r="D42" i="19"/>
  <c r="D40" i="19"/>
  <c r="D44" i="19"/>
  <c r="B40" i="19"/>
  <c r="E40" i="19" s="1"/>
  <c r="B17" i="19"/>
  <c r="B11" i="7"/>
  <c r="B41" i="19"/>
  <c r="E41" i="19" s="1"/>
  <c r="C20" i="7"/>
  <c r="B44" i="19"/>
  <c r="E44" i="19" s="1"/>
  <c r="L23" i="19"/>
  <c r="I42" i="19" l="1"/>
  <c r="L42" i="19" s="1"/>
  <c r="L32" i="19"/>
  <c r="B16" i="17"/>
  <c r="D13" i="17"/>
  <c r="C21" i="7"/>
  <c r="C24" i="7" s="1"/>
  <c r="C28" i="7" s="1"/>
  <c r="L29" i="19"/>
  <c r="I39" i="19"/>
  <c r="L39" i="19" s="1"/>
  <c r="L31" i="19"/>
  <c r="I41" i="19"/>
  <c r="L41" i="19" s="1"/>
  <c r="E20" i="19"/>
  <c r="B25" i="19"/>
  <c r="C20" i="19"/>
  <c r="F20" i="19"/>
  <c r="E42" i="19"/>
  <c r="D11" i="7"/>
  <c r="I12" i="19"/>
  <c r="B13" i="7"/>
  <c r="F17" i="19"/>
  <c r="C17" i="19"/>
  <c r="E17" i="19"/>
  <c r="C23" i="14"/>
  <c r="C27" i="14" s="1"/>
  <c r="C21" i="14"/>
  <c r="I30" i="19"/>
  <c r="G20" i="19"/>
  <c r="D25" i="19"/>
  <c r="G25" i="19" s="1"/>
  <c r="D19" i="14"/>
  <c r="B20" i="14"/>
  <c r="D20" i="14" s="1"/>
  <c r="B21" i="14"/>
  <c r="D16" i="11"/>
  <c r="B19" i="11"/>
  <c r="C22" i="7" l="1"/>
  <c r="J24" i="19"/>
  <c r="J15" i="19"/>
  <c r="J34" i="19"/>
  <c r="J21" i="19"/>
  <c r="J12" i="19"/>
  <c r="J23" i="19"/>
  <c r="J33" i="19"/>
  <c r="J16" i="19"/>
  <c r="B20" i="17"/>
  <c r="D16" i="17"/>
  <c r="D28" i="19"/>
  <c r="C28" i="14"/>
  <c r="D38" i="19" s="1"/>
  <c r="D45" i="19" s="1"/>
  <c r="J29" i="19"/>
  <c r="J32" i="19"/>
  <c r="I14" i="19"/>
  <c r="D13" i="7"/>
  <c r="B16" i="7"/>
  <c r="J31" i="19"/>
  <c r="J30" i="19"/>
  <c r="I40" i="19"/>
  <c r="B20" i="11"/>
  <c r="D20" i="11" s="1"/>
  <c r="D19" i="11"/>
  <c r="B21" i="11"/>
  <c r="J22" i="19"/>
  <c r="B23" i="14"/>
  <c r="B28" i="14"/>
  <c r="D21" i="14"/>
  <c r="B28" i="19"/>
  <c r="C25" i="19"/>
  <c r="E25" i="19"/>
  <c r="F25" i="19"/>
  <c r="B23" i="11" l="1"/>
  <c r="B28" i="11"/>
  <c r="D28" i="11" s="1"/>
  <c r="D21" i="11"/>
  <c r="E28" i="19"/>
  <c r="B35" i="19"/>
  <c r="F28" i="19"/>
  <c r="C28" i="19"/>
  <c r="G28" i="19"/>
  <c r="D35" i="19"/>
  <c r="G35" i="19" s="1"/>
  <c r="D23" i="14"/>
  <c r="B27" i="14"/>
  <c r="D27" i="14" s="1"/>
  <c r="D20" i="17"/>
  <c r="B21" i="17"/>
  <c r="D21" i="17" s="1"/>
  <c r="I17" i="19"/>
  <c r="J14" i="19"/>
  <c r="L14" i="19"/>
  <c r="M14" i="19"/>
  <c r="D28" i="14"/>
  <c r="B38" i="19"/>
  <c r="D16" i="7"/>
  <c r="B20" i="7"/>
  <c r="I20" i="19"/>
  <c r="C29" i="7"/>
  <c r="K38" i="19" s="1"/>
  <c r="K45" i="19" s="1"/>
  <c r="K28" i="19"/>
  <c r="C35" i="19" l="1"/>
  <c r="E35" i="19"/>
  <c r="F35" i="19"/>
  <c r="M20" i="19"/>
  <c r="L20" i="19"/>
  <c r="I25" i="19"/>
  <c r="J20" i="19"/>
  <c r="E38" i="19"/>
  <c r="B45" i="19"/>
  <c r="F38" i="19"/>
  <c r="B22" i="17"/>
  <c r="J17" i="19"/>
  <c r="L17" i="19"/>
  <c r="M17" i="19"/>
  <c r="D20" i="7"/>
  <c r="B21" i="7"/>
  <c r="N28" i="19"/>
  <c r="K35" i="19"/>
  <c r="N35" i="19" s="1"/>
  <c r="D23" i="11"/>
  <c r="B27" i="11"/>
  <c r="D27" i="11" s="1"/>
  <c r="G20" i="11" l="1"/>
  <c r="G21" i="17"/>
  <c r="D21" i="7"/>
  <c r="J25" i="19"/>
  <c r="L25" i="19"/>
  <c r="M25" i="19"/>
  <c r="B29" i="17"/>
  <c r="D29" i="17" s="1"/>
  <c r="D22" i="17"/>
  <c r="B24" i="17"/>
  <c r="B22" i="7"/>
  <c r="E45" i="19"/>
  <c r="F45" i="19"/>
  <c r="B28" i="17" l="1"/>
  <c r="D28" i="17" s="1"/>
  <c r="D24" i="17"/>
  <c r="D22" i="7"/>
  <c r="B24" i="7"/>
  <c r="I28" i="19"/>
  <c r="B29" i="7"/>
  <c r="D24" i="7" l="1"/>
  <c r="B28" i="7"/>
  <c r="D28" i="7" s="1"/>
  <c r="L28" i="19"/>
  <c r="I35" i="19"/>
  <c r="M28" i="19"/>
  <c r="J28" i="19"/>
  <c r="I38" i="19"/>
  <c r="D29" i="7"/>
  <c r="I45" i="19" l="1"/>
  <c r="L38" i="19"/>
  <c r="M38" i="19"/>
  <c r="L35" i="19"/>
  <c r="M35" i="19"/>
  <c r="J35" i="19"/>
  <c r="M45" i="19" l="1"/>
  <c r="L45" i="19"/>
</calcChain>
</file>

<file path=xl/sharedStrings.xml><?xml version="1.0" encoding="utf-8"?>
<sst xmlns="http://schemas.openxmlformats.org/spreadsheetml/2006/main" count="299" uniqueCount="114">
  <si>
    <t>(in thousands, except per share data)</t>
  </si>
  <si>
    <t>Net sales</t>
  </si>
  <si>
    <t>Cost of product sold</t>
  </si>
  <si>
    <t>Interest expense, net</t>
  </si>
  <si>
    <t>Earnings per common share:</t>
  </si>
  <si>
    <t>Weighted average common shares outstanding:</t>
  </si>
  <si>
    <t>Segment Information:</t>
  </si>
  <si>
    <t>Net sales:</t>
  </si>
  <si>
    <t>Consolidated net sales</t>
  </si>
  <si>
    <t>Percent</t>
  </si>
  <si>
    <t xml:space="preserve"> Change </t>
  </si>
  <si>
    <t>Consolidated operating income</t>
  </si>
  <si>
    <t>Provision for income taxes</t>
  </si>
  <si>
    <t>CONSTELLATION BRANDS, INC. AND SUBSIDIARIES</t>
  </si>
  <si>
    <t>Operating income:</t>
  </si>
  <si>
    <t>Gross sales</t>
  </si>
  <si>
    <t>Selling, general and administrative expenses</t>
  </si>
  <si>
    <t>Excise taxes</t>
  </si>
  <si>
    <t>For the Three</t>
  </si>
  <si>
    <t>Months Ended</t>
  </si>
  <si>
    <t>Gain on change in fair value of derivative instruments</t>
  </si>
  <si>
    <t>N/A</t>
  </si>
  <si>
    <t xml:space="preserve">     Gross profit</t>
  </si>
  <si>
    <t xml:space="preserve">     Operating income</t>
  </si>
  <si>
    <t xml:space="preserve">     Basic</t>
  </si>
  <si>
    <t xml:space="preserve">     Diluted</t>
  </si>
  <si>
    <t xml:space="preserve">     Corporate Operations</t>
  </si>
  <si>
    <t xml:space="preserve">         Spirits</t>
  </si>
  <si>
    <t xml:space="preserve">              Net sales</t>
  </si>
  <si>
    <t>ON A REPORTED BASIS</t>
  </si>
  <si>
    <t>Restructuring charges</t>
  </si>
  <si>
    <t xml:space="preserve">     Net income</t>
  </si>
  <si>
    <t>CONSOLIDATED STATEMENTS OF INCOME</t>
  </si>
  <si>
    <t xml:space="preserve">     Constellation Beers and Spirits</t>
  </si>
  <si>
    <t xml:space="preserve">         Imported beers</t>
  </si>
  <si>
    <t xml:space="preserve">     Constellation Wines</t>
  </si>
  <si>
    <t xml:space="preserve">         Wholesale and other</t>
  </si>
  <si>
    <t>SUPPLEMENTAL CONSOLIDATED STATEMENTS OF INCOME</t>
  </si>
  <si>
    <t>ON A COMPARABLE BASIS (a)</t>
  </si>
  <si>
    <t>(a)  Excludes the flow through of inventory step-up associated with the Hardy acquisition, restructuring charges, financing</t>
  </si>
  <si>
    <t>For the Six</t>
  </si>
  <si>
    <t>August 31, 2003</t>
  </si>
  <si>
    <t>August 31, 2002</t>
  </si>
  <si>
    <t xml:space="preserve">     Restructuring and unusual costs</t>
  </si>
  <si>
    <t xml:space="preserve">     Restructuring and unusual costs (a)</t>
  </si>
  <si>
    <t>CHECK:</t>
  </si>
  <si>
    <t xml:space="preserve">     Income before income taxes</t>
  </si>
  <si>
    <t>Equity in earnings of joint ventures</t>
  </si>
  <si>
    <t xml:space="preserve">         Branded wine</t>
  </si>
  <si>
    <t xml:space="preserve">       costs and the imputed interest charge associated with the Hardy acquisition, and the gain on change in fair value of</t>
  </si>
  <si>
    <t>(a)  Restructuring and unusual costs for Six Months 2004 include the flow through of inventory step-up associated with</t>
  </si>
  <si>
    <t xml:space="preserve">       derivative instruments for Six Months 2004.</t>
  </si>
  <si>
    <t>(a)  Restructuring and unusual costs for Second Quarter 2004 include the flow through of inventory step-up associated with</t>
  </si>
  <si>
    <t xml:space="preserve">       derivative instruments for Second Quarter 2004.</t>
  </si>
  <si>
    <t>Range for the Year</t>
  </si>
  <si>
    <t xml:space="preserve">    Inventory step-up</t>
  </si>
  <si>
    <t xml:space="preserve">    Financing costs</t>
  </si>
  <si>
    <t xml:space="preserve">    Restructuring charges</t>
  </si>
  <si>
    <t>RECONCILIATION OF REPORTED AND COMPARABLE HISTORICAL INFORMATION</t>
  </si>
  <si>
    <t>% Change</t>
  </si>
  <si>
    <t>Margin</t>
  </si>
  <si>
    <t>Reported net sales</t>
  </si>
  <si>
    <t>Reported gross profit</t>
  </si>
  <si>
    <t>Comparable gross profit</t>
  </si>
  <si>
    <t>Reported operating income</t>
  </si>
  <si>
    <t>Comparable operating income</t>
  </si>
  <si>
    <t>Reported net income</t>
  </si>
  <si>
    <t xml:space="preserve">    Imputed interest charge</t>
  </si>
  <si>
    <t xml:space="preserve">    Gain on derivative instruments</t>
  </si>
  <si>
    <t>Comparable net income</t>
  </si>
  <si>
    <t>Reported Diluted EPS</t>
  </si>
  <si>
    <t>Comparable Diluted EPS</t>
  </si>
  <si>
    <t>Shares</t>
  </si>
  <si>
    <t>Tax Rate</t>
  </si>
  <si>
    <t>Forecasted reported diluted earnings per share</t>
  </si>
  <si>
    <t>Forecasted comparable diluted earnings per share</t>
  </si>
  <si>
    <t>Range for the Quarter</t>
  </si>
  <si>
    <t>RECONCILIATION OF REPORTED AND COMPARABLE DILUTED EARNINGS PER SHARE GUIDANCE</t>
  </si>
  <si>
    <t>CONDENSED CONSOLIDATED BALANCE SHEETS</t>
  </si>
  <si>
    <t>(in thousands)</t>
  </si>
  <si>
    <t>February 28, 2003</t>
  </si>
  <si>
    <t>ASSETS</t>
  </si>
  <si>
    <t>CURRENT ASSETS:</t>
  </si>
  <si>
    <t xml:space="preserve">     Cash and cash investments</t>
  </si>
  <si>
    <t xml:space="preserve">     Accounts receivable, net</t>
  </si>
  <si>
    <t xml:space="preserve">     Inventories, net</t>
  </si>
  <si>
    <t xml:space="preserve">         Total current assets</t>
  </si>
  <si>
    <t>PROPERTY, PLANT AND EQUIPMENT, net</t>
  </si>
  <si>
    <t>GOODWILL</t>
  </si>
  <si>
    <t>INTANGIBLE ASSETS, net</t>
  </si>
  <si>
    <t>OTHER ASSETS</t>
  </si>
  <si>
    <t xml:space="preserve">     Total assets</t>
  </si>
  <si>
    <t>LIABILITIES AND STOCKHOLDERS' EQUITY</t>
  </si>
  <si>
    <t>CURRENT LIABILITIES:</t>
  </si>
  <si>
    <t xml:space="preserve">     Current maturities of long-term debt</t>
  </si>
  <si>
    <t xml:space="preserve">     Accounts payable</t>
  </si>
  <si>
    <t xml:space="preserve">     Accrued excise taxes</t>
  </si>
  <si>
    <t xml:space="preserve">     Other accrued expenses and liabilities</t>
  </si>
  <si>
    <t xml:space="preserve">         Total current liabilities</t>
  </si>
  <si>
    <t>LONG-TERM DEBT, less current maturities</t>
  </si>
  <si>
    <t>DEFERRED INCOME TAXES</t>
  </si>
  <si>
    <t>OTHER LIABILITIES</t>
  </si>
  <si>
    <t>STOCKHOLDERS' EQUITY</t>
  </si>
  <si>
    <t xml:space="preserve">     Total liabilities and stockholders' equity</t>
  </si>
  <si>
    <t xml:space="preserve">       the Hardy acquisition of $9,017, financing costs of $5,209 and restructuring charges of $33,910.</t>
  </si>
  <si>
    <t xml:space="preserve">       the Hardy acquisition of $14,534, financing costs of $9,244 and restructuring charges of $36,226.</t>
  </si>
  <si>
    <t>Ending November 30, 2003</t>
  </si>
  <si>
    <t>Ending February 29, 2004</t>
  </si>
  <si>
    <t xml:space="preserve">     Prepaid expenses and other</t>
  </si>
  <si>
    <t xml:space="preserve">     Notes payable to banks</t>
  </si>
  <si>
    <t>Comparable measures are provided because management uses this information in evaluating the results of the continuing operations of the Company and internal goal setting.  In addition, the Company believes this information provides investors better insight on underlying business trends and results in order to evaluate year over year financial performance.  As such, an increase in cost of goods sold resulting from the flow through of inventory step-up associated with the Hardy acquisition, financing costs and the imputed interest charge associated with the Hardy acquisition, restructuring charges (including exiting the U.S. commodity concentrate product line), and the gain on change in fair value of derivative instruments are excluded from comparable results.  You may also visit the Company's website at www.cbrands.com under Investors/Financial Information/Financial Reports for a historical reconciliation between reported and comparable information.</t>
  </si>
  <si>
    <t xml:space="preserve">    Concentrate inventory write-down</t>
  </si>
  <si>
    <t>Dividends on preferred stock</t>
  </si>
  <si>
    <t xml:space="preserve">     Income available to common stockholders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</si>
</sst>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8" formatCode="0.0%"/>
    <numFmt numFmtId="170" formatCode="_(* #,##0_);_(* \(#,##0\);_(* &quot;-&quot;??_);_(@_)"/>
    <numFmt numFmtId="172" formatCode="_(&quot;$&quot;* #,##0_);_(&quot;$&quot;* \(#,##0\);_(&quot;$&quot;* &quot;-&quot;??_);_(@_)"/>
    <numFmt numFmtId="174" formatCode="_(* #,##0.000_);_(* \(#,##0.000\);_(* &quot;-&quot;??_);_(@_)"/>
    <numFmt numFmtId="180" formatCode="_(&quot;$&quot;* #,##0.000_);_(&quot;$&quot;* \(#,##0.000\);_(&quot;$&quot;* &quot;-&quot;_);_(@_)"/>
    <numFmt numFmtId="181" formatCode="_(&quot;$&quot;* #,##0.0000_);_(&quot;$&quot;* \(#,##0.0000\);_(&quot;$&quot;* &quot;-&quot;_);_(@_)"/>
    <numFmt numFmtId="186" formatCode="_(&quot;$&quot;* #,##0.0000000_);_(&quot;$&quot;* \(#,##0.0000000\);_(&quot;$&quot;* &quot;-&quot;_);_(@_)"/>
    <numFmt numFmtId="191" formatCode="_(* #,##0.00_);_(* \(#,##0.00\);_(* &quot;-&quot;???_);_(@_)"/>
    <numFmt numFmtId="200" formatCode="_(&quot;$&quot;* #,##0.000000000000_);_(&quot;$&quot;* \(#,##0.000000000000\);_(&quot;$&quot;* &quot;-&quot;_);_(@_)"/>
  </numFmts>
  <fonts count="14" x14ac:knownFonts="1">
    <font>
      <sz val="10"/>
      <name val="Arial"/>
    </font>
    <font>
      <sz val="10"/>
      <name val="Arial"/>
    </font>
    <font>
      <sz val="9"/>
      <name val="Arial"/>
      <family val="2"/>
    </font>
    <font>
      <u val="singleAccounting"/>
      <sz val="9"/>
      <name val="Arial"/>
      <family val="2"/>
    </font>
    <font>
      <b/>
      <sz val="9"/>
      <name val="Arial"/>
      <family val="2"/>
    </font>
    <font>
      <u val="doubleAccounting"/>
      <sz val="9"/>
      <name val="Arial"/>
      <family val="2"/>
    </font>
    <font>
      <sz val="7"/>
      <name val="Arial"/>
      <family val="2"/>
    </font>
    <font>
      <b/>
      <sz val="10"/>
      <name val="Arial"/>
      <family val="2"/>
    </font>
    <font>
      <sz val="10"/>
      <name val="Arial"/>
      <family val="2"/>
    </font>
    <font>
      <u val="singleAccounting"/>
      <sz val="10"/>
      <name val="Arial"/>
      <family val="2"/>
    </font>
    <font>
      <u val="doubleAccounting"/>
      <sz val="10"/>
      <name val="Arial"/>
      <family val="2"/>
    </font>
    <font>
      <u/>
      <sz val="9"/>
      <name val="Arial"/>
      <family val="2"/>
    </font>
    <font>
      <u/>
      <sz val="10"/>
      <name val="Arial"/>
      <family val="2"/>
    </font>
    <font>
      <sz val="12"/>
      <name val="Times New Roman"/>
      <family val="1"/>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42" fontId="2" fillId="0" borderId="0" xfId="0" applyNumberFormat="1" applyFont="1"/>
    <xf numFmtId="41" fontId="2" fillId="0" borderId="0" xfId="0" applyNumberFormat="1" applyFont="1"/>
    <xf numFmtId="42" fontId="2" fillId="0" borderId="0" xfId="0" applyNumberFormat="1" applyFont="1" applyAlignment="1">
      <alignment vertical="center"/>
    </xf>
    <xf numFmtId="44" fontId="2" fillId="0" borderId="0" xfId="0" applyNumberFormat="1" applyFont="1"/>
    <xf numFmtId="42" fontId="3" fillId="0" borderId="0" xfId="0" applyNumberFormat="1" applyFont="1"/>
    <xf numFmtId="41" fontId="3" fillId="0" borderId="0" xfId="0" applyNumberFormat="1" applyFont="1"/>
    <xf numFmtId="42" fontId="2" fillId="0" borderId="0" xfId="0" applyNumberFormat="1" applyFont="1" applyAlignment="1">
      <alignment horizontal="left"/>
    </xf>
    <xf numFmtId="9" fontId="2" fillId="0" borderId="0" xfId="3" applyNumberFormat="1" applyFont="1"/>
    <xf numFmtId="9" fontId="2" fillId="0" borderId="0" xfId="3" applyNumberFormat="1" applyFont="1" applyAlignment="1">
      <alignment horizontal="right" vertical="center"/>
    </xf>
    <xf numFmtId="9" fontId="2" fillId="0" borderId="0" xfId="3" applyNumberFormat="1" applyFont="1" applyBorder="1" applyAlignment="1">
      <alignment horizontal="right" vertical="center"/>
    </xf>
    <xf numFmtId="42" fontId="2" fillId="0" borderId="0" xfId="0" applyNumberFormat="1" applyFont="1" applyAlignment="1">
      <alignment horizontal="center"/>
    </xf>
    <xf numFmtId="42" fontId="2" fillId="0" borderId="0" xfId="0" applyNumberFormat="1" applyFont="1" applyAlignment="1">
      <alignment horizontal="left" indent="1"/>
    </xf>
    <xf numFmtId="42" fontId="3" fillId="0" borderId="0" xfId="0" applyNumberFormat="1" applyFont="1" applyAlignment="1">
      <alignment horizontal="center"/>
    </xf>
    <xf numFmtId="42" fontId="5" fillId="0" borderId="0" xfId="0" applyNumberFormat="1" applyFont="1"/>
    <xf numFmtId="15" fontId="3" fillId="0" borderId="0" xfId="0" quotePrefix="1" applyNumberFormat="1" applyFont="1" applyAlignment="1">
      <alignment horizontal="center"/>
    </xf>
    <xf numFmtId="191" fontId="3" fillId="0" borderId="0" xfId="1" applyNumberFormat="1" applyFont="1" applyBorder="1" applyAlignment="1"/>
    <xf numFmtId="191" fontId="2" fillId="0" borderId="0" xfId="1" applyNumberFormat="1" applyFont="1" applyBorder="1" applyAlignment="1"/>
    <xf numFmtId="42" fontId="4" fillId="0" borderId="0" xfId="0" applyNumberFormat="1" applyFont="1" applyAlignment="1">
      <alignment horizontal="center"/>
    </xf>
    <xf numFmtId="168" fontId="2" fillId="0" borderId="0" xfId="3" applyNumberFormat="1" applyFont="1"/>
    <xf numFmtId="168" fontId="2" fillId="0" borderId="0" xfId="0" applyNumberFormat="1" applyFont="1"/>
    <xf numFmtId="186" fontId="3" fillId="0" borderId="0" xfId="0" applyNumberFormat="1" applyFont="1" applyAlignment="1">
      <alignment horizontal="center"/>
    </xf>
    <xf numFmtId="200" fontId="3" fillId="0" borderId="0" xfId="0" applyNumberFormat="1" applyFont="1" applyAlignment="1">
      <alignment horizontal="center"/>
    </xf>
    <xf numFmtId="41" fontId="2" fillId="0" borderId="0" xfId="0" applyNumberFormat="1" applyFont="1" applyFill="1"/>
    <xf numFmtId="41" fontId="3" fillId="0" borderId="0" xfId="0" applyNumberFormat="1" applyFont="1" applyFill="1"/>
    <xf numFmtId="42" fontId="5" fillId="0" borderId="0" xfId="0" applyNumberFormat="1" applyFont="1" applyFill="1"/>
    <xf numFmtId="10" fontId="2" fillId="0" borderId="0" xfId="3" applyNumberFormat="1" applyFont="1" applyFill="1"/>
    <xf numFmtId="9" fontId="2" fillId="0" borderId="0" xfId="3" applyNumberFormat="1" applyFont="1" applyFill="1" applyAlignment="1">
      <alignment horizontal="right" vertical="center"/>
    </xf>
    <xf numFmtId="42" fontId="2" fillId="0" borderId="0" xfId="0" applyNumberFormat="1" applyFont="1" applyFill="1"/>
    <xf numFmtId="42" fontId="2" fillId="0" borderId="0" xfId="0" quotePrefix="1" applyNumberFormat="1" applyFont="1" applyFill="1"/>
    <xf numFmtId="42" fontId="6" fillId="0" borderId="0" xfId="0" applyNumberFormat="1" applyFont="1"/>
    <xf numFmtId="42" fontId="3" fillId="0" borderId="0" xfId="0" applyNumberFormat="1" applyFont="1" applyFill="1"/>
    <xf numFmtId="42" fontId="7" fillId="0" borderId="0" xfId="0" applyNumberFormat="1" applyFont="1" applyAlignment="1">
      <alignment horizontal="left"/>
    </xf>
    <xf numFmtId="42" fontId="8" fillId="0" borderId="0" xfId="0" applyNumberFormat="1" applyFont="1" applyAlignment="1">
      <alignment horizontal="left"/>
    </xf>
    <xf numFmtId="0" fontId="8" fillId="0" borderId="0" xfId="0" applyFont="1"/>
    <xf numFmtId="0" fontId="7" fillId="0" borderId="0" xfId="0" applyFont="1"/>
    <xf numFmtId="172" fontId="0" fillId="0" borderId="0" xfId="2" applyNumberFormat="1" applyFont="1"/>
    <xf numFmtId="172" fontId="8" fillId="0" borderId="0" xfId="2" applyNumberFormat="1" applyFont="1"/>
    <xf numFmtId="170" fontId="8" fillId="0" borderId="0" xfId="1" applyNumberFormat="1" applyFont="1" applyBorder="1" applyAlignment="1"/>
    <xf numFmtId="170" fontId="0" fillId="0" borderId="0" xfId="1" applyNumberFormat="1" applyFont="1"/>
    <xf numFmtId="170" fontId="9" fillId="0" borderId="0" xfId="1" applyNumberFormat="1" applyFont="1" applyBorder="1" applyAlignment="1"/>
    <xf numFmtId="172" fontId="10" fillId="0" borderId="0" xfId="2" applyNumberFormat="1" applyFont="1"/>
    <xf numFmtId="0" fontId="0" fillId="0" borderId="0" xfId="0" applyAlignment="1">
      <alignment horizontal="center"/>
    </xf>
    <xf numFmtId="42" fontId="8" fillId="0" borderId="0" xfId="0" applyNumberFormat="1" applyFont="1" applyAlignment="1">
      <alignment horizontal="center"/>
    </xf>
    <xf numFmtId="15" fontId="3" fillId="0" borderId="0" xfId="0" applyNumberFormat="1" applyFont="1" applyAlignment="1">
      <alignment horizontal="center"/>
    </xf>
    <xf numFmtId="42" fontId="9" fillId="0" borderId="0" xfId="0" applyNumberFormat="1" applyFont="1" applyAlignment="1">
      <alignment horizontal="center"/>
    </xf>
    <xf numFmtId="9" fontId="8" fillId="0" borderId="0" xfId="3" applyNumberFormat="1" applyFont="1" applyAlignment="1">
      <alignment horizontal="right" vertical="center"/>
    </xf>
    <xf numFmtId="0" fontId="8" fillId="0" borderId="0" xfId="0" applyFont="1" applyBorder="1"/>
    <xf numFmtId="9" fontId="0" fillId="0" borderId="0" xfId="3" applyFont="1"/>
    <xf numFmtId="9" fontId="8" fillId="0" borderId="0" xfId="3" applyFont="1"/>
    <xf numFmtId="168" fontId="8" fillId="0" borderId="0" xfId="3" applyNumberFormat="1" applyFont="1"/>
    <xf numFmtId="172" fontId="0" fillId="0" borderId="0" xfId="0" applyNumberFormat="1"/>
    <xf numFmtId="168" fontId="0" fillId="0" borderId="0" xfId="3" applyNumberFormat="1" applyFont="1"/>
    <xf numFmtId="168" fontId="8" fillId="0" borderId="0" xfId="3" applyNumberFormat="1" applyFont="1" applyAlignment="1">
      <alignment horizontal="right" vertical="center"/>
    </xf>
    <xf numFmtId="174" fontId="0" fillId="0" borderId="0" xfId="0" applyNumberFormat="1"/>
    <xf numFmtId="168" fontId="8" fillId="0" borderId="0" xfId="3" applyNumberFormat="1" applyFont="1" applyBorder="1"/>
    <xf numFmtId="170" fontId="8" fillId="0" borderId="0" xfId="1" applyNumberFormat="1" applyFont="1"/>
    <xf numFmtId="10" fontId="0" fillId="0" borderId="0" xfId="3" applyNumberFormat="1" applyFont="1"/>
    <xf numFmtId="170" fontId="9" fillId="0" borderId="0" xfId="1" applyNumberFormat="1" applyFont="1"/>
    <xf numFmtId="44" fontId="8" fillId="0" borderId="0" xfId="2" applyFont="1"/>
    <xf numFmtId="44" fontId="0" fillId="0" borderId="0" xfId="2" applyFont="1"/>
    <xf numFmtId="44" fontId="0" fillId="0" borderId="0" xfId="0" applyNumberFormat="1"/>
    <xf numFmtId="9" fontId="8" fillId="0" borderId="0" xfId="3" applyFont="1" applyAlignment="1">
      <alignment horizontal="right" vertical="center"/>
    </xf>
    <xf numFmtId="191" fontId="8" fillId="0" borderId="0" xfId="1" applyNumberFormat="1" applyFont="1" applyBorder="1" applyAlignment="1"/>
    <xf numFmtId="43" fontId="0" fillId="0" borderId="0" xfId="1" applyFont="1"/>
    <xf numFmtId="191" fontId="9" fillId="0" borderId="0" xfId="1" applyNumberFormat="1" applyFont="1" applyBorder="1" applyAlignment="1"/>
    <xf numFmtId="43" fontId="8" fillId="0" borderId="0" xfId="1" applyFont="1"/>
    <xf numFmtId="44" fontId="10" fillId="0" borderId="0" xfId="2" applyFont="1"/>
    <xf numFmtId="174" fontId="8" fillId="0" borderId="0" xfId="0" applyNumberFormat="1" applyFont="1"/>
    <xf numFmtId="44" fontId="10" fillId="0" borderId="0" xfId="2" applyNumberFormat="1" applyFont="1"/>
    <xf numFmtId="43" fontId="0" fillId="0" borderId="0" xfId="1" applyFont="1" applyBorder="1"/>
    <xf numFmtId="0" fontId="0" fillId="0" borderId="0" xfId="0" applyBorder="1"/>
    <xf numFmtId="181" fontId="7" fillId="0" borderId="0" xfId="0" applyNumberFormat="1" applyFont="1" applyAlignment="1">
      <alignment horizontal="left"/>
    </xf>
    <xf numFmtId="0" fontId="7" fillId="0" borderId="0" xfId="0" applyFont="1" applyAlignment="1">
      <alignment horizontal="center"/>
    </xf>
    <xf numFmtId="0" fontId="2" fillId="0" borderId="0" xfId="0" applyFont="1"/>
    <xf numFmtId="41" fontId="3" fillId="0" borderId="0" xfId="0" quotePrefix="1" applyNumberFormat="1" applyFont="1" applyAlignment="1">
      <alignment horizontal="center"/>
    </xf>
    <xf numFmtId="164" fontId="8" fillId="0" borderId="0" xfId="0" applyNumberFormat="1" applyFont="1" applyAlignment="1">
      <alignment horizontal="center"/>
    </xf>
    <xf numFmtId="0" fontId="11" fillId="0" borderId="0" xfId="0" applyFont="1"/>
    <xf numFmtId="42" fontId="0" fillId="0" borderId="0" xfId="0" applyNumberFormat="1" applyAlignment="1">
      <alignment horizontal="right"/>
    </xf>
    <xf numFmtId="41" fontId="2" fillId="0" borderId="0" xfId="1" applyNumberFormat="1" applyFont="1" applyBorder="1" applyAlignment="1"/>
    <xf numFmtId="41" fontId="0" fillId="0" borderId="0" xfId="0" applyNumberFormat="1" applyAlignment="1">
      <alignment horizontal="right"/>
    </xf>
    <xf numFmtId="41" fontId="3" fillId="0" borderId="0" xfId="1" applyNumberFormat="1" applyFont="1" applyBorder="1" applyAlignment="1"/>
    <xf numFmtId="41" fontId="12" fillId="0" borderId="0" xfId="0" applyNumberFormat="1" applyFont="1" applyAlignment="1">
      <alignment horizontal="right"/>
    </xf>
    <xf numFmtId="42" fontId="5" fillId="0" borderId="0" xfId="0" applyNumberFormat="1" applyFont="1" applyAlignment="1">
      <alignment horizontal="left"/>
    </xf>
    <xf numFmtId="0" fontId="2" fillId="0" borderId="0" xfId="0" applyFont="1" applyAlignment="1">
      <alignment horizontal="left"/>
    </xf>
    <xf numFmtId="42" fontId="0" fillId="0" borderId="0" xfId="0" applyNumberFormat="1"/>
    <xf numFmtId="41" fontId="2" fillId="0" borderId="0" xfId="0" applyNumberFormat="1" applyFont="1" applyAlignment="1">
      <alignment horizontal="left"/>
    </xf>
    <xf numFmtId="41" fontId="0" fillId="0" borderId="0" xfId="0" applyNumberFormat="1"/>
    <xf numFmtId="41" fontId="11" fillId="0" borderId="0" xfId="0" applyNumberFormat="1" applyFont="1" applyAlignment="1">
      <alignment horizontal="left"/>
    </xf>
    <xf numFmtId="41" fontId="12" fillId="0" borderId="0" xfId="0" applyNumberFormat="1" applyFont="1"/>
    <xf numFmtId="41" fontId="13" fillId="0" borderId="0" xfId="0" applyNumberFormat="1" applyFont="1" applyBorder="1" applyAlignment="1"/>
    <xf numFmtId="164" fontId="8" fillId="0" borderId="0" xfId="0" applyNumberFormat="1" applyFont="1"/>
    <xf numFmtId="164" fontId="12" fillId="0" borderId="0" xfId="0" applyNumberFormat="1" applyFont="1" applyAlignment="1">
      <alignment horizontal="center"/>
    </xf>
    <xf numFmtId="164" fontId="12" fillId="0" borderId="0" xfId="0" applyNumberFormat="1" applyFont="1"/>
    <xf numFmtId="0" fontId="12" fillId="0" borderId="0" xfId="0" applyFont="1"/>
    <xf numFmtId="180" fontId="8" fillId="0" borderId="0" xfId="0" applyNumberFormat="1" applyFont="1" applyAlignment="1">
      <alignment horizontal="left"/>
    </xf>
    <xf numFmtId="44" fontId="0" fillId="0" borderId="0" xfId="2" applyFont="1" applyBorder="1"/>
    <xf numFmtId="44" fontId="10" fillId="0" borderId="0" xfId="2" applyNumberFormat="1" applyFont="1" applyBorder="1"/>
    <xf numFmtId="0" fontId="7" fillId="0" borderId="0" xfId="0" applyFont="1" applyAlignment="1">
      <alignment horizontal="center" vertical="center"/>
    </xf>
    <xf numFmtId="0" fontId="0" fillId="0" borderId="0" xfId="0" applyAlignment="1">
      <alignment horizontal="center" vertical="center"/>
    </xf>
    <xf numFmtId="42" fontId="4" fillId="0" borderId="0" xfId="0" applyNumberFormat="1" applyFont="1" applyAlignment="1">
      <alignment horizontal="center"/>
    </xf>
    <xf numFmtId="42" fontId="2" fillId="0" borderId="0" xfId="0" applyNumberFormat="1" applyFont="1" applyAlignment="1">
      <alignment horizontal="center"/>
    </xf>
    <xf numFmtId="42" fontId="3" fillId="0" borderId="0" xfId="0" applyNumberFormat="1" applyFont="1" applyAlignment="1">
      <alignment horizontal="center"/>
    </xf>
    <xf numFmtId="0" fontId="0" fillId="0" borderId="0" xfId="0" applyAlignment="1">
      <alignment horizontal="left" wrapText="1"/>
    </xf>
    <xf numFmtId="0" fontId="8" fillId="0" borderId="0" xfId="0" applyFont="1" applyAlignment="1">
      <alignment horizontal="left" wrapText="1"/>
    </xf>
    <xf numFmtId="42" fontId="7" fillId="0" borderId="0" xfId="0" applyNumberFormat="1" applyFont="1" applyAlignment="1">
      <alignment horizontal="center"/>
    </xf>
    <xf numFmtId="42" fontId="7" fillId="0" borderId="0" xfId="0" applyNumberFormat="1" applyFont="1" applyAlignment="1">
      <alignment horizontal="left"/>
    </xf>
    <xf numFmtId="42" fontId="8" fillId="0" borderId="0" xfId="0" applyNumberFormat="1" applyFont="1" applyAlignment="1">
      <alignment horizontal="left"/>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hared\Ir%20&amp;%20Communications\Investor%20Relations\Press%20Releases\FY04\FY04%20Q1\Earnings%20Release\053103%20financia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Inc. Stmt - Reported"/>
      <sheetName val="Inc. Stmt - Comparable"/>
      <sheetName val="Reconciliation"/>
      <sheetName val="Outlook Reconciliation"/>
    </sheetNames>
    <sheetDataSet>
      <sheetData sheetId="0" refreshError="1"/>
      <sheetData sheetId="1" refreshError="1"/>
      <sheetData sheetId="2" refreshError="1"/>
      <sheetData sheetId="3" refreshError="1">
        <row r="20">
          <cell r="B20">
            <v>5517</v>
          </cell>
        </row>
        <row r="21">
          <cell r="B21">
            <v>4035</v>
          </cell>
        </row>
        <row r="22">
          <cell r="B22">
            <v>2316</v>
          </cell>
        </row>
        <row r="30">
          <cell r="B30">
            <v>1061</v>
          </cell>
        </row>
        <row r="31">
          <cell r="B31">
            <v>-756</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tabSelected="1" zoomScaleNormal="100" workbookViewId="0">
      <selection sqref="A1:C1"/>
    </sheetView>
  </sheetViews>
  <sheetFormatPr defaultRowHeight="13.2" x14ac:dyDescent="0.25"/>
  <cols>
    <col min="1" max="1" width="41.109375" customWidth="1"/>
    <col min="2" max="3" width="17.33203125" customWidth="1"/>
    <col min="4" max="4" width="16.6640625" customWidth="1"/>
    <col min="6" max="6" width="16.109375" customWidth="1"/>
    <col min="8" max="8" width="16.6640625" customWidth="1"/>
    <col min="10" max="10" width="16.6640625" customWidth="1"/>
  </cols>
  <sheetData>
    <row r="1" spans="1:6" x14ac:dyDescent="0.25">
      <c r="A1" s="98" t="s">
        <v>13</v>
      </c>
      <c r="B1" s="98"/>
      <c r="C1" s="98"/>
      <c r="D1" s="73"/>
    </row>
    <row r="2" spans="1:6" x14ac:dyDescent="0.25">
      <c r="A2" s="98" t="s">
        <v>78</v>
      </c>
      <c r="B2" s="98"/>
      <c r="C2" s="98"/>
      <c r="D2" s="73"/>
    </row>
    <row r="3" spans="1:6" x14ac:dyDescent="0.25">
      <c r="A3" s="99" t="s">
        <v>79</v>
      </c>
      <c r="B3" s="99"/>
      <c r="C3" s="99"/>
      <c r="D3" s="42"/>
    </row>
    <row r="4" spans="1:6" x14ac:dyDescent="0.25">
      <c r="A4" s="42"/>
      <c r="B4" s="42"/>
      <c r="C4" s="42"/>
      <c r="D4" s="42"/>
    </row>
    <row r="5" spans="1:6" ht="14.4" x14ac:dyDescent="0.35">
      <c r="A5" s="74"/>
      <c r="B5" s="15" t="s">
        <v>41</v>
      </c>
      <c r="C5" s="75" t="s">
        <v>80</v>
      </c>
      <c r="D5" s="76"/>
    </row>
    <row r="6" spans="1:6" x14ac:dyDescent="0.25">
      <c r="A6" s="77" t="s">
        <v>81</v>
      </c>
      <c r="B6" s="74"/>
      <c r="C6" s="74"/>
    </row>
    <row r="7" spans="1:6" x14ac:dyDescent="0.25">
      <c r="A7" s="74" t="s">
        <v>82</v>
      </c>
      <c r="B7" s="74"/>
      <c r="C7" s="74"/>
    </row>
    <row r="8" spans="1:6" x14ac:dyDescent="0.25">
      <c r="A8" s="74" t="s">
        <v>83</v>
      </c>
      <c r="B8" s="7">
        <v>47465</v>
      </c>
      <c r="C8" s="7">
        <v>13810</v>
      </c>
      <c r="D8" s="78"/>
    </row>
    <row r="9" spans="1:6" x14ac:dyDescent="0.25">
      <c r="A9" s="74" t="s">
        <v>84</v>
      </c>
      <c r="B9" s="79">
        <v>615470</v>
      </c>
      <c r="C9" s="79">
        <v>399095</v>
      </c>
      <c r="D9" s="80"/>
    </row>
    <row r="10" spans="1:6" x14ac:dyDescent="0.25">
      <c r="A10" s="74" t="s">
        <v>85</v>
      </c>
      <c r="B10" s="79">
        <v>1198350</v>
      </c>
      <c r="C10" s="79">
        <v>819912</v>
      </c>
      <c r="D10" s="80"/>
    </row>
    <row r="11" spans="1:6" ht="14.4" x14ac:dyDescent="0.35">
      <c r="A11" s="74" t="s">
        <v>108</v>
      </c>
      <c r="B11" s="81">
        <v>108883</v>
      </c>
      <c r="C11" s="81">
        <f>98645-1361</f>
        <v>97284</v>
      </c>
      <c r="D11" s="82"/>
    </row>
    <row r="12" spans="1:6" x14ac:dyDescent="0.25">
      <c r="A12" s="74" t="s">
        <v>86</v>
      </c>
      <c r="B12" s="79">
        <f>SUM(B8:B11)</f>
        <v>1970168</v>
      </c>
      <c r="C12" s="79">
        <f>SUM(C8:C11)</f>
        <v>1330101</v>
      </c>
      <c r="D12" s="80"/>
      <c r="F12" s="80"/>
    </row>
    <row r="13" spans="1:6" x14ac:dyDescent="0.25">
      <c r="A13" s="74" t="s">
        <v>87</v>
      </c>
      <c r="B13" s="79">
        <v>991990</v>
      </c>
      <c r="C13" s="79">
        <f>602269+200</f>
        <v>602469</v>
      </c>
      <c r="D13" s="80"/>
    </row>
    <row r="14" spans="1:6" x14ac:dyDescent="0.25">
      <c r="A14" s="74" t="s">
        <v>88</v>
      </c>
      <c r="B14" s="79">
        <v>1305218</v>
      </c>
      <c r="C14" s="79">
        <v>722223</v>
      </c>
      <c r="D14" s="80"/>
    </row>
    <row r="15" spans="1:6" x14ac:dyDescent="0.25">
      <c r="A15" s="74" t="s">
        <v>89</v>
      </c>
      <c r="B15" s="79">
        <v>834331</v>
      </c>
      <c r="C15" s="79">
        <v>382428</v>
      </c>
      <c r="D15" s="80"/>
    </row>
    <row r="16" spans="1:6" ht="14.4" x14ac:dyDescent="0.35">
      <c r="A16" s="74" t="s">
        <v>90</v>
      </c>
      <c r="B16" s="81">
        <v>96983</v>
      </c>
      <c r="C16" s="81">
        <v>159109</v>
      </c>
      <c r="D16" s="82"/>
    </row>
    <row r="17" spans="1:6" ht="14.4" x14ac:dyDescent="0.35">
      <c r="A17" s="74" t="s">
        <v>91</v>
      </c>
      <c r="B17" s="83">
        <f>SUM(B12:B16)</f>
        <v>5198690</v>
      </c>
      <c r="C17" s="83">
        <f>SUM(C12:C16)</f>
        <v>3196330</v>
      </c>
      <c r="D17" s="78"/>
      <c r="F17" s="78"/>
    </row>
    <row r="18" spans="1:6" x14ac:dyDescent="0.25">
      <c r="A18" s="74"/>
      <c r="B18" s="84"/>
      <c r="C18" s="84"/>
    </row>
    <row r="19" spans="1:6" x14ac:dyDescent="0.25">
      <c r="A19" s="77" t="s">
        <v>92</v>
      </c>
      <c r="B19" s="84"/>
      <c r="C19" s="84"/>
    </row>
    <row r="20" spans="1:6" x14ac:dyDescent="0.25">
      <c r="A20" s="74" t="s">
        <v>93</v>
      </c>
      <c r="B20" s="84"/>
      <c r="C20" s="84"/>
    </row>
    <row r="21" spans="1:6" x14ac:dyDescent="0.25">
      <c r="A21" s="74" t="s">
        <v>109</v>
      </c>
      <c r="B21" s="7">
        <v>35092</v>
      </c>
      <c r="C21" s="7">
        <v>2623</v>
      </c>
      <c r="D21" s="85"/>
    </row>
    <row r="22" spans="1:6" x14ac:dyDescent="0.25">
      <c r="A22" s="74" t="s">
        <v>94</v>
      </c>
      <c r="B22" s="86">
        <f>69041+12956</f>
        <v>81997</v>
      </c>
      <c r="C22" s="86">
        <f>71265-1</f>
        <v>71264</v>
      </c>
      <c r="D22" s="87"/>
    </row>
    <row r="23" spans="1:6" x14ac:dyDescent="0.25">
      <c r="A23" s="74" t="s">
        <v>95</v>
      </c>
      <c r="B23" s="86">
        <v>255840</v>
      </c>
      <c r="C23" s="86">
        <v>171073</v>
      </c>
      <c r="D23" s="87"/>
    </row>
    <row r="24" spans="1:6" x14ac:dyDescent="0.25">
      <c r="A24" s="74" t="s">
        <v>96</v>
      </c>
      <c r="B24" s="86">
        <v>51578</v>
      </c>
      <c r="C24" s="86">
        <v>36421</v>
      </c>
      <c r="D24" s="87"/>
    </row>
    <row r="25" spans="1:6" x14ac:dyDescent="0.25">
      <c r="A25" s="74" t="s">
        <v>97</v>
      </c>
      <c r="B25" s="88">
        <f>387853+41723</f>
        <v>429576</v>
      </c>
      <c r="C25" s="88">
        <f>303801+594-768+200</f>
        <v>303827</v>
      </c>
      <c r="D25" s="89"/>
    </row>
    <row r="26" spans="1:6" x14ac:dyDescent="0.25">
      <c r="A26" s="74" t="s">
        <v>98</v>
      </c>
      <c r="B26" s="86">
        <f>SUM(B21:B25)</f>
        <v>854083</v>
      </c>
      <c r="C26" s="86">
        <f>SUM(C21:C25)</f>
        <v>585208</v>
      </c>
      <c r="D26" s="87"/>
    </row>
    <row r="27" spans="1:6" x14ac:dyDescent="0.25">
      <c r="A27" s="74" t="s">
        <v>99</v>
      </c>
      <c r="B27" s="86">
        <v>2146928</v>
      </c>
      <c r="C27" s="86">
        <v>1191631</v>
      </c>
      <c r="D27" s="87"/>
    </row>
    <row r="28" spans="1:6" x14ac:dyDescent="0.25">
      <c r="A28" s="74" t="s">
        <v>100</v>
      </c>
      <c r="B28" s="86">
        <v>151319</v>
      </c>
      <c r="C28" s="86">
        <v>145239</v>
      </c>
      <c r="D28" s="87"/>
    </row>
    <row r="29" spans="1:6" x14ac:dyDescent="0.25">
      <c r="A29" s="74" t="s">
        <v>101</v>
      </c>
      <c r="B29" s="86">
        <v>151633</v>
      </c>
      <c r="C29" s="86">
        <v>99268</v>
      </c>
      <c r="D29" s="87"/>
    </row>
    <row r="30" spans="1:6" x14ac:dyDescent="0.25">
      <c r="A30" s="74" t="s">
        <v>102</v>
      </c>
      <c r="B30" s="88">
        <v>1894727</v>
      </c>
      <c r="C30" s="88">
        <f>1176170-1361-594+768+1</f>
        <v>1174984</v>
      </c>
      <c r="D30" s="89"/>
    </row>
    <row r="31" spans="1:6" ht="14.4" x14ac:dyDescent="0.35">
      <c r="A31" s="74" t="s">
        <v>103</v>
      </c>
      <c r="B31" s="83">
        <f>SUM(B26:B30)</f>
        <v>5198690</v>
      </c>
      <c r="C31" s="83">
        <f>SUM(C26:C30)</f>
        <v>3196330</v>
      </c>
      <c r="D31" s="85"/>
    </row>
    <row r="33" spans="1:10" x14ac:dyDescent="0.25">
      <c r="B33" s="85"/>
      <c r="C33" s="85"/>
    </row>
    <row r="36" spans="1:10" ht="15.6" x14ac:dyDescent="0.3">
      <c r="A36" s="90"/>
    </row>
    <row r="37" spans="1:10" ht="15.6" x14ac:dyDescent="0.3">
      <c r="A37" s="90"/>
    </row>
    <row r="38" spans="1:10" ht="15.6" x14ac:dyDescent="0.3">
      <c r="A38" s="90"/>
    </row>
    <row r="39" spans="1:10" ht="15.6" x14ac:dyDescent="0.3">
      <c r="A39" s="90"/>
      <c r="B39" s="76"/>
      <c r="C39" s="76"/>
      <c r="D39" s="76"/>
      <c r="F39" s="76"/>
      <c r="H39" s="91"/>
      <c r="J39" s="76"/>
    </row>
    <row r="40" spans="1:10" x14ac:dyDescent="0.25">
      <c r="B40" s="92"/>
      <c r="C40" s="92"/>
      <c r="D40" s="92"/>
      <c r="F40" s="92"/>
      <c r="H40" s="93"/>
      <c r="J40" s="92"/>
    </row>
    <row r="41" spans="1:10" x14ac:dyDescent="0.25">
      <c r="A41" s="94"/>
    </row>
    <row r="43" spans="1:10" x14ac:dyDescent="0.25">
      <c r="B43" s="78"/>
      <c r="C43" s="78"/>
      <c r="D43" s="78"/>
      <c r="F43" s="78"/>
      <c r="H43" s="78"/>
      <c r="J43" s="78"/>
    </row>
    <row r="44" spans="1:10" x14ac:dyDescent="0.25">
      <c r="B44" s="80"/>
      <c r="C44" s="80"/>
      <c r="D44" s="80"/>
      <c r="E44" s="87"/>
      <c r="F44" s="80"/>
      <c r="H44" s="80"/>
      <c r="J44" s="80"/>
    </row>
    <row r="45" spans="1:10" x14ac:dyDescent="0.25">
      <c r="B45" s="80"/>
      <c r="C45" s="80"/>
      <c r="D45" s="80"/>
      <c r="E45" s="87"/>
      <c r="F45" s="80"/>
      <c r="H45" s="80"/>
      <c r="J45" s="80"/>
    </row>
    <row r="46" spans="1:10" x14ac:dyDescent="0.25">
      <c r="B46" s="82"/>
      <c r="C46" s="82"/>
      <c r="D46" s="82"/>
      <c r="E46" s="87"/>
      <c r="F46" s="82"/>
      <c r="H46" s="82"/>
      <c r="J46" s="82"/>
    </row>
    <row r="47" spans="1:10" x14ac:dyDescent="0.25">
      <c r="B47" s="80"/>
      <c r="C47" s="80"/>
      <c r="D47" s="80"/>
      <c r="E47" s="87"/>
      <c r="F47" s="80"/>
      <c r="H47" s="80"/>
      <c r="J47" s="80"/>
    </row>
    <row r="48" spans="1:10" x14ac:dyDescent="0.25">
      <c r="B48" s="80"/>
      <c r="C48" s="80"/>
      <c r="D48" s="80"/>
      <c r="E48" s="87"/>
      <c r="F48" s="80"/>
      <c r="H48" s="80"/>
      <c r="J48" s="80"/>
    </row>
    <row r="49" spans="1:10" x14ac:dyDescent="0.25">
      <c r="B49" s="82"/>
      <c r="C49" s="82"/>
      <c r="D49" s="82"/>
      <c r="E49" s="87"/>
      <c r="F49" s="82"/>
      <c r="H49" s="82"/>
      <c r="J49" s="82"/>
    </row>
    <row r="50" spans="1:10" x14ac:dyDescent="0.25">
      <c r="B50" s="78"/>
      <c r="C50" s="78"/>
      <c r="D50" s="78"/>
      <c r="F50" s="78"/>
      <c r="H50" s="78"/>
      <c r="J50" s="78"/>
    </row>
    <row r="52" spans="1:10" x14ac:dyDescent="0.25">
      <c r="A52" s="94"/>
    </row>
    <row r="53" spans="1:10" x14ac:dyDescent="0.25">
      <c r="A53" s="34"/>
    </row>
    <row r="54" spans="1:10" x14ac:dyDescent="0.25">
      <c r="B54" s="85"/>
      <c r="C54" s="85"/>
      <c r="D54" s="85"/>
      <c r="F54" s="85"/>
      <c r="H54" s="85"/>
      <c r="J54" s="85"/>
    </row>
    <row r="55" spans="1:10" x14ac:dyDescent="0.25">
      <c r="B55" s="87"/>
      <c r="C55" s="87"/>
      <c r="D55" s="87"/>
      <c r="E55" s="87"/>
      <c r="F55" s="87"/>
      <c r="H55" s="87"/>
      <c r="J55" s="87"/>
    </row>
    <row r="56" spans="1:10" x14ac:dyDescent="0.25">
      <c r="B56" s="87"/>
      <c r="C56" s="87"/>
      <c r="D56" s="87"/>
      <c r="E56" s="87"/>
      <c r="F56" s="87"/>
      <c r="H56" s="87"/>
      <c r="J56" s="87"/>
    </row>
    <row r="57" spans="1:10" x14ac:dyDescent="0.25">
      <c r="B57" s="87"/>
      <c r="C57" s="87"/>
      <c r="D57" s="87"/>
      <c r="E57" s="87"/>
      <c r="F57" s="87"/>
      <c r="H57" s="87"/>
      <c r="J57" s="87"/>
    </row>
    <row r="58" spans="1:10" x14ac:dyDescent="0.25">
      <c r="B58" s="89"/>
      <c r="C58" s="89"/>
      <c r="D58" s="89"/>
      <c r="E58" s="87"/>
      <c r="F58" s="89"/>
      <c r="H58" s="89"/>
      <c r="J58" s="89"/>
    </row>
    <row r="59" spans="1:10" x14ac:dyDescent="0.25">
      <c r="B59" s="87"/>
      <c r="C59" s="87"/>
      <c r="D59" s="87"/>
      <c r="E59" s="87"/>
      <c r="F59" s="87"/>
      <c r="H59" s="87"/>
      <c r="J59" s="87"/>
    </row>
    <row r="60" spans="1:10" x14ac:dyDescent="0.25">
      <c r="B60" s="87"/>
      <c r="C60" s="87"/>
      <c r="D60" s="87"/>
      <c r="E60" s="87"/>
      <c r="F60" s="87"/>
      <c r="H60" s="87"/>
      <c r="J60" s="87"/>
    </row>
    <row r="61" spans="1:10" x14ac:dyDescent="0.25">
      <c r="B61" s="87"/>
      <c r="C61" s="87"/>
      <c r="D61" s="87"/>
      <c r="E61" s="87"/>
      <c r="F61" s="87"/>
      <c r="H61" s="87"/>
      <c r="J61" s="87"/>
    </row>
    <row r="62" spans="1:10" x14ac:dyDescent="0.25">
      <c r="B62" s="87"/>
      <c r="C62" s="87"/>
      <c r="D62" s="87"/>
      <c r="E62" s="87"/>
      <c r="F62" s="87"/>
      <c r="H62" s="87"/>
      <c r="J62" s="87"/>
    </row>
    <row r="63" spans="1:10" x14ac:dyDescent="0.25">
      <c r="B63" s="89"/>
      <c r="C63" s="89"/>
      <c r="D63" s="89"/>
      <c r="E63" s="87"/>
      <c r="F63" s="89"/>
      <c r="H63" s="89"/>
      <c r="J63" s="89"/>
    </row>
    <row r="64" spans="1:10" x14ac:dyDescent="0.25">
      <c r="B64" s="85"/>
      <c r="C64" s="85"/>
      <c r="D64" s="85"/>
      <c r="F64" s="85"/>
      <c r="H64" s="85"/>
      <c r="J64" s="85"/>
    </row>
  </sheetData>
  <mergeCells count="3">
    <mergeCell ref="A1:C1"/>
    <mergeCell ref="A2:C2"/>
    <mergeCell ref="A3:C3"/>
  </mergeCells>
  <printOptions horizontalCentered="1"/>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6"/>
  <sheetViews>
    <sheetView workbookViewId="0">
      <selection sqref="A1:D1"/>
    </sheetView>
  </sheetViews>
  <sheetFormatPr defaultColWidth="9.109375" defaultRowHeight="11.4" x14ac:dyDescent="0.2"/>
  <cols>
    <col min="1" max="1" width="48.6640625" style="1" customWidth="1"/>
    <col min="2" max="3" width="17.33203125" style="1" customWidth="1"/>
    <col min="4" max="4" width="8.6640625" style="1" customWidth="1"/>
    <col min="5" max="5" width="3" style="1" customWidth="1"/>
    <col min="6" max="6" width="2.44140625" style="1" customWidth="1"/>
    <col min="7" max="7" width="16.5546875" style="1" bestFit="1" customWidth="1"/>
    <col min="8" max="16384" width="9.109375" style="1"/>
  </cols>
  <sheetData>
    <row r="1" spans="1:5" ht="12" x14ac:dyDescent="0.25">
      <c r="A1" s="100" t="s">
        <v>13</v>
      </c>
      <c r="B1" s="100"/>
      <c r="C1" s="100"/>
      <c r="D1" s="100"/>
      <c r="E1" s="18"/>
    </row>
    <row r="2" spans="1:5" ht="12" x14ac:dyDescent="0.25">
      <c r="A2" s="100" t="s">
        <v>32</v>
      </c>
      <c r="B2" s="100"/>
      <c r="C2" s="100"/>
      <c r="D2" s="100"/>
      <c r="E2" s="18"/>
    </row>
    <row r="3" spans="1:5" ht="12" x14ac:dyDescent="0.25">
      <c r="A3" s="100" t="s">
        <v>29</v>
      </c>
      <c r="B3" s="100"/>
      <c r="C3" s="100"/>
      <c r="D3" s="100"/>
      <c r="E3" s="11"/>
    </row>
    <row r="4" spans="1:5" x14ac:dyDescent="0.2">
      <c r="A4" s="101" t="s">
        <v>0</v>
      </c>
      <c r="B4" s="101"/>
      <c r="C4" s="101"/>
      <c r="D4" s="101"/>
    </row>
    <row r="6" spans="1:5" x14ac:dyDescent="0.2">
      <c r="B6" s="11" t="s">
        <v>40</v>
      </c>
      <c r="C6" s="11" t="str">
        <f>B6</f>
        <v>For the Six</v>
      </c>
      <c r="D6" s="11"/>
      <c r="E6" s="11"/>
    </row>
    <row r="7" spans="1:5" x14ac:dyDescent="0.2">
      <c r="B7" s="11" t="s">
        <v>19</v>
      </c>
      <c r="C7" s="11" t="str">
        <f>B7</f>
        <v>Months Ended</v>
      </c>
      <c r="D7" s="11" t="s">
        <v>9</v>
      </c>
      <c r="E7" s="11"/>
    </row>
    <row r="8" spans="1:5" ht="13.2" x14ac:dyDescent="0.35">
      <c r="B8" s="15" t="s">
        <v>41</v>
      </c>
      <c r="C8" s="15" t="s">
        <v>42</v>
      </c>
      <c r="D8" s="13" t="s">
        <v>10</v>
      </c>
      <c r="E8" s="13"/>
    </row>
    <row r="9" spans="1:5" x14ac:dyDescent="0.2">
      <c r="A9" s="3" t="s">
        <v>15</v>
      </c>
      <c r="B9" s="1">
        <v>2137280</v>
      </c>
      <c r="C9" s="1">
        <v>1759460</v>
      </c>
      <c r="D9" s="9">
        <f t="shared" ref="D9:D14" si="0">+B9/C9-1</f>
        <v>0.21473633955872828</v>
      </c>
    </row>
    <row r="10" spans="1:5" ht="13.2" x14ac:dyDescent="0.35">
      <c r="A10" s="3" t="s">
        <v>17</v>
      </c>
      <c r="B10" s="6">
        <f>-456892+1</f>
        <v>-456891</v>
      </c>
      <c r="C10" s="6">
        <v>-419261</v>
      </c>
      <c r="D10" s="9">
        <f t="shared" si="0"/>
        <v>8.975316091885488E-2</v>
      </c>
    </row>
    <row r="11" spans="1:5" x14ac:dyDescent="0.2">
      <c r="A11" s="1" t="s">
        <v>1</v>
      </c>
      <c r="B11" s="2">
        <f>SUM(B9:B10)</f>
        <v>1680389</v>
      </c>
      <c r="C11" s="2">
        <f>SUM(C9:C10)</f>
        <v>1340199</v>
      </c>
      <c r="D11" s="9">
        <f t="shared" si="0"/>
        <v>0.25383543787153995</v>
      </c>
    </row>
    <row r="12" spans="1:5" ht="13.2" x14ac:dyDescent="0.35">
      <c r="A12" s="1" t="s">
        <v>2</v>
      </c>
      <c r="B12" s="6">
        <v>-1234249</v>
      </c>
      <c r="C12" s="6">
        <f>-496544-473667</f>
        <v>-970211</v>
      </c>
      <c r="D12" s="9">
        <f t="shared" si="0"/>
        <v>0.27214492517606992</v>
      </c>
    </row>
    <row r="13" spans="1:5" x14ac:dyDescent="0.2">
      <c r="A13" s="7" t="s">
        <v>22</v>
      </c>
      <c r="B13" s="2">
        <f>SUM(B11:B12)</f>
        <v>446140</v>
      </c>
      <c r="C13" s="2">
        <f>SUM(C11:C12)</f>
        <v>369988</v>
      </c>
      <c r="D13" s="9">
        <f t="shared" si="0"/>
        <v>0.20582289155323963</v>
      </c>
    </row>
    <row r="14" spans="1:5" x14ac:dyDescent="0.2">
      <c r="A14" s="1" t="s">
        <v>16</v>
      </c>
      <c r="B14" s="23">
        <f>-57659-455-80171-102996+6246+2049+64-18095-B15</f>
        <v>-231618</v>
      </c>
      <c r="C14" s="2">
        <f>-87616-90761</f>
        <v>-178377</v>
      </c>
      <c r="D14" s="9">
        <f t="shared" si="0"/>
        <v>0.2984745791217478</v>
      </c>
    </row>
    <row r="15" spans="1:5" ht="13.2" x14ac:dyDescent="0.35">
      <c r="A15" s="1" t="s">
        <v>30</v>
      </c>
      <c r="B15" s="6">
        <f>-18095-1304</f>
        <v>-19399</v>
      </c>
      <c r="C15" s="16">
        <v>0</v>
      </c>
      <c r="D15" s="9" t="s">
        <v>21</v>
      </c>
    </row>
    <row r="16" spans="1:5" x14ac:dyDescent="0.2">
      <c r="A16" s="7" t="s">
        <v>23</v>
      </c>
      <c r="B16" s="23">
        <f>SUM(B13:B15)</f>
        <v>195123</v>
      </c>
      <c r="C16" s="23">
        <f>SUM(C13:C15)</f>
        <v>191611</v>
      </c>
      <c r="D16" s="9">
        <f>+B16/C16-1</f>
        <v>1.83288015823726E-2</v>
      </c>
    </row>
    <row r="17" spans="1:8" x14ac:dyDescent="0.2">
      <c r="A17" s="7" t="s">
        <v>20</v>
      </c>
      <c r="B17" s="23">
        <v>1181</v>
      </c>
      <c r="C17" s="17">
        <v>0</v>
      </c>
      <c r="D17" s="9" t="s">
        <v>21</v>
      </c>
    </row>
    <row r="18" spans="1:8" x14ac:dyDescent="0.2">
      <c r="A18" s="7" t="s">
        <v>47</v>
      </c>
      <c r="B18" s="23">
        <v>839</v>
      </c>
      <c r="C18" s="2">
        <f>3172+2739</f>
        <v>5911</v>
      </c>
      <c r="D18" s="9">
        <f>+B18/C18-1</f>
        <v>-0.85806124175266452</v>
      </c>
    </row>
    <row r="19" spans="1:8" ht="13.2" x14ac:dyDescent="0.35">
      <c r="A19" s="7" t="s">
        <v>3</v>
      </c>
      <c r="B19" s="24">
        <f>-82299+1957+1</f>
        <v>-80341</v>
      </c>
      <c r="C19" s="6">
        <f>-27151-27141</f>
        <v>-54292</v>
      </c>
      <c r="D19" s="9">
        <f>+B19/C19-1</f>
        <v>0.47979444485375367</v>
      </c>
    </row>
    <row r="20" spans="1:8" x14ac:dyDescent="0.2">
      <c r="A20" s="7" t="s">
        <v>46</v>
      </c>
      <c r="B20" s="23">
        <f>SUM(B16:B19)</f>
        <v>116802</v>
      </c>
      <c r="C20" s="23">
        <f>SUM(C16:C19)</f>
        <v>143230</v>
      </c>
      <c r="D20" s="9">
        <f>+B20/C20-1</f>
        <v>-0.18451441737066254</v>
      </c>
    </row>
    <row r="21" spans="1:8" ht="13.2" x14ac:dyDescent="0.35">
      <c r="A21" s="1" t="s">
        <v>12</v>
      </c>
      <c r="B21" s="24">
        <f>-ROUND(B20*36%,0)</f>
        <v>-42049</v>
      </c>
      <c r="C21" s="24">
        <f>-ROUND(C20*39.3%,0)</f>
        <v>-56289</v>
      </c>
      <c r="D21" s="9">
        <f>+B21/C21-1</f>
        <v>-0.25298015598074219</v>
      </c>
    </row>
    <row r="22" spans="1:8" x14ac:dyDescent="0.2">
      <c r="A22" s="7" t="s">
        <v>31</v>
      </c>
      <c r="B22" s="23">
        <f>SUM(B20:B21)</f>
        <v>74753</v>
      </c>
      <c r="C22" s="23">
        <f>SUM(C20:C21)</f>
        <v>86941</v>
      </c>
      <c r="D22" s="9">
        <f>+B22/C22-1</f>
        <v>-0.14018702338367395</v>
      </c>
    </row>
    <row r="23" spans="1:8" ht="13.2" x14ac:dyDescent="0.35">
      <c r="A23" s="1" t="s">
        <v>112</v>
      </c>
      <c r="B23" s="24">
        <v>-844</v>
      </c>
      <c r="C23" s="16">
        <v>0</v>
      </c>
      <c r="D23" s="9" t="s">
        <v>21</v>
      </c>
    </row>
    <row r="24" spans="1:8" ht="13.2" x14ac:dyDescent="0.35">
      <c r="A24" s="7" t="s">
        <v>113</v>
      </c>
      <c r="B24" s="25">
        <f>SUM(B22:B23)</f>
        <v>73909</v>
      </c>
      <c r="C24" s="25">
        <f>SUM(C20:C21)</f>
        <v>86941</v>
      </c>
      <c r="D24" s="9">
        <f>+B24/C24-1</f>
        <v>-0.14989475621398418</v>
      </c>
    </row>
    <row r="25" spans="1:8" x14ac:dyDescent="0.2">
      <c r="A25" s="12"/>
      <c r="D25" s="9"/>
    </row>
    <row r="26" spans="1:8" x14ac:dyDescent="0.2">
      <c r="B26" s="26"/>
      <c r="D26" s="8"/>
    </row>
    <row r="27" spans="1:8" ht="13.2" x14ac:dyDescent="0.35">
      <c r="A27" s="1" t="s">
        <v>4</v>
      </c>
      <c r="D27" s="9"/>
      <c r="G27" s="13"/>
      <c r="H27" s="13"/>
    </row>
    <row r="28" spans="1:8" ht="13.2" x14ac:dyDescent="0.35">
      <c r="A28" s="7" t="s">
        <v>24</v>
      </c>
      <c r="B28" s="4">
        <f>ROUND((B24)/B32,2)</f>
        <v>0.77</v>
      </c>
      <c r="C28" s="4">
        <f>ROUND(C24/C32,2)</f>
        <v>0.97</v>
      </c>
      <c r="D28" s="9">
        <f>+B28/C28-1</f>
        <v>-0.20618556701030921</v>
      </c>
      <c r="G28" s="21"/>
      <c r="H28" s="13"/>
    </row>
    <row r="29" spans="1:8" ht="13.2" x14ac:dyDescent="0.35">
      <c r="A29" s="7" t="s">
        <v>25</v>
      </c>
      <c r="B29" s="4">
        <f>ROUND(B22/B33,2)</f>
        <v>0.75</v>
      </c>
      <c r="C29" s="4">
        <f>ROUND(C22/C33,2)</f>
        <v>0.94</v>
      </c>
      <c r="D29" s="9">
        <f>+B29/C29-1</f>
        <v>-0.20212765957446799</v>
      </c>
      <c r="G29" s="22"/>
      <c r="H29" s="13"/>
    </row>
    <row r="30" spans="1:8" x14ac:dyDescent="0.2">
      <c r="A30" s="12"/>
      <c r="B30" s="4"/>
      <c r="C30" s="4"/>
      <c r="D30" s="9"/>
      <c r="G30" s="9"/>
      <c r="H30" s="9"/>
    </row>
    <row r="31" spans="1:8" x14ac:dyDescent="0.2">
      <c r="A31" s="1" t="s">
        <v>5</v>
      </c>
      <c r="D31" s="9"/>
    </row>
    <row r="32" spans="1:8" x14ac:dyDescent="0.2">
      <c r="A32" s="7" t="s">
        <v>24</v>
      </c>
      <c r="B32" s="2">
        <v>95726</v>
      </c>
      <c r="C32" s="2">
        <v>89268</v>
      </c>
      <c r="D32" s="9">
        <f>+B32/C32-1</f>
        <v>7.2343953040283182E-2</v>
      </c>
    </row>
    <row r="33" spans="1:4" x14ac:dyDescent="0.2">
      <c r="A33" s="7" t="s">
        <v>25</v>
      </c>
      <c r="B33" s="23">
        <v>99803</v>
      </c>
      <c r="C33" s="2">
        <v>92550</v>
      </c>
      <c r="D33" s="9">
        <f>+B33/C33-1</f>
        <v>7.8368449486763803E-2</v>
      </c>
    </row>
    <row r="34" spans="1:4" x14ac:dyDescent="0.2">
      <c r="A34" s="12"/>
      <c r="D34" s="9"/>
    </row>
    <row r="35" spans="1:4" x14ac:dyDescent="0.2">
      <c r="A35" s="1" t="s">
        <v>6</v>
      </c>
      <c r="D35" s="9"/>
    </row>
    <row r="36" spans="1:4" x14ac:dyDescent="0.2">
      <c r="A36" s="7" t="s">
        <v>7</v>
      </c>
      <c r="D36" s="9"/>
    </row>
    <row r="37" spans="1:4" x14ac:dyDescent="0.2">
      <c r="A37" s="7" t="s">
        <v>33</v>
      </c>
      <c r="D37" s="9"/>
    </row>
    <row r="38" spans="1:4" x14ac:dyDescent="0.2">
      <c r="A38" s="7" t="s">
        <v>34</v>
      </c>
      <c r="B38" s="1">
        <f>454679-1</f>
        <v>454678</v>
      </c>
      <c r="C38" s="1">
        <v>419513</v>
      </c>
      <c r="D38" s="9">
        <f>+B38/C38-1</f>
        <v>8.3823385687690211E-2</v>
      </c>
    </row>
    <row r="39" spans="1:4" ht="13.2" x14ac:dyDescent="0.35">
      <c r="A39" s="7" t="s">
        <v>27</v>
      </c>
      <c r="B39" s="6">
        <v>142709</v>
      </c>
      <c r="C39" s="6">
        <v>138886</v>
      </c>
      <c r="D39" s="9">
        <f>+B39/C39-1</f>
        <v>2.7526172544388938E-2</v>
      </c>
    </row>
    <row r="40" spans="1:4" x14ac:dyDescent="0.2">
      <c r="A40" s="7" t="s">
        <v>28</v>
      </c>
      <c r="B40" s="1">
        <f>+B38+B39</f>
        <v>597387</v>
      </c>
      <c r="C40" s="1">
        <f>+C38+C39</f>
        <v>558399</v>
      </c>
      <c r="D40" s="9">
        <f>+B40/C40-1</f>
        <v>6.982104194312666E-2</v>
      </c>
    </row>
    <row r="41" spans="1:4" x14ac:dyDescent="0.2">
      <c r="A41" s="7" t="s">
        <v>35</v>
      </c>
      <c r="D41" s="9"/>
    </row>
    <row r="42" spans="1:4" x14ac:dyDescent="0.2">
      <c r="A42" s="7" t="s">
        <v>48</v>
      </c>
      <c r="B42" s="28">
        <v>692765</v>
      </c>
      <c r="C42" s="1">
        <v>451130</v>
      </c>
      <c r="D42" s="9">
        <f>+B42/C42-1</f>
        <v>0.53562166116197107</v>
      </c>
    </row>
    <row r="43" spans="1:4" ht="13.2" x14ac:dyDescent="0.35">
      <c r="A43" s="7" t="s">
        <v>36</v>
      </c>
      <c r="B43" s="24">
        <v>390237</v>
      </c>
      <c r="C43" s="6">
        <v>330670</v>
      </c>
      <c r="D43" s="9">
        <f>+B43/C43-1</f>
        <v>0.18014032116611722</v>
      </c>
    </row>
    <row r="44" spans="1:4" ht="13.2" x14ac:dyDescent="0.35">
      <c r="A44" s="7" t="s">
        <v>28</v>
      </c>
      <c r="B44" s="31">
        <f>+B42+B43</f>
        <v>1083002</v>
      </c>
      <c r="C44" s="5">
        <f>+C42+C43</f>
        <v>781800</v>
      </c>
      <c r="D44" s="9">
        <f>+B44/C44-1</f>
        <v>0.38526733179841388</v>
      </c>
    </row>
    <row r="45" spans="1:4" ht="13.2" x14ac:dyDescent="0.35">
      <c r="A45" s="7" t="s">
        <v>8</v>
      </c>
      <c r="B45" s="25">
        <f>B40+B44</f>
        <v>1680389</v>
      </c>
      <c r="C45" s="14">
        <f>C40+C44</f>
        <v>1340199</v>
      </c>
      <c r="D45" s="10">
        <f>+B45/C45-1</f>
        <v>0.25383543787153995</v>
      </c>
    </row>
    <row r="46" spans="1:4" x14ac:dyDescent="0.2">
      <c r="D46" s="10"/>
    </row>
    <row r="47" spans="1:4" x14ac:dyDescent="0.2">
      <c r="A47" s="1" t="s">
        <v>14</v>
      </c>
      <c r="D47" s="9"/>
    </row>
    <row r="48" spans="1:4" x14ac:dyDescent="0.2">
      <c r="A48" s="7" t="s">
        <v>33</v>
      </c>
      <c r="B48" s="28">
        <v>130000</v>
      </c>
      <c r="C48" s="1">
        <v>115976</v>
      </c>
      <c r="D48" s="9">
        <f>+B48/C48-1</f>
        <v>0.12092156997999592</v>
      </c>
    </row>
    <row r="49" spans="1:4" x14ac:dyDescent="0.2">
      <c r="A49" s="7" t="s">
        <v>35</v>
      </c>
      <c r="B49" s="23">
        <f>17574+22808+16491+30292-130+7640+(11024+3510+16827+18095+1304)+1</f>
        <v>145436</v>
      </c>
      <c r="C49" s="2">
        <v>91079</v>
      </c>
      <c r="D49" s="9">
        <f>+B49/C49-1</f>
        <v>0.59681155919586293</v>
      </c>
    </row>
    <row r="50" spans="1:4" x14ac:dyDescent="0.2">
      <c r="A50" s="7" t="s">
        <v>26</v>
      </c>
      <c r="B50" s="23">
        <f>-29553+9244</f>
        <v>-20309</v>
      </c>
      <c r="C50" s="2">
        <v>-15444</v>
      </c>
      <c r="D50" s="9">
        <f>+B50/C50-1</f>
        <v>0.31500906500906511</v>
      </c>
    </row>
    <row r="51" spans="1:4" ht="13.2" x14ac:dyDescent="0.35">
      <c r="A51" s="7" t="s">
        <v>44</v>
      </c>
      <c r="B51" s="24">
        <f>-11024-3510-16827-9244-18095-1304</f>
        <v>-60004</v>
      </c>
      <c r="C51" s="16">
        <v>0</v>
      </c>
      <c r="D51" s="9" t="s">
        <v>21</v>
      </c>
    </row>
    <row r="52" spans="1:4" ht="13.2" x14ac:dyDescent="0.35">
      <c r="A52" s="1" t="s">
        <v>11</v>
      </c>
      <c r="B52" s="25">
        <f>SUM(B48:B51)</f>
        <v>195123</v>
      </c>
      <c r="C52" s="14">
        <f>SUM(C48:C51)</f>
        <v>191611</v>
      </c>
      <c r="D52" s="9">
        <f>+B52/C52-1</f>
        <v>1.83288015823726E-2</v>
      </c>
    </row>
    <row r="56" spans="1:4" x14ac:dyDescent="0.2">
      <c r="A56" s="29" t="s">
        <v>50</v>
      </c>
      <c r="B56" s="28"/>
      <c r="C56" s="28"/>
      <c r="D56" s="28"/>
    </row>
    <row r="57" spans="1:4" x14ac:dyDescent="0.2">
      <c r="A57" s="29" t="s">
        <v>105</v>
      </c>
      <c r="B57" s="28"/>
      <c r="C57" s="28"/>
      <c r="D57" s="28"/>
    </row>
    <row r="58" spans="1:4" x14ac:dyDescent="0.2">
      <c r="A58" s="29"/>
      <c r="B58" s="28"/>
      <c r="C58" s="28"/>
      <c r="D58" s="28"/>
    </row>
    <row r="59" spans="1:4" x14ac:dyDescent="0.2">
      <c r="A59" s="29"/>
      <c r="B59" s="28"/>
      <c r="C59" s="28"/>
      <c r="D59" s="28"/>
    </row>
    <row r="60" spans="1:4" x14ac:dyDescent="0.2">
      <c r="A60" s="29"/>
      <c r="B60" s="28"/>
      <c r="C60" s="28"/>
      <c r="D60" s="28"/>
    </row>
    <row r="61" spans="1:4" x14ac:dyDescent="0.2">
      <c r="A61" s="28"/>
      <c r="B61" s="28"/>
      <c r="C61" s="28"/>
      <c r="D61" s="28"/>
    </row>
    <row r="62" spans="1:4" x14ac:dyDescent="0.2">
      <c r="A62" s="28"/>
      <c r="B62" s="28"/>
      <c r="C62" s="28"/>
      <c r="D62" s="28"/>
    </row>
    <row r="63" spans="1:4" x14ac:dyDescent="0.2">
      <c r="A63" s="28"/>
      <c r="B63" s="28"/>
      <c r="C63" s="28"/>
      <c r="D63" s="28"/>
    </row>
    <row r="64" spans="1:4" x14ac:dyDescent="0.2">
      <c r="A64" s="28"/>
      <c r="B64" s="28"/>
      <c r="C64" s="28"/>
      <c r="D64" s="28"/>
    </row>
    <row r="65" spans="1:4" x14ac:dyDescent="0.2">
      <c r="A65" s="28"/>
      <c r="B65" s="28"/>
      <c r="C65" s="28"/>
      <c r="D65" s="28"/>
    </row>
    <row r="66" spans="1:4" x14ac:dyDescent="0.2">
      <c r="A66" s="28"/>
      <c r="B66" s="28"/>
      <c r="C66" s="28"/>
      <c r="D66" s="28"/>
    </row>
  </sheetData>
  <mergeCells count="4">
    <mergeCell ref="A1:D1"/>
    <mergeCell ref="A2:D2"/>
    <mergeCell ref="A3:D3"/>
    <mergeCell ref="A4:D4"/>
  </mergeCells>
  <printOptions horizontalCentered="1"/>
  <pageMargins left="0.75" right="0.75" top="1" bottom="1" header="0.5" footer="0.5"/>
  <pageSetup scale="9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workbookViewId="0">
      <selection sqref="A1:D1"/>
    </sheetView>
  </sheetViews>
  <sheetFormatPr defaultColWidth="9.109375" defaultRowHeight="11.4" x14ac:dyDescent="0.2"/>
  <cols>
    <col min="1" max="1" width="48.6640625" style="1" customWidth="1"/>
    <col min="2" max="3" width="17.33203125" style="1" customWidth="1"/>
    <col min="4" max="4" width="8.6640625" style="1" customWidth="1"/>
    <col min="5" max="5" width="3" style="1" hidden="1" customWidth="1"/>
    <col min="6" max="6" width="17" style="1" hidden="1" customWidth="1"/>
    <col min="7" max="7" width="9.109375" style="1" hidden="1" customWidth="1"/>
    <col min="8" max="8" width="2.44140625" style="1" hidden="1" customWidth="1"/>
    <col min="9" max="9" width="9.109375" style="1"/>
    <col min="10" max="10" width="11" style="1" bestFit="1" customWidth="1"/>
    <col min="11" max="16384" width="9.109375" style="1"/>
  </cols>
  <sheetData>
    <row r="1" spans="1:5" ht="12" x14ac:dyDescent="0.25">
      <c r="A1" s="100" t="s">
        <v>13</v>
      </c>
      <c r="B1" s="100"/>
      <c r="C1" s="100"/>
      <c r="D1" s="100"/>
      <c r="E1" s="18"/>
    </row>
    <row r="2" spans="1:5" ht="12" x14ac:dyDescent="0.25">
      <c r="A2" s="100" t="s">
        <v>37</v>
      </c>
      <c r="B2" s="100"/>
      <c r="C2" s="100"/>
      <c r="D2" s="100"/>
      <c r="E2" s="18"/>
    </row>
    <row r="3" spans="1:5" ht="12" x14ac:dyDescent="0.25">
      <c r="A3" s="100" t="s">
        <v>38</v>
      </c>
      <c r="B3" s="100"/>
      <c r="C3" s="100"/>
      <c r="D3" s="100"/>
      <c r="E3" s="11"/>
    </row>
    <row r="4" spans="1:5" x14ac:dyDescent="0.2">
      <c r="A4" s="101" t="s">
        <v>0</v>
      </c>
      <c r="B4" s="101"/>
      <c r="C4" s="101"/>
      <c r="D4" s="101"/>
    </row>
    <row r="6" spans="1:5" x14ac:dyDescent="0.2">
      <c r="B6" s="11" t="str">
        <f>'Inc. Stmt - Reported - YTD'!B6</f>
        <v>For the Six</v>
      </c>
      <c r="C6" s="11" t="str">
        <f>'Inc. Stmt - Reported - YTD'!C6</f>
        <v>For the Six</v>
      </c>
      <c r="D6" s="11"/>
      <c r="E6" s="11"/>
    </row>
    <row r="7" spans="1:5" x14ac:dyDescent="0.2">
      <c r="B7" s="11" t="str">
        <f>'Inc. Stmt - Reported - YTD'!B7</f>
        <v>Months Ended</v>
      </c>
      <c r="C7" s="11" t="str">
        <f>'Inc. Stmt - Reported - YTD'!C7</f>
        <v>Months Ended</v>
      </c>
      <c r="D7" s="11" t="s">
        <v>9</v>
      </c>
      <c r="E7" s="11"/>
    </row>
    <row r="8" spans="1:5" ht="13.2" x14ac:dyDescent="0.35">
      <c r="B8" s="15" t="str">
        <f>'Inc. Stmt - Reported - YTD'!B8</f>
        <v>August 31, 2003</v>
      </c>
      <c r="C8" s="15" t="str">
        <f>'Inc. Stmt - Reported - YTD'!C8</f>
        <v>August 31, 2002</v>
      </c>
      <c r="D8" s="13" t="s">
        <v>10</v>
      </c>
      <c r="E8" s="13"/>
    </row>
    <row r="9" spans="1:5" x14ac:dyDescent="0.2">
      <c r="A9" s="3" t="s">
        <v>15</v>
      </c>
      <c r="B9" s="1">
        <v>2137280</v>
      </c>
      <c r="C9" s="1">
        <v>1759460</v>
      </c>
      <c r="D9" s="9">
        <f t="shared" ref="D9:D14" si="0">+B9/C9-1</f>
        <v>0.21473633955872828</v>
      </c>
    </row>
    <row r="10" spans="1:5" ht="13.2" x14ac:dyDescent="0.35">
      <c r="A10" s="3" t="s">
        <v>17</v>
      </c>
      <c r="B10" s="6">
        <f>-456892+1</f>
        <v>-456891</v>
      </c>
      <c r="C10" s="6">
        <v>-419261</v>
      </c>
      <c r="D10" s="9">
        <f t="shared" si="0"/>
        <v>8.975316091885488E-2</v>
      </c>
    </row>
    <row r="11" spans="1:5" x14ac:dyDescent="0.2">
      <c r="A11" s="1" t="s">
        <v>1</v>
      </c>
      <c r="B11" s="2">
        <f>SUM(B9:B10)</f>
        <v>1680389</v>
      </c>
      <c r="C11" s="2">
        <f>C9+C10</f>
        <v>1340199</v>
      </c>
      <c r="D11" s="9">
        <f t="shared" si="0"/>
        <v>0.25383543787153995</v>
      </c>
    </row>
    <row r="12" spans="1:5" ht="13.2" x14ac:dyDescent="0.35">
      <c r="A12" s="1" t="s">
        <v>2</v>
      </c>
      <c r="B12" s="6">
        <f>-1234249+11024+3510+16827</f>
        <v>-1202888</v>
      </c>
      <c r="C12" s="6">
        <v>-970211</v>
      </c>
      <c r="D12" s="9">
        <f t="shared" si="0"/>
        <v>0.23982102862160914</v>
      </c>
    </row>
    <row r="13" spans="1:5" x14ac:dyDescent="0.2">
      <c r="A13" s="7" t="s">
        <v>22</v>
      </c>
      <c r="B13" s="2">
        <f>SUM(B11:B12)</f>
        <v>477501</v>
      </c>
      <c r="C13" s="2">
        <f>C11+C12</f>
        <v>369988</v>
      </c>
      <c r="D13" s="9">
        <f t="shared" si="0"/>
        <v>0.29058510005729921</v>
      </c>
    </row>
    <row r="14" spans="1:5" x14ac:dyDescent="0.2">
      <c r="A14" s="1" t="s">
        <v>16</v>
      </c>
      <c r="B14" s="23">
        <f>-57659-455-80171-102996+6246+2049+64-18095-B15+9244+18095+1304</f>
        <v>-222374</v>
      </c>
      <c r="C14" s="2">
        <v>-178377</v>
      </c>
      <c r="D14" s="9">
        <f t="shared" si="0"/>
        <v>0.24665175443022358</v>
      </c>
    </row>
    <row r="15" spans="1:5" ht="13.2" x14ac:dyDescent="0.35">
      <c r="A15" s="1" t="s">
        <v>30</v>
      </c>
      <c r="B15" s="16">
        <f>-18095-1304+19399</f>
        <v>0</v>
      </c>
      <c r="C15" s="16">
        <v>0</v>
      </c>
      <c r="D15" s="9" t="s">
        <v>21</v>
      </c>
    </row>
    <row r="16" spans="1:5" x14ac:dyDescent="0.2">
      <c r="A16" s="7" t="s">
        <v>23</v>
      </c>
      <c r="B16" s="23">
        <f>SUM(B13:B15)</f>
        <v>255127</v>
      </c>
      <c r="C16" s="2">
        <f>SUM(C13:C15)</f>
        <v>191611</v>
      </c>
      <c r="D16" s="9">
        <f>+B16/C16-1</f>
        <v>0.3314841005996525</v>
      </c>
    </row>
    <row r="17" spans="1:8" x14ac:dyDescent="0.2">
      <c r="A17" s="7" t="s">
        <v>20</v>
      </c>
      <c r="B17" s="17">
        <f>1181-1181</f>
        <v>0</v>
      </c>
      <c r="C17" s="17">
        <v>0</v>
      </c>
      <c r="D17" s="9" t="s">
        <v>21</v>
      </c>
    </row>
    <row r="18" spans="1:8" x14ac:dyDescent="0.2">
      <c r="A18" s="7" t="s">
        <v>47</v>
      </c>
      <c r="B18" s="23">
        <v>839</v>
      </c>
      <c r="C18" s="2">
        <v>5911</v>
      </c>
      <c r="D18" s="9">
        <f>+B18/C18-1</f>
        <v>-0.85806124175266452</v>
      </c>
    </row>
    <row r="19" spans="1:8" ht="13.2" x14ac:dyDescent="0.35">
      <c r="A19" s="7" t="s">
        <v>3</v>
      </c>
      <c r="B19" s="24">
        <f>-82299+1957+1+1658</f>
        <v>-78683</v>
      </c>
      <c r="C19" s="6">
        <v>-54292</v>
      </c>
      <c r="D19" s="9">
        <f>+B19/C19-1</f>
        <v>0.44925587563545277</v>
      </c>
    </row>
    <row r="20" spans="1:8" x14ac:dyDescent="0.2">
      <c r="A20" s="7" t="s">
        <v>46</v>
      </c>
      <c r="B20" s="23">
        <f>SUM(B16:B19)</f>
        <v>177283</v>
      </c>
      <c r="C20" s="2">
        <f>SUM(C16:C19)</f>
        <v>143230</v>
      </c>
      <c r="D20" s="9">
        <f>+B20/C20-1</f>
        <v>0.23775047126998539</v>
      </c>
      <c r="G20" s="30" t="s">
        <v>45</v>
      </c>
    </row>
    <row r="21" spans="1:8" ht="13.2" x14ac:dyDescent="0.35">
      <c r="A21" s="1" t="s">
        <v>12</v>
      </c>
      <c r="B21" s="24">
        <f>-ROUND(B20*36%,0)</f>
        <v>-63822</v>
      </c>
      <c r="C21" s="6">
        <v>-56289</v>
      </c>
      <c r="D21" s="9">
        <f>+B21/C21-1</f>
        <v>0.13382721313222823</v>
      </c>
      <c r="G21" s="30">
        <f>'Inc. Stmt - Reported - YTD'!B21-4444</f>
        <v>-46493</v>
      </c>
    </row>
    <row r="22" spans="1:8" x14ac:dyDescent="0.2">
      <c r="A22" s="7" t="s">
        <v>31</v>
      </c>
      <c r="B22" s="23">
        <f>SUM(B20:B21)</f>
        <v>113461</v>
      </c>
      <c r="C22" s="23">
        <f>SUM(C20:C21)</f>
        <v>86941</v>
      </c>
      <c r="D22" s="9">
        <f>+B22/C22-1</f>
        <v>0.30503444864908391</v>
      </c>
    </row>
    <row r="23" spans="1:8" ht="13.2" x14ac:dyDescent="0.35">
      <c r="A23" s="1" t="s">
        <v>112</v>
      </c>
      <c r="B23" s="24">
        <v>-844</v>
      </c>
      <c r="C23" s="16">
        <v>0</v>
      </c>
      <c r="D23" s="9" t="s">
        <v>21</v>
      </c>
    </row>
    <row r="24" spans="1:8" ht="13.2" x14ac:dyDescent="0.35">
      <c r="A24" s="7" t="s">
        <v>113</v>
      </c>
      <c r="B24" s="25">
        <f>SUM(B22:B23)</f>
        <v>112617</v>
      </c>
      <c r="C24" s="25">
        <f>SUM(C20:C21)</f>
        <v>86941</v>
      </c>
      <c r="D24" s="9">
        <f>+B24/C24-1</f>
        <v>0.29532671581877357</v>
      </c>
    </row>
    <row r="25" spans="1:8" x14ac:dyDescent="0.2">
      <c r="A25" s="12"/>
      <c r="D25" s="9"/>
    </row>
    <row r="26" spans="1:8" x14ac:dyDescent="0.2">
      <c r="B26" s="26"/>
      <c r="D26" s="8"/>
    </row>
    <row r="27" spans="1:8" ht="13.2" x14ac:dyDescent="0.35">
      <c r="A27" s="1" t="s">
        <v>4</v>
      </c>
      <c r="D27" s="9"/>
      <c r="G27" s="13"/>
      <c r="H27" s="13"/>
    </row>
    <row r="28" spans="1:8" ht="13.2" x14ac:dyDescent="0.35">
      <c r="A28" s="7" t="s">
        <v>24</v>
      </c>
      <c r="B28" s="4">
        <f>ROUND((B24)/B32,2)</f>
        <v>1.18</v>
      </c>
      <c r="C28" s="4">
        <f>ROUND(C24/C32,2)</f>
        <v>0.97</v>
      </c>
      <c r="D28" s="9">
        <f>+B28/C28-1</f>
        <v>0.21649484536082464</v>
      </c>
      <c r="G28" s="21"/>
      <c r="H28" s="13"/>
    </row>
    <row r="29" spans="1:8" ht="13.2" x14ac:dyDescent="0.35">
      <c r="A29" s="7" t="s">
        <v>25</v>
      </c>
      <c r="B29" s="4">
        <f>ROUND(B22/B33,2)</f>
        <v>1.1399999999999999</v>
      </c>
      <c r="C29" s="4">
        <f>ROUND(C22/C33,2)</f>
        <v>0.94</v>
      </c>
      <c r="D29" s="9">
        <f>+B29/C29-1</f>
        <v>0.21276595744680837</v>
      </c>
      <c r="G29" s="22"/>
      <c r="H29" s="13"/>
    </row>
    <row r="30" spans="1:8" x14ac:dyDescent="0.2">
      <c r="A30" s="12"/>
      <c r="B30" s="4"/>
      <c r="C30" s="4"/>
      <c r="D30" s="9"/>
      <c r="G30" s="9"/>
      <c r="H30" s="9"/>
    </row>
    <row r="31" spans="1:8" x14ac:dyDescent="0.2">
      <c r="A31" s="1" t="s">
        <v>5</v>
      </c>
      <c r="D31" s="9"/>
    </row>
    <row r="32" spans="1:8" x14ac:dyDescent="0.2">
      <c r="A32" s="7" t="s">
        <v>24</v>
      </c>
      <c r="B32" s="2">
        <v>95726</v>
      </c>
      <c r="C32" s="2">
        <v>89268</v>
      </c>
      <c r="D32" s="9">
        <f>+B32/C32-1</f>
        <v>7.2343953040283182E-2</v>
      </c>
    </row>
    <row r="33" spans="1:4" x14ac:dyDescent="0.2">
      <c r="A33" s="7" t="s">
        <v>25</v>
      </c>
      <c r="B33" s="23">
        <v>99803</v>
      </c>
      <c r="C33" s="2">
        <v>92550</v>
      </c>
      <c r="D33" s="9">
        <f>+B33/C33-1</f>
        <v>7.8368449486763803E-2</v>
      </c>
    </row>
    <row r="34" spans="1:4" x14ac:dyDescent="0.2">
      <c r="A34" s="12"/>
      <c r="D34" s="9"/>
    </row>
    <row r="35" spans="1:4" x14ac:dyDescent="0.2">
      <c r="A35" s="1" t="s">
        <v>6</v>
      </c>
      <c r="D35" s="9"/>
    </row>
    <row r="36" spans="1:4" x14ac:dyDescent="0.2">
      <c r="A36" s="7" t="s">
        <v>7</v>
      </c>
      <c r="D36" s="9"/>
    </row>
    <row r="37" spans="1:4" x14ac:dyDescent="0.2">
      <c r="A37" s="7" t="s">
        <v>33</v>
      </c>
      <c r="D37" s="9"/>
    </row>
    <row r="38" spans="1:4" x14ac:dyDescent="0.2">
      <c r="A38" s="7" t="s">
        <v>34</v>
      </c>
      <c r="B38" s="1">
        <f>454679-1</f>
        <v>454678</v>
      </c>
      <c r="C38" s="1">
        <v>419513</v>
      </c>
      <c r="D38" s="9">
        <f>+B38/C38-1</f>
        <v>8.3823385687690211E-2</v>
      </c>
    </row>
    <row r="39" spans="1:4" ht="13.2" x14ac:dyDescent="0.35">
      <c r="A39" s="7" t="s">
        <v>27</v>
      </c>
      <c r="B39" s="6">
        <v>142709</v>
      </c>
      <c r="C39" s="6">
        <v>138886</v>
      </c>
      <c r="D39" s="9">
        <f>+B39/C39-1</f>
        <v>2.7526172544388938E-2</v>
      </c>
    </row>
    <row r="40" spans="1:4" x14ac:dyDescent="0.2">
      <c r="A40" s="7" t="s">
        <v>28</v>
      </c>
      <c r="B40" s="1">
        <f>+B38+B39</f>
        <v>597387</v>
      </c>
      <c r="C40" s="1">
        <f>+C38+C39</f>
        <v>558399</v>
      </c>
      <c r="D40" s="9">
        <f>+B40/C40-1</f>
        <v>6.982104194312666E-2</v>
      </c>
    </row>
    <row r="41" spans="1:4" x14ac:dyDescent="0.2">
      <c r="A41" s="7" t="s">
        <v>35</v>
      </c>
      <c r="D41" s="9"/>
    </row>
    <row r="42" spans="1:4" x14ac:dyDescent="0.2">
      <c r="A42" s="7" t="s">
        <v>48</v>
      </c>
      <c r="B42" s="28">
        <v>692765</v>
      </c>
      <c r="C42" s="1">
        <v>451130</v>
      </c>
      <c r="D42" s="9">
        <f>+B42/C42-1</f>
        <v>0.53562166116197107</v>
      </c>
    </row>
    <row r="43" spans="1:4" ht="13.2" x14ac:dyDescent="0.35">
      <c r="A43" s="7" t="s">
        <v>36</v>
      </c>
      <c r="B43" s="24">
        <v>390237</v>
      </c>
      <c r="C43" s="6">
        <v>330670</v>
      </c>
      <c r="D43" s="9">
        <f>+B43/C43-1</f>
        <v>0.18014032116611722</v>
      </c>
    </row>
    <row r="44" spans="1:4" ht="13.2" x14ac:dyDescent="0.35">
      <c r="A44" s="7" t="s">
        <v>28</v>
      </c>
      <c r="B44" s="31">
        <f>+B42+B43</f>
        <v>1083002</v>
      </c>
      <c r="C44" s="5">
        <f>+C42+C43</f>
        <v>781800</v>
      </c>
      <c r="D44" s="9">
        <f>+B44/C44-1</f>
        <v>0.38526733179841388</v>
      </c>
    </row>
    <row r="45" spans="1:4" ht="13.2" x14ac:dyDescent="0.35">
      <c r="A45" s="7" t="s">
        <v>8</v>
      </c>
      <c r="B45" s="25">
        <f>B40+B44</f>
        <v>1680389</v>
      </c>
      <c r="C45" s="14">
        <f>C40+C44</f>
        <v>1340199</v>
      </c>
      <c r="D45" s="10">
        <f>+B45/C45-1</f>
        <v>0.25383543787153995</v>
      </c>
    </row>
    <row r="46" spans="1:4" x14ac:dyDescent="0.2">
      <c r="D46" s="10"/>
    </row>
    <row r="47" spans="1:4" x14ac:dyDescent="0.2">
      <c r="A47" s="1" t="s">
        <v>14</v>
      </c>
      <c r="D47" s="9"/>
    </row>
    <row r="48" spans="1:4" x14ac:dyDescent="0.2">
      <c r="A48" s="7" t="s">
        <v>33</v>
      </c>
      <c r="B48" s="28">
        <v>130000</v>
      </c>
      <c r="C48" s="1">
        <v>115976</v>
      </c>
      <c r="D48" s="9">
        <f>+B48/C48-1</f>
        <v>0.12092156997999592</v>
      </c>
    </row>
    <row r="49" spans="1:4" x14ac:dyDescent="0.2">
      <c r="A49" s="7" t="s">
        <v>35</v>
      </c>
      <c r="B49" s="23">
        <f>17574+22808+16491+30292-130+7640+(11024+3510+16827+18095+1304)+1</f>
        <v>145436</v>
      </c>
      <c r="C49" s="2">
        <v>91079</v>
      </c>
      <c r="D49" s="9">
        <f>+B49/C49-1</f>
        <v>0.59681155919586293</v>
      </c>
    </row>
    <row r="50" spans="1:4" x14ac:dyDescent="0.2">
      <c r="A50" s="7" t="s">
        <v>26</v>
      </c>
      <c r="B50" s="23">
        <f>-29553+9244</f>
        <v>-20309</v>
      </c>
      <c r="C50" s="2">
        <v>-15444</v>
      </c>
      <c r="D50" s="9">
        <f>+B50/C50-1</f>
        <v>0.31500906500906511</v>
      </c>
    </row>
    <row r="51" spans="1:4" ht="13.2" x14ac:dyDescent="0.35">
      <c r="A51" s="7" t="s">
        <v>43</v>
      </c>
      <c r="B51" s="16">
        <f>(-11024-3510-16827-9244-18095-1304)*0</f>
        <v>0</v>
      </c>
      <c r="C51" s="16">
        <v>0</v>
      </c>
      <c r="D51" s="9"/>
    </row>
    <row r="52" spans="1:4" ht="13.2" x14ac:dyDescent="0.35">
      <c r="A52" s="1" t="s">
        <v>11</v>
      </c>
      <c r="B52" s="25">
        <f>SUM(B48:B51)</f>
        <v>255127</v>
      </c>
      <c r="C52" s="14">
        <f>SUM(C48:C51)</f>
        <v>191611</v>
      </c>
      <c r="D52" s="9">
        <f>+B52/C52-1</f>
        <v>0.3314841005996525</v>
      </c>
    </row>
    <row r="55" spans="1:4" x14ac:dyDescent="0.2">
      <c r="A55" s="29" t="s">
        <v>39</v>
      </c>
      <c r="B55" s="28"/>
      <c r="C55" s="28"/>
      <c r="D55" s="28"/>
    </row>
    <row r="56" spans="1:4" x14ac:dyDescent="0.2">
      <c r="A56" s="29" t="s">
        <v>49</v>
      </c>
      <c r="B56" s="28"/>
      <c r="C56" s="28"/>
      <c r="D56" s="28"/>
    </row>
    <row r="57" spans="1:4" x14ac:dyDescent="0.2">
      <c r="A57" s="28" t="s">
        <v>51</v>
      </c>
      <c r="B57" s="28"/>
      <c r="C57" s="28"/>
      <c r="D57" s="28"/>
    </row>
    <row r="59" spans="1:4" x14ac:dyDescent="0.2">
      <c r="B59" s="19"/>
      <c r="C59" s="19"/>
      <c r="D59" s="20"/>
    </row>
  </sheetData>
  <mergeCells count="4">
    <mergeCell ref="A1:D1"/>
    <mergeCell ref="A2:D2"/>
    <mergeCell ref="A3:D3"/>
    <mergeCell ref="A4:D4"/>
  </mergeCells>
  <printOptions horizontalCentered="1"/>
  <pageMargins left="0.75" right="0.75" top="1" bottom="1" header="0.5" footer="0.5"/>
  <pageSetup scale="9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
  <sheetViews>
    <sheetView workbookViewId="0">
      <selection sqref="A1:D1"/>
    </sheetView>
  </sheetViews>
  <sheetFormatPr defaultColWidth="9.109375" defaultRowHeight="11.4" x14ac:dyDescent="0.2"/>
  <cols>
    <col min="1" max="1" width="48.6640625" style="1" customWidth="1"/>
    <col min="2" max="3" width="17.33203125" style="1" customWidth="1"/>
    <col min="4" max="4" width="8.6640625" style="1" customWidth="1"/>
    <col min="5" max="5" width="3" style="1" customWidth="1"/>
    <col min="6" max="6" width="2.44140625" style="1" customWidth="1"/>
    <col min="7" max="7" width="16.5546875" style="1" bestFit="1" customWidth="1"/>
    <col min="8" max="16384" width="9.109375" style="1"/>
  </cols>
  <sheetData>
    <row r="1" spans="1:5" ht="12" x14ac:dyDescent="0.25">
      <c r="A1" s="100" t="s">
        <v>13</v>
      </c>
      <c r="B1" s="100"/>
      <c r="C1" s="100"/>
      <c r="D1" s="100"/>
      <c r="E1" s="18"/>
    </row>
    <row r="2" spans="1:5" ht="12" x14ac:dyDescent="0.25">
      <c r="A2" s="100" t="s">
        <v>32</v>
      </c>
      <c r="B2" s="100"/>
      <c r="C2" s="100"/>
      <c r="D2" s="100"/>
      <c r="E2" s="18"/>
    </row>
    <row r="3" spans="1:5" ht="12" x14ac:dyDescent="0.25">
      <c r="A3" s="100" t="s">
        <v>29</v>
      </c>
      <c r="B3" s="100"/>
      <c r="C3" s="100"/>
      <c r="D3" s="100"/>
      <c r="E3" s="11"/>
    </row>
    <row r="4" spans="1:5" x14ac:dyDescent="0.2">
      <c r="A4" s="101" t="s">
        <v>0</v>
      </c>
      <c r="B4" s="101"/>
      <c r="C4" s="101"/>
      <c r="D4" s="101"/>
    </row>
    <row r="6" spans="1:5" x14ac:dyDescent="0.2">
      <c r="B6" s="11" t="s">
        <v>18</v>
      </c>
      <c r="C6" s="11" t="str">
        <f>B6</f>
        <v>For the Three</v>
      </c>
      <c r="D6" s="11"/>
      <c r="E6" s="11"/>
    </row>
    <row r="7" spans="1:5" x14ac:dyDescent="0.2">
      <c r="B7" s="11" t="str">
        <f>'Inc. Stmt - Reported - YTD'!B7</f>
        <v>Months Ended</v>
      </c>
      <c r="C7" s="11" t="str">
        <f>B7</f>
        <v>Months Ended</v>
      </c>
      <c r="D7" s="11" t="s">
        <v>9</v>
      </c>
      <c r="E7" s="11"/>
    </row>
    <row r="8" spans="1:5" ht="13.2" x14ac:dyDescent="0.35">
      <c r="B8" s="15" t="str">
        <f>'Inc. Stmt - Reported - YTD'!B8</f>
        <v>August 31, 2003</v>
      </c>
      <c r="C8" s="15" t="str">
        <f>'Inc. Stmt - Reported - YTD'!C8</f>
        <v>August 31, 2002</v>
      </c>
      <c r="D8" s="13" t="s">
        <v>10</v>
      </c>
      <c r="E8" s="13"/>
    </row>
    <row r="9" spans="1:5" x14ac:dyDescent="0.2">
      <c r="A9" s="3" t="s">
        <v>15</v>
      </c>
      <c r="B9" s="1">
        <v>1148213</v>
      </c>
      <c r="C9" s="1">
        <v>898997</v>
      </c>
      <c r="D9" s="9">
        <f t="shared" ref="D9:D14" si="0">+B9/C9-1</f>
        <v>0.27721560806098355</v>
      </c>
    </row>
    <row r="10" spans="1:5" ht="13.2" x14ac:dyDescent="0.35">
      <c r="A10" s="3" t="s">
        <v>17</v>
      </c>
      <c r="B10" s="6">
        <v>-239453</v>
      </c>
      <c r="C10" s="6">
        <v>-209191</v>
      </c>
      <c r="D10" s="9">
        <f t="shared" si="0"/>
        <v>0.144662055250943</v>
      </c>
    </row>
    <row r="11" spans="1:5" x14ac:dyDescent="0.2">
      <c r="A11" s="1" t="s">
        <v>1</v>
      </c>
      <c r="B11" s="23">
        <f>B9+B10</f>
        <v>908760</v>
      </c>
      <c r="C11" s="23">
        <f>C9+C10</f>
        <v>689806</v>
      </c>
      <c r="D11" s="9">
        <f t="shared" si="0"/>
        <v>0.31741388158409767</v>
      </c>
    </row>
    <row r="12" spans="1:5" ht="13.2" x14ac:dyDescent="0.35">
      <c r="A12" s="1" t="s">
        <v>2</v>
      </c>
      <c r="B12" s="6">
        <v>-670532</v>
      </c>
      <c r="C12" s="6">
        <v>-496544</v>
      </c>
      <c r="D12" s="9">
        <f t="shared" si="0"/>
        <v>0.35039795063478762</v>
      </c>
    </row>
    <row r="13" spans="1:5" x14ac:dyDescent="0.2">
      <c r="A13" s="7" t="s">
        <v>22</v>
      </c>
      <c r="B13" s="2">
        <f>SUM(B11:B12)</f>
        <v>238228</v>
      </c>
      <c r="C13" s="2">
        <f>C11+C12</f>
        <v>193262</v>
      </c>
      <c r="D13" s="9">
        <f t="shared" si="0"/>
        <v>0.23266860531299471</v>
      </c>
    </row>
    <row r="14" spans="1:5" x14ac:dyDescent="0.2">
      <c r="A14" s="1" t="s">
        <v>16</v>
      </c>
      <c r="B14" s="23">
        <v>-124989</v>
      </c>
      <c r="C14" s="23">
        <v>-87616</v>
      </c>
      <c r="D14" s="9">
        <f t="shared" si="0"/>
        <v>0.42655451059167282</v>
      </c>
    </row>
    <row r="15" spans="1:5" ht="13.2" x14ac:dyDescent="0.35">
      <c r="A15" s="1" t="s">
        <v>30</v>
      </c>
      <c r="B15" s="6">
        <f>-16104-979</f>
        <v>-17083</v>
      </c>
      <c r="C15" s="16">
        <v>0</v>
      </c>
      <c r="D15" s="9" t="s">
        <v>21</v>
      </c>
    </row>
    <row r="16" spans="1:5" x14ac:dyDescent="0.2">
      <c r="A16" s="7" t="s">
        <v>23</v>
      </c>
      <c r="B16" s="23">
        <f>SUM(B13:B15)</f>
        <v>96156</v>
      </c>
      <c r="C16" s="23">
        <f>SUM(C13:C15)</f>
        <v>105646</v>
      </c>
      <c r="D16" s="9">
        <f t="shared" ref="D16:D21" si="1">+B16/C16-1</f>
        <v>-8.9828294492929173E-2</v>
      </c>
    </row>
    <row r="17" spans="1:8" x14ac:dyDescent="0.2">
      <c r="A17" s="7" t="s">
        <v>47</v>
      </c>
      <c r="B17" s="23">
        <v>511</v>
      </c>
      <c r="C17" s="23">
        <v>3172</v>
      </c>
      <c r="D17" s="9">
        <f t="shared" si="1"/>
        <v>-0.83890290037831017</v>
      </c>
    </row>
    <row r="18" spans="1:8" ht="13.2" x14ac:dyDescent="0.35">
      <c r="A18" s="7" t="s">
        <v>3</v>
      </c>
      <c r="B18" s="24">
        <v>-41098</v>
      </c>
      <c r="C18" s="24">
        <v>-27151</v>
      </c>
      <c r="D18" s="9">
        <f t="shared" si="1"/>
        <v>0.51368273728407798</v>
      </c>
    </row>
    <row r="19" spans="1:8" x14ac:dyDescent="0.2">
      <c r="A19" s="7" t="s">
        <v>46</v>
      </c>
      <c r="B19" s="23">
        <f>SUM(B16:B18)</f>
        <v>55569</v>
      </c>
      <c r="C19" s="23">
        <f>SUM(C16:C18)</f>
        <v>81667</v>
      </c>
      <c r="D19" s="9">
        <f t="shared" si="1"/>
        <v>-0.31956604258758126</v>
      </c>
    </row>
    <row r="20" spans="1:8" ht="13.2" x14ac:dyDescent="0.35">
      <c r="A20" s="1" t="s">
        <v>12</v>
      </c>
      <c r="B20" s="24">
        <f>-ROUND(B19*36%,0)</f>
        <v>-20005</v>
      </c>
      <c r="C20" s="24">
        <v>-32095</v>
      </c>
      <c r="D20" s="9">
        <f t="shared" si="1"/>
        <v>-0.37669418912603214</v>
      </c>
    </row>
    <row r="21" spans="1:8" x14ac:dyDescent="0.2">
      <c r="A21" s="7" t="s">
        <v>31</v>
      </c>
      <c r="B21" s="23">
        <f>SUM(B19:B20)</f>
        <v>35564</v>
      </c>
      <c r="C21" s="23">
        <f>SUM(C19:C20)</f>
        <v>49572</v>
      </c>
      <c r="D21" s="9">
        <f t="shared" si="1"/>
        <v>-0.28257887517146774</v>
      </c>
    </row>
    <row r="22" spans="1:8" ht="13.2" x14ac:dyDescent="0.35">
      <c r="A22" s="1" t="s">
        <v>112</v>
      </c>
      <c r="B22" s="24">
        <v>-844</v>
      </c>
      <c r="C22" s="16">
        <v>0</v>
      </c>
      <c r="D22" s="9" t="s">
        <v>21</v>
      </c>
    </row>
    <row r="23" spans="1:8" ht="13.2" x14ac:dyDescent="0.35">
      <c r="A23" s="7" t="s">
        <v>113</v>
      </c>
      <c r="B23" s="25">
        <f>SUM(B21:B22)</f>
        <v>34720</v>
      </c>
      <c r="C23" s="25">
        <f>SUM(C19:C20)</f>
        <v>49572</v>
      </c>
      <c r="D23" s="9">
        <f>+B23/C23-1</f>
        <v>-0.29960461550875495</v>
      </c>
    </row>
    <row r="24" spans="1:8" ht="13.2" x14ac:dyDescent="0.35">
      <c r="A24" s="7"/>
      <c r="B24" s="25"/>
      <c r="C24" s="25"/>
      <c r="D24" s="9"/>
    </row>
    <row r="25" spans="1:8" ht="13.2" x14ac:dyDescent="0.35">
      <c r="A25" s="7"/>
      <c r="B25" s="25"/>
      <c r="C25" s="25"/>
      <c r="D25" s="9"/>
    </row>
    <row r="26" spans="1:8" ht="13.2" x14ac:dyDescent="0.35">
      <c r="A26" s="1" t="s">
        <v>4</v>
      </c>
      <c r="D26" s="9"/>
      <c r="G26" s="13"/>
      <c r="H26" s="13"/>
    </row>
    <row r="27" spans="1:8" ht="13.2" x14ac:dyDescent="0.35">
      <c r="A27" s="7" t="s">
        <v>24</v>
      </c>
      <c r="B27" s="4">
        <f>ROUND((B23)/B31,2)</f>
        <v>0.35</v>
      </c>
      <c r="C27" s="4">
        <f>ROUND(C23/C31,2)</f>
        <v>0.55000000000000004</v>
      </c>
      <c r="D27" s="9">
        <f>+B27/C27-1</f>
        <v>-0.36363636363636376</v>
      </c>
      <c r="G27" s="21"/>
      <c r="H27" s="13"/>
    </row>
    <row r="28" spans="1:8" ht="13.2" x14ac:dyDescent="0.35">
      <c r="A28" s="7" t="s">
        <v>25</v>
      </c>
      <c r="B28" s="4">
        <f>ROUND(B21/B32,2)</f>
        <v>0.34</v>
      </c>
      <c r="C28" s="4">
        <f>ROUND(C21/C32,2)</f>
        <v>0.53</v>
      </c>
      <c r="D28" s="27">
        <f>+B28/C28-1</f>
        <v>-0.35849056603773588</v>
      </c>
      <c r="G28" s="22"/>
      <c r="H28" s="13"/>
    </row>
    <row r="29" spans="1:8" x14ac:dyDescent="0.2">
      <c r="A29" s="12"/>
      <c r="B29" s="4"/>
      <c r="C29" s="4"/>
      <c r="D29" s="9"/>
      <c r="G29" s="9"/>
      <c r="H29" s="9"/>
    </row>
    <row r="30" spans="1:8" x14ac:dyDescent="0.2">
      <c r="A30" s="1" t="s">
        <v>5</v>
      </c>
      <c r="D30" s="9"/>
    </row>
    <row r="31" spans="1:8" x14ac:dyDescent="0.2">
      <c r="A31" s="7" t="s">
        <v>24</v>
      </c>
      <c r="B31" s="2">
        <v>98572</v>
      </c>
      <c r="C31" s="2">
        <v>89691</v>
      </c>
      <c r="D31" s="9">
        <f>+B31/C31-1</f>
        <v>9.9017738680581058E-2</v>
      </c>
    </row>
    <row r="32" spans="1:8" x14ac:dyDescent="0.2">
      <c r="A32" s="7" t="s">
        <v>25</v>
      </c>
      <c r="B32" s="23">
        <v>104131</v>
      </c>
      <c r="C32" s="2">
        <v>93029</v>
      </c>
      <c r="D32" s="9">
        <f>+B32/C32-1</f>
        <v>0.11933913080867264</v>
      </c>
    </row>
    <row r="33" spans="1:4" x14ac:dyDescent="0.2">
      <c r="A33" s="12"/>
      <c r="D33" s="9"/>
    </row>
    <row r="34" spans="1:4" x14ac:dyDescent="0.2">
      <c r="A34" s="1" t="s">
        <v>6</v>
      </c>
      <c r="D34" s="9"/>
    </row>
    <row r="35" spans="1:4" x14ac:dyDescent="0.2">
      <c r="A35" s="7" t="s">
        <v>7</v>
      </c>
      <c r="D35" s="9"/>
    </row>
    <row r="36" spans="1:4" x14ac:dyDescent="0.2">
      <c r="A36" s="7" t="s">
        <v>33</v>
      </c>
      <c r="D36" s="9"/>
    </row>
    <row r="37" spans="1:4" x14ac:dyDescent="0.2">
      <c r="A37" s="7" t="s">
        <v>34</v>
      </c>
      <c r="B37" s="1">
        <v>247414</v>
      </c>
      <c r="C37" s="1">
        <v>219807</v>
      </c>
      <c r="D37" s="9">
        <f>+B37/C37-1</f>
        <v>0.12559654606086257</v>
      </c>
    </row>
    <row r="38" spans="1:4" ht="13.2" x14ac:dyDescent="0.35">
      <c r="A38" s="7" t="s">
        <v>27</v>
      </c>
      <c r="B38" s="6">
        <v>72504</v>
      </c>
      <c r="C38" s="6">
        <v>66687</v>
      </c>
      <c r="D38" s="9">
        <f>+B38/C38-1</f>
        <v>8.7228395339421505E-2</v>
      </c>
    </row>
    <row r="39" spans="1:4" x14ac:dyDescent="0.2">
      <c r="A39" s="7" t="s">
        <v>28</v>
      </c>
      <c r="B39" s="1">
        <f>+B37+B38</f>
        <v>319918</v>
      </c>
      <c r="C39" s="1">
        <f>+C37+C38</f>
        <v>286494</v>
      </c>
      <c r="D39" s="9">
        <f>+B39/C39-1</f>
        <v>0.11666561952431809</v>
      </c>
    </row>
    <row r="40" spans="1:4" x14ac:dyDescent="0.2">
      <c r="A40" s="7" t="s">
        <v>35</v>
      </c>
      <c r="D40" s="9"/>
    </row>
    <row r="41" spans="1:4" x14ac:dyDescent="0.2">
      <c r="A41" s="7" t="s">
        <v>48</v>
      </c>
      <c r="B41" s="28">
        <v>382755</v>
      </c>
      <c r="C41" s="28">
        <v>237119</v>
      </c>
      <c r="D41" s="9">
        <f>+B41/C41-1</f>
        <v>0.61418949978702675</v>
      </c>
    </row>
    <row r="42" spans="1:4" ht="13.2" x14ac:dyDescent="0.35">
      <c r="A42" s="7" t="s">
        <v>36</v>
      </c>
      <c r="B42" s="24">
        <v>206087</v>
      </c>
      <c r="C42" s="24">
        <v>166193</v>
      </c>
      <c r="D42" s="9">
        <f>+B42/C42-1</f>
        <v>0.24004621133260717</v>
      </c>
    </row>
    <row r="43" spans="1:4" ht="13.2" x14ac:dyDescent="0.35">
      <c r="A43" s="7" t="s">
        <v>28</v>
      </c>
      <c r="B43" s="5">
        <f>+B41+B42</f>
        <v>588842</v>
      </c>
      <c r="C43" s="31">
        <f>+C41+C42</f>
        <v>403312</v>
      </c>
      <c r="D43" s="9">
        <f>+B43/C43-1</f>
        <v>0.46001606696552555</v>
      </c>
    </row>
    <row r="44" spans="1:4" ht="13.2" x14ac:dyDescent="0.35">
      <c r="A44" s="7" t="s">
        <v>8</v>
      </c>
      <c r="B44" s="14">
        <f>B39+B43</f>
        <v>908760</v>
      </c>
      <c r="C44" s="14">
        <f>C39+C43</f>
        <v>689806</v>
      </c>
      <c r="D44" s="10">
        <f>+B44/C44-1</f>
        <v>0.31741388158409767</v>
      </c>
    </row>
    <row r="45" spans="1:4" x14ac:dyDescent="0.2">
      <c r="D45" s="10"/>
    </row>
    <row r="46" spans="1:4" x14ac:dyDescent="0.2">
      <c r="A46" s="1" t="s">
        <v>14</v>
      </c>
      <c r="D46" s="9"/>
    </row>
    <row r="47" spans="1:4" x14ac:dyDescent="0.2">
      <c r="A47" s="7" t="s">
        <v>33</v>
      </c>
      <c r="B47" s="1">
        <v>70117</v>
      </c>
      <c r="C47" s="1">
        <v>61555</v>
      </c>
      <c r="D47" s="9">
        <f>+B47/C47-1</f>
        <v>0.13909511818698728</v>
      </c>
    </row>
    <row r="48" spans="1:4" x14ac:dyDescent="0.2">
      <c r="A48" s="7" t="s">
        <v>35</v>
      </c>
      <c r="B48" s="23">
        <v>84413</v>
      </c>
      <c r="C48" s="2">
        <v>52241</v>
      </c>
      <c r="D48" s="9">
        <f>+B48/C48-1</f>
        <v>0.61583813479833838</v>
      </c>
    </row>
    <row r="49" spans="1:4" x14ac:dyDescent="0.2">
      <c r="A49" s="7" t="s">
        <v>26</v>
      </c>
      <c r="B49" s="23">
        <v>-10238</v>
      </c>
      <c r="C49" s="2">
        <v>-8150</v>
      </c>
      <c r="D49" s="9">
        <f>+B49/C49-1</f>
        <v>0.25619631901840489</v>
      </c>
    </row>
    <row r="50" spans="1:4" ht="13.2" x14ac:dyDescent="0.35">
      <c r="A50" s="7" t="s">
        <v>44</v>
      </c>
      <c r="B50" s="24">
        <v>-48136</v>
      </c>
      <c r="C50" s="16">
        <v>0</v>
      </c>
      <c r="D50" s="9" t="s">
        <v>21</v>
      </c>
    </row>
    <row r="51" spans="1:4" ht="13.2" x14ac:dyDescent="0.35">
      <c r="A51" s="1" t="s">
        <v>11</v>
      </c>
      <c r="B51" s="14">
        <f>SUM(B47:B50)</f>
        <v>96156</v>
      </c>
      <c r="C51" s="14">
        <f>SUM(C47:C50)</f>
        <v>105646</v>
      </c>
      <c r="D51" s="9">
        <f>+B51/C51-1</f>
        <v>-8.9828294492929173E-2</v>
      </c>
    </row>
    <row r="55" spans="1:4" x14ac:dyDescent="0.2">
      <c r="A55" s="29" t="s">
        <v>52</v>
      </c>
      <c r="B55" s="28"/>
      <c r="C55" s="28"/>
      <c r="D55" s="28"/>
    </row>
    <row r="56" spans="1:4" x14ac:dyDescent="0.2">
      <c r="A56" s="29" t="s">
        <v>104</v>
      </c>
      <c r="B56" s="28"/>
      <c r="C56" s="28"/>
      <c r="D56" s="28"/>
    </row>
    <row r="57" spans="1:4" x14ac:dyDescent="0.2">
      <c r="A57" s="29"/>
      <c r="B57" s="28"/>
      <c r="C57" s="28"/>
      <c r="D57" s="28"/>
    </row>
    <row r="58" spans="1:4" x14ac:dyDescent="0.2">
      <c r="A58" s="29"/>
      <c r="B58" s="28"/>
      <c r="C58" s="28"/>
      <c r="D58" s="28"/>
    </row>
    <row r="59" spans="1:4" x14ac:dyDescent="0.2">
      <c r="A59" s="29"/>
      <c r="B59" s="28"/>
      <c r="C59" s="28"/>
      <c r="D59" s="28"/>
    </row>
    <row r="60" spans="1:4" x14ac:dyDescent="0.2">
      <c r="A60" s="28"/>
      <c r="B60" s="28"/>
      <c r="C60" s="28"/>
      <c r="D60" s="28"/>
    </row>
    <row r="61" spans="1:4" x14ac:dyDescent="0.2">
      <c r="A61" s="28"/>
      <c r="B61" s="28"/>
      <c r="C61" s="28"/>
      <c r="D61" s="28"/>
    </row>
    <row r="62" spans="1:4" x14ac:dyDescent="0.2">
      <c r="A62" s="28"/>
      <c r="B62" s="28"/>
      <c r="C62" s="28"/>
      <c r="D62" s="28"/>
    </row>
    <row r="63" spans="1:4" x14ac:dyDescent="0.2">
      <c r="A63" s="28"/>
      <c r="B63" s="28"/>
      <c r="C63" s="28"/>
      <c r="D63" s="28"/>
    </row>
    <row r="64" spans="1:4" x14ac:dyDescent="0.2">
      <c r="A64" s="28"/>
      <c r="B64" s="28"/>
      <c r="C64" s="28"/>
      <c r="D64" s="28"/>
    </row>
    <row r="65" spans="1:4" x14ac:dyDescent="0.2">
      <c r="A65" s="28"/>
      <c r="B65" s="28"/>
      <c r="C65" s="28"/>
      <c r="D65" s="28"/>
    </row>
  </sheetData>
  <mergeCells count="4">
    <mergeCell ref="A1:D1"/>
    <mergeCell ref="A2:D2"/>
    <mergeCell ref="A3:D3"/>
    <mergeCell ref="A4:D4"/>
  </mergeCells>
  <printOptions horizontalCentered="1"/>
  <pageMargins left="0.75" right="0.75" top="1" bottom="1" header="0.5" footer="0.5"/>
  <pageSetup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8"/>
  <sheetViews>
    <sheetView workbookViewId="0">
      <selection sqref="A1:D1"/>
    </sheetView>
  </sheetViews>
  <sheetFormatPr defaultColWidth="9.109375" defaultRowHeight="11.4" x14ac:dyDescent="0.2"/>
  <cols>
    <col min="1" max="1" width="48.6640625" style="1" customWidth="1"/>
    <col min="2" max="3" width="17.33203125" style="1" customWidth="1"/>
    <col min="4" max="4" width="8.6640625" style="1" customWidth="1"/>
    <col min="5" max="5" width="3" style="1" hidden="1" customWidth="1"/>
    <col min="6" max="6" width="17" style="1" hidden="1" customWidth="1"/>
    <col min="7" max="7" width="9.109375" style="1" hidden="1" customWidth="1"/>
    <col min="8" max="8" width="2.44140625" style="1" hidden="1" customWidth="1"/>
    <col min="9" max="16384" width="9.109375" style="1"/>
  </cols>
  <sheetData>
    <row r="1" spans="1:5" ht="12" x14ac:dyDescent="0.25">
      <c r="A1" s="100" t="s">
        <v>13</v>
      </c>
      <c r="B1" s="100"/>
      <c r="C1" s="100"/>
      <c r="D1" s="100"/>
      <c r="E1" s="18"/>
    </row>
    <row r="2" spans="1:5" ht="12" x14ac:dyDescent="0.25">
      <c r="A2" s="100" t="s">
        <v>37</v>
      </c>
      <c r="B2" s="100"/>
      <c r="C2" s="100"/>
      <c r="D2" s="100"/>
      <c r="E2" s="18"/>
    </row>
    <row r="3" spans="1:5" ht="12" x14ac:dyDescent="0.25">
      <c r="A3" s="100" t="s">
        <v>38</v>
      </c>
      <c r="B3" s="100"/>
      <c r="C3" s="100"/>
      <c r="D3" s="100"/>
      <c r="E3" s="11"/>
    </row>
    <row r="4" spans="1:5" x14ac:dyDescent="0.2">
      <c r="A4" s="101" t="s">
        <v>0</v>
      </c>
      <c r="B4" s="101"/>
      <c r="C4" s="101"/>
      <c r="D4" s="101"/>
    </row>
    <row r="6" spans="1:5" x14ac:dyDescent="0.2">
      <c r="B6" s="11" t="str">
        <f>'Inc. Stmt - Reported QTR'!B6</f>
        <v>For the Three</v>
      </c>
      <c r="C6" s="11" t="str">
        <f>'Inc. Stmt - Reported QTR'!C6</f>
        <v>For the Three</v>
      </c>
      <c r="D6" s="11"/>
      <c r="E6" s="11"/>
    </row>
    <row r="7" spans="1:5" x14ac:dyDescent="0.2">
      <c r="B7" s="11" t="str">
        <f>'Inc. Stmt - Reported QTR'!B7</f>
        <v>Months Ended</v>
      </c>
      <c r="C7" s="11" t="str">
        <f>'Inc. Stmt - Reported QTR'!C7</f>
        <v>Months Ended</v>
      </c>
      <c r="D7" s="11" t="s">
        <v>9</v>
      </c>
      <c r="E7" s="11"/>
    </row>
    <row r="8" spans="1:5" ht="13.2" x14ac:dyDescent="0.35">
      <c r="B8" s="15" t="str">
        <f>'Inc. Stmt - Reported QTR'!B8</f>
        <v>August 31, 2003</v>
      </c>
      <c r="C8" s="15" t="str">
        <f>'Inc. Stmt - Reported QTR'!C8</f>
        <v>August 31, 2002</v>
      </c>
      <c r="D8" s="13" t="s">
        <v>10</v>
      </c>
      <c r="E8" s="13"/>
    </row>
    <row r="9" spans="1:5" x14ac:dyDescent="0.2">
      <c r="A9" s="3" t="s">
        <v>15</v>
      </c>
      <c r="B9" s="1">
        <v>1148213</v>
      </c>
      <c r="C9" s="1">
        <v>898997</v>
      </c>
      <c r="D9" s="9">
        <f t="shared" ref="D9:D20" si="0">+B9/C9-1</f>
        <v>0.27721560806098355</v>
      </c>
    </row>
    <row r="10" spans="1:5" ht="13.2" x14ac:dyDescent="0.35">
      <c r="A10" s="3" t="s">
        <v>17</v>
      </c>
      <c r="B10" s="6">
        <v>-239453</v>
      </c>
      <c r="C10" s="6">
        <v>-209191</v>
      </c>
      <c r="D10" s="9">
        <f t="shared" si="0"/>
        <v>0.144662055250943</v>
      </c>
    </row>
    <row r="11" spans="1:5" x14ac:dyDescent="0.2">
      <c r="A11" s="1" t="s">
        <v>1</v>
      </c>
      <c r="B11" s="23">
        <f>B9+B10</f>
        <v>908760</v>
      </c>
      <c r="C11" s="23">
        <f>C9+C10</f>
        <v>689806</v>
      </c>
      <c r="D11" s="9">
        <f t="shared" si="0"/>
        <v>0.31741388158409767</v>
      </c>
    </row>
    <row r="12" spans="1:5" ht="13.2" x14ac:dyDescent="0.35">
      <c r="A12" s="1" t="s">
        <v>2</v>
      </c>
      <c r="B12" s="6">
        <f>-670532+9017+16827</f>
        <v>-644688</v>
      </c>
      <c r="C12" s="6">
        <v>-496544</v>
      </c>
      <c r="D12" s="9">
        <f t="shared" si="0"/>
        <v>0.29835019655861306</v>
      </c>
    </row>
    <row r="13" spans="1:5" x14ac:dyDescent="0.2">
      <c r="A13" s="7" t="s">
        <v>22</v>
      </c>
      <c r="B13" s="2">
        <f>SUM(B11:B12)</f>
        <v>264072</v>
      </c>
      <c r="C13" s="2">
        <f>C11+C12</f>
        <v>193262</v>
      </c>
      <c r="D13" s="9">
        <f t="shared" si="0"/>
        <v>0.36639380737030569</v>
      </c>
    </row>
    <row r="14" spans="1:5" x14ac:dyDescent="0.2">
      <c r="A14" s="1" t="s">
        <v>16</v>
      </c>
      <c r="B14" s="23">
        <f>-124989+5209</f>
        <v>-119780</v>
      </c>
      <c r="C14" s="23">
        <v>-87616</v>
      </c>
      <c r="D14" s="9">
        <f>+B14/C14-1</f>
        <v>0.36710189919649383</v>
      </c>
    </row>
    <row r="15" spans="1:5" ht="13.2" x14ac:dyDescent="0.35">
      <c r="A15" s="1" t="s">
        <v>30</v>
      </c>
      <c r="B15" s="16">
        <f>-16104-979+17083</f>
        <v>0</v>
      </c>
      <c r="C15" s="16">
        <v>0</v>
      </c>
      <c r="D15" s="9" t="s">
        <v>21</v>
      </c>
    </row>
    <row r="16" spans="1:5" x14ac:dyDescent="0.2">
      <c r="A16" s="7" t="s">
        <v>23</v>
      </c>
      <c r="B16" s="23">
        <f>SUM(B13:B15)</f>
        <v>144292</v>
      </c>
      <c r="C16" s="23">
        <f>SUM(C13:C15)</f>
        <v>105646</v>
      </c>
      <c r="D16" s="9">
        <f t="shared" si="0"/>
        <v>0.36580656153569469</v>
      </c>
    </row>
    <row r="17" spans="1:8" x14ac:dyDescent="0.2">
      <c r="A17" s="7" t="s">
        <v>47</v>
      </c>
      <c r="B17" s="23">
        <v>511</v>
      </c>
      <c r="C17" s="23">
        <v>3172</v>
      </c>
      <c r="D17" s="9">
        <f t="shared" si="0"/>
        <v>-0.83890290037831017</v>
      </c>
    </row>
    <row r="18" spans="1:8" ht="13.2" x14ac:dyDescent="0.35">
      <c r="A18" s="7" t="s">
        <v>3</v>
      </c>
      <c r="B18" s="24">
        <v>-41098</v>
      </c>
      <c r="C18" s="24">
        <v>-27151</v>
      </c>
      <c r="D18" s="9">
        <f t="shared" si="0"/>
        <v>0.51368273728407798</v>
      </c>
    </row>
    <row r="19" spans="1:8" x14ac:dyDescent="0.2">
      <c r="A19" s="7" t="s">
        <v>46</v>
      </c>
      <c r="B19" s="23">
        <f>SUM(B16:B18)</f>
        <v>103705</v>
      </c>
      <c r="C19" s="23">
        <f>SUM(C16:C18)</f>
        <v>81667</v>
      </c>
      <c r="D19" s="9">
        <f t="shared" si="0"/>
        <v>0.2698519597879192</v>
      </c>
      <c r="G19" s="30" t="s">
        <v>45</v>
      </c>
    </row>
    <row r="20" spans="1:8" ht="13.2" x14ac:dyDescent="0.35">
      <c r="A20" s="1" t="s">
        <v>12</v>
      </c>
      <c r="B20" s="24">
        <f>-ROUND(B19*36%,0)</f>
        <v>-37334</v>
      </c>
      <c r="C20" s="24">
        <v>-32095</v>
      </c>
      <c r="D20" s="9">
        <f t="shared" si="0"/>
        <v>0.16323414862128049</v>
      </c>
      <c r="G20" s="30">
        <f>'Inc. Stmt - Reported - YTD'!B21-4444</f>
        <v>-46493</v>
      </c>
    </row>
    <row r="21" spans="1:8" x14ac:dyDescent="0.2">
      <c r="A21" s="7" t="s">
        <v>31</v>
      </c>
      <c r="B21" s="23">
        <f>SUM(B19:B20)</f>
        <v>66371</v>
      </c>
      <c r="C21" s="23">
        <f>SUM(C19:C20)</f>
        <v>49572</v>
      </c>
      <c r="D21" s="9">
        <f>+B21/C21-1</f>
        <v>0.33888081981763896</v>
      </c>
    </row>
    <row r="22" spans="1:8" ht="13.2" x14ac:dyDescent="0.35">
      <c r="A22" s="1" t="s">
        <v>112</v>
      </c>
      <c r="B22" s="24">
        <v>-844</v>
      </c>
      <c r="C22" s="16">
        <v>0</v>
      </c>
      <c r="D22" s="9" t="s">
        <v>21</v>
      </c>
    </row>
    <row r="23" spans="1:8" ht="13.2" x14ac:dyDescent="0.35">
      <c r="A23" s="7" t="s">
        <v>113</v>
      </c>
      <c r="B23" s="25">
        <f>SUM(B21:B22)</f>
        <v>65527</v>
      </c>
      <c r="C23" s="25">
        <f>SUM(C19:C20)</f>
        <v>49572</v>
      </c>
      <c r="D23" s="9">
        <f>+B23/C23-1</f>
        <v>0.32185507948035186</v>
      </c>
    </row>
    <row r="24" spans="1:8" ht="13.2" x14ac:dyDescent="0.35">
      <c r="A24" s="7"/>
      <c r="B24" s="25"/>
      <c r="C24" s="25"/>
      <c r="D24" s="9"/>
    </row>
    <row r="25" spans="1:8" ht="13.2" x14ac:dyDescent="0.35">
      <c r="A25" s="7"/>
      <c r="B25" s="25"/>
      <c r="C25" s="25"/>
      <c r="D25" s="9"/>
    </row>
    <row r="26" spans="1:8" ht="13.2" x14ac:dyDescent="0.35">
      <c r="A26" s="1" t="s">
        <v>4</v>
      </c>
      <c r="D26" s="9"/>
      <c r="G26" s="13"/>
      <c r="H26" s="13"/>
    </row>
    <row r="27" spans="1:8" ht="13.2" x14ac:dyDescent="0.35">
      <c r="A27" s="7" t="s">
        <v>24</v>
      </c>
      <c r="B27" s="4">
        <f>ROUND((B23)/B31,2)</f>
        <v>0.66</v>
      </c>
      <c r="C27" s="4">
        <f>ROUND(C23/C31,2)</f>
        <v>0.55000000000000004</v>
      </c>
      <c r="D27" s="9">
        <f>+B27/C27-1</f>
        <v>0.19999999999999996</v>
      </c>
      <c r="G27" s="21"/>
      <c r="H27" s="13"/>
    </row>
    <row r="28" spans="1:8" ht="13.2" x14ac:dyDescent="0.35">
      <c r="A28" s="7" t="s">
        <v>25</v>
      </c>
      <c r="B28" s="4">
        <f>ROUND(B21/B32,2)</f>
        <v>0.64</v>
      </c>
      <c r="C28" s="4">
        <f>ROUND(C21/C32,2)</f>
        <v>0.53</v>
      </c>
      <c r="D28" s="27">
        <f>+B28/C28-1</f>
        <v>0.20754716981132071</v>
      </c>
      <c r="G28" s="22"/>
      <c r="H28" s="13"/>
    </row>
    <row r="29" spans="1:8" x14ac:dyDescent="0.2">
      <c r="A29" s="12"/>
      <c r="B29" s="4"/>
      <c r="C29" s="4"/>
      <c r="D29" s="9"/>
      <c r="G29" s="9"/>
      <c r="H29" s="9"/>
    </row>
    <row r="30" spans="1:8" x14ac:dyDescent="0.2">
      <c r="A30" s="1" t="s">
        <v>5</v>
      </c>
      <c r="D30" s="9"/>
    </row>
    <row r="31" spans="1:8" x14ac:dyDescent="0.2">
      <c r="A31" s="7" t="s">
        <v>24</v>
      </c>
      <c r="B31" s="2">
        <v>98572</v>
      </c>
      <c r="C31" s="2">
        <v>89691</v>
      </c>
      <c r="D31" s="9">
        <f>+B31/C31-1</f>
        <v>9.9017738680581058E-2</v>
      </c>
    </row>
    <row r="32" spans="1:8" x14ac:dyDescent="0.2">
      <c r="A32" s="7" t="s">
        <v>25</v>
      </c>
      <c r="B32" s="23">
        <v>104131</v>
      </c>
      <c r="C32" s="2">
        <v>93029</v>
      </c>
      <c r="D32" s="9">
        <f>+B32/C32-1</f>
        <v>0.11933913080867264</v>
      </c>
    </row>
    <row r="33" spans="1:4" x14ac:dyDescent="0.2">
      <c r="A33" s="12"/>
      <c r="D33" s="9"/>
    </row>
    <row r="34" spans="1:4" x14ac:dyDescent="0.2">
      <c r="A34" s="1" t="s">
        <v>6</v>
      </c>
      <c r="D34" s="9"/>
    </row>
    <row r="35" spans="1:4" x14ac:dyDescent="0.2">
      <c r="A35" s="7" t="s">
        <v>7</v>
      </c>
      <c r="D35" s="9"/>
    </row>
    <row r="36" spans="1:4" x14ac:dyDescent="0.2">
      <c r="A36" s="7" t="s">
        <v>33</v>
      </c>
      <c r="D36" s="9"/>
    </row>
    <row r="37" spans="1:4" x14ac:dyDescent="0.2">
      <c r="A37" s="7" t="s">
        <v>34</v>
      </c>
      <c r="B37" s="1">
        <v>247414</v>
      </c>
      <c r="C37" s="1">
        <v>219807</v>
      </c>
      <c r="D37" s="9">
        <f>+B37/C37-1</f>
        <v>0.12559654606086257</v>
      </c>
    </row>
    <row r="38" spans="1:4" ht="13.2" x14ac:dyDescent="0.35">
      <c r="A38" s="7" t="s">
        <v>27</v>
      </c>
      <c r="B38" s="6">
        <v>72504</v>
      </c>
      <c r="C38" s="6">
        <v>66687</v>
      </c>
      <c r="D38" s="9">
        <f>+B38/C38-1</f>
        <v>8.7228395339421505E-2</v>
      </c>
    </row>
    <row r="39" spans="1:4" x14ac:dyDescent="0.2">
      <c r="A39" s="7" t="s">
        <v>28</v>
      </c>
      <c r="B39" s="1">
        <f>+B37+B38</f>
        <v>319918</v>
      </c>
      <c r="C39" s="1">
        <f>+C37+C38</f>
        <v>286494</v>
      </c>
      <c r="D39" s="9">
        <f>+B39/C39-1</f>
        <v>0.11666561952431809</v>
      </c>
    </row>
    <row r="40" spans="1:4" x14ac:dyDescent="0.2">
      <c r="A40" s="7" t="s">
        <v>35</v>
      </c>
      <c r="D40" s="9"/>
    </row>
    <row r="41" spans="1:4" x14ac:dyDescent="0.2">
      <c r="A41" s="7" t="s">
        <v>48</v>
      </c>
      <c r="B41" s="28">
        <v>382755</v>
      </c>
      <c r="C41" s="28">
        <v>237119</v>
      </c>
      <c r="D41" s="9">
        <f>+B41/C41-1</f>
        <v>0.61418949978702675</v>
      </c>
    </row>
    <row r="42" spans="1:4" ht="13.2" x14ac:dyDescent="0.35">
      <c r="A42" s="7" t="s">
        <v>36</v>
      </c>
      <c r="B42" s="24">
        <v>206087</v>
      </c>
      <c r="C42" s="24">
        <v>166193</v>
      </c>
      <c r="D42" s="9">
        <f>+B42/C42-1</f>
        <v>0.24004621133260717</v>
      </c>
    </row>
    <row r="43" spans="1:4" ht="13.2" x14ac:dyDescent="0.35">
      <c r="A43" s="7" t="s">
        <v>28</v>
      </c>
      <c r="B43" s="5">
        <f>+B41+B42</f>
        <v>588842</v>
      </c>
      <c r="C43" s="5">
        <f>+C41+C42</f>
        <v>403312</v>
      </c>
      <c r="D43" s="9">
        <f>+B43/C43-1</f>
        <v>0.46001606696552555</v>
      </c>
    </row>
    <row r="44" spans="1:4" ht="13.2" x14ac:dyDescent="0.35">
      <c r="A44" s="7" t="s">
        <v>8</v>
      </c>
      <c r="B44" s="14">
        <f>B39+B43</f>
        <v>908760</v>
      </c>
      <c r="C44" s="14">
        <f>C39+C43</f>
        <v>689806</v>
      </c>
      <c r="D44" s="10">
        <f>+B44/C44-1</f>
        <v>0.31741388158409767</v>
      </c>
    </row>
    <row r="45" spans="1:4" x14ac:dyDescent="0.2">
      <c r="D45" s="10"/>
    </row>
    <row r="46" spans="1:4" x14ac:dyDescent="0.2">
      <c r="A46" s="1" t="s">
        <v>14</v>
      </c>
      <c r="D46" s="9"/>
    </row>
    <row r="47" spans="1:4" x14ac:dyDescent="0.2">
      <c r="A47" s="7" t="s">
        <v>33</v>
      </c>
      <c r="B47" s="1">
        <v>70117</v>
      </c>
      <c r="C47" s="1">
        <v>61555</v>
      </c>
      <c r="D47" s="9">
        <f>+B47/C47-1</f>
        <v>0.13909511818698728</v>
      </c>
    </row>
    <row r="48" spans="1:4" x14ac:dyDescent="0.2">
      <c r="A48" s="7" t="s">
        <v>35</v>
      </c>
      <c r="B48" s="23">
        <v>84413</v>
      </c>
      <c r="C48" s="23">
        <v>52241</v>
      </c>
      <c r="D48" s="9">
        <f>+B48/C48-1</f>
        <v>0.61583813479833838</v>
      </c>
    </row>
    <row r="49" spans="1:4" x14ac:dyDescent="0.2">
      <c r="A49" s="7" t="s">
        <v>26</v>
      </c>
      <c r="B49" s="23">
        <v>-10238</v>
      </c>
      <c r="C49" s="23">
        <v>-8150</v>
      </c>
      <c r="D49" s="9">
        <f>+B49/C49-1</f>
        <v>0.25619631901840489</v>
      </c>
    </row>
    <row r="50" spans="1:4" ht="13.2" x14ac:dyDescent="0.35">
      <c r="A50" s="7" t="s">
        <v>43</v>
      </c>
      <c r="B50" s="16">
        <f>-48136*0</f>
        <v>0</v>
      </c>
      <c r="C50" s="16">
        <v>0</v>
      </c>
      <c r="D50" s="9"/>
    </row>
    <row r="51" spans="1:4" ht="13.2" x14ac:dyDescent="0.35">
      <c r="A51" s="1" t="s">
        <v>11</v>
      </c>
      <c r="B51" s="14">
        <f>SUM(B47:B50)</f>
        <v>144292</v>
      </c>
      <c r="C51" s="14">
        <f>SUM(C47:C50)</f>
        <v>105646</v>
      </c>
      <c r="D51" s="9">
        <f>+B51/C51-1</f>
        <v>0.36580656153569469</v>
      </c>
    </row>
    <row r="54" spans="1:4" x14ac:dyDescent="0.2">
      <c r="A54" s="29" t="s">
        <v>39</v>
      </c>
      <c r="B54" s="28"/>
      <c r="C54" s="28"/>
      <c r="D54" s="28"/>
    </row>
    <row r="55" spans="1:4" x14ac:dyDescent="0.2">
      <c r="A55" s="29" t="s">
        <v>49</v>
      </c>
      <c r="B55" s="28"/>
      <c r="C55" s="28"/>
      <c r="D55" s="28"/>
    </row>
    <row r="56" spans="1:4" x14ac:dyDescent="0.2">
      <c r="A56" s="28" t="s">
        <v>53</v>
      </c>
      <c r="B56" s="28"/>
      <c r="C56" s="28"/>
      <c r="D56" s="28"/>
    </row>
    <row r="58" spans="1:4" x14ac:dyDescent="0.2">
      <c r="B58" s="19"/>
      <c r="C58" s="19"/>
      <c r="D58" s="20"/>
    </row>
  </sheetData>
  <mergeCells count="4">
    <mergeCell ref="A1:D1"/>
    <mergeCell ref="A2:D2"/>
    <mergeCell ref="A3:D3"/>
    <mergeCell ref="A4:D4"/>
  </mergeCells>
  <printOptions horizontalCentered="1"/>
  <pageMargins left="0.75" right="0.75" top="1" bottom="1" header="0.5" footer="0.5"/>
  <pageSetup scale="9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5"/>
  <sheetViews>
    <sheetView workbookViewId="0">
      <selection sqref="A1:K1"/>
    </sheetView>
  </sheetViews>
  <sheetFormatPr defaultRowHeight="13.2" x14ac:dyDescent="0.25"/>
  <cols>
    <col min="1" max="1" width="30.5546875" customWidth="1"/>
    <col min="2" max="2" width="13.6640625" bestFit="1" customWidth="1"/>
    <col min="3" max="3" width="9.33203125" customWidth="1"/>
    <col min="4" max="4" width="13.6640625" bestFit="1" customWidth="1"/>
    <col min="5" max="5" width="9.33203125" hidden="1" customWidth="1"/>
    <col min="6" max="6" width="9.109375" hidden="1" customWidth="1"/>
    <col min="7" max="7" width="9.33203125" style="34" customWidth="1"/>
    <col min="8" max="8" width="5" customWidth="1"/>
    <col min="9" max="9" width="13.6640625" bestFit="1" customWidth="1"/>
    <col min="10" max="10" width="9.33203125" customWidth="1"/>
    <col min="11" max="11" width="13.6640625" bestFit="1" customWidth="1"/>
    <col min="12" max="12" width="9.33203125" hidden="1" customWidth="1"/>
    <col min="13" max="13" width="0" hidden="1" customWidth="1"/>
  </cols>
  <sheetData>
    <row r="1" spans="1:14" s="1" customFormat="1" x14ac:dyDescent="0.25">
      <c r="A1" s="105"/>
      <c r="B1" s="105"/>
      <c r="C1" s="105"/>
      <c r="D1" s="105"/>
      <c r="E1" s="105"/>
      <c r="F1" s="105"/>
      <c r="G1" s="105"/>
      <c r="H1" s="105"/>
      <c r="I1" s="105"/>
      <c r="J1" s="105"/>
      <c r="K1" s="105"/>
    </row>
    <row r="2" spans="1:14" s="1" customFormat="1" x14ac:dyDescent="0.25">
      <c r="A2" s="106" t="s">
        <v>58</v>
      </c>
      <c r="B2" s="106"/>
      <c r="C2" s="106"/>
      <c r="D2" s="106"/>
      <c r="E2" s="106"/>
      <c r="F2" s="106"/>
      <c r="G2" s="106"/>
      <c r="H2" s="106"/>
      <c r="I2" s="106"/>
      <c r="J2" s="106"/>
      <c r="K2" s="106"/>
    </row>
    <row r="3" spans="1:14" s="1" customFormat="1" x14ac:dyDescent="0.25">
      <c r="A3" s="107" t="s">
        <v>0</v>
      </c>
      <c r="B3" s="107"/>
      <c r="C3" s="107"/>
      <c r="D3" s="107"/>
      <c r="E3" s="107"/>
      <c r="F3" s="107"/>
      <c r="G3" s="107"/>
      <c r="H3" s="107"/>
      <c r="I3" s="107"/>
      <c r="J3" s="107"/>
      <c r="K3" s="107"/>
    </row>
    <row r="5" spans="1:14" ht="93.75" customHeight="1" x14ac:dyDescent="0.25">
      <c r="A5" s="104" t="s">
        <v>110</v>
      </c>
      <c r="B5" s="104"/>
      <c r="C5" s="104"/>
      <c r="D5" s="104"/>
      <c r="E5" s="104"/>
      <c r="F5" s="104"/>
      <c r="G5" s="104"/>
      <c r="H5" s="104"/>
      <c r="I5" s="104"/>
      <c r="J5" s="104"/>
      <c r="K5" s="104"/>
      <c r="L5" s="104"/>
      <c r="M5" s="104"/>
      <c r="N5" s="104"/>
    </row>
    <row r="6" spans="1:14" x14ac:dyDescent="0.25">
      <c r="A6" s="103"/>
      <c r="B6" s="103"/>
      <c r="C6" s="103"/>
      <c r="D6" s="103"/>
      <c r="E6" s="103"/>
      <c r="F6" s="103"/>
    </row>
    <row r="8" spans="1:14" x14ac:dyDescent="0.25">
      <c r="B8" s="11" t="s">
        <v>18</v>
      </c>
      <c r="C8" s="11"/>
      <c r="D8" s="11" t="s">
        <v>18</v>
      </c>
      <c r="E8" s="11"/>
      <c r="H8" s="11"/>
      <c r="I8" s="11" t="s">
        <v>40</v>
      </c>
      <c r="J8" s="11"/>
      <c r="K8" s="11" t="s">
        <v>40</v>
      </c>
      <c r="L8" s="11"/>
      <c r="N8" s="34"/>
    </row>
    <row r="9" spans="1:14" x14ac:dyDescent="0.25">
      <c r="B9" s="11" t="str">
        <f>'Inc. Stmt - Reported - YTD'!B7</f>
        <v>Months Ended</v>
      </c>
      <c r="C9" s="11"/>
      <c r="D9" s="11" t="str">
        <f>B9</f>
        <v>Months Ended</v>
      </c>
      <c r="E9" s="11"/>
      <c r="F9" s="42" t="s">
        <v>59</v>
      </c>
      <c r="G9" s="43"/>
      <c r="H9" s="11"/>
      <c r="I9" s="11" t="str">
        <f>B9</f>
        <v>Months Ended</v>
      </c>
      <c r="J9" s="11"/>
      <c r="K9" s="11" t="str">
        <f>B9</f>
        <v>Months Ended</v>
      </c>
      <c r="L9" s="11"/>
      <c r="M9" s="42" t="s">
        <v>59</v>
      </c>
      <c r="N9" s="43"/>
    </row>
    <row r="10" spans="1:14" ht="15" x14ac:dyDescent="0.4">
      <c r="B10" s="15" t="s">
        <v>41</v>
      </c>
      <c r="C10" s="44" t="s">
        <v>60</v>
      </c>
      <c r="D10" s="15" t="s">
        <v>42</v>
      </c>
      <c r="E10" s="13" t="s">
        <v>10</v>
      </c>
      <c r="G10" s="45" t="s">
        <v>60</v>
      </c>
      <c r="H10" s="15"/>
      <c r="I10" s="15" t="s">
        <v>41</v>
      </c>
      <c r="J10" s="44" t="s">
        <v>60</v>
      </c>
      <c r="K10" s="15" t="s">
        <v>42</v>
      </c>
      <c r="L10" s="13" t="s">
        <v>10</v>
      </c>
      <c r="N10" s="45" t="s">
        <v>60</v>
      </c>
    </row>
    <row r="11" spans="1:14" x14ac:dyDescent="0.25">
      <c r="G11" s="46"/>
      <c r="N11" s="46"/>
    </row>
    <row r="12" spans="1:14" ht="15" x14ac:dyDescent="0.4">
      <c r="A12" t="s">
        <v>61</v>
      </c>
      <c r="B12" s="41">
        <f>'Inc. Stmt - Reported QTR'!B11</f>
        <v>908760</v>
      </c>
      <c r="C12" s="48">
        <f>B12/B12</f>
        <v>1</v>
      </c>
      <c r="D12" s="41">
        <f>'Inc. Stmt - Reported QTR'!C11</f>
        <v>689806</v>
      </c>
      <c r="G12" s="49">
        <f>D12/D12</f>
        <v>1</v>
      </c>
      <c r="I12" s="41">
        <f>+'Inc. Stmt - Reported - YTD'!B11</f>
        <v>1680389</v>
      </c>
      <c r="J12" s="48">
        <f>I12/I12</f>
        <v>1</v>
      </c>
      <c r="K12" s="41">
        <f>+'Inc. Stmt - Reported - YTD'!C11</f>
        <v>1340199</v>
      </c>
      <c r="N12" s="49">
        <f>K12/K12</f>
        <v>1</v>
      </c>
    </row>
    <row r="13" spans="1:14" x14ac:dyDescent="0.25">
      <c r="G13" s="46"/>
      <c r="N13" s="46"/>
    </row>
    <row r="14" spans="1:14" x14ac:dyDescent="0.25">
      <c r="A14" t="s">
        <v>62</v>
      </c>
      <c r="B14" s="37">
        <f>'Inc. Stmt - Reported QTR'!B13</f>
        <v>238228</v>
      </c>
      <c r="C14" s="50">
        <f>B14/$B$12</f>
        <v>0.26214622122452574</v>
      </c>
      <c r="D14" s="37">
        <f>'Inc. Stmt - Reported QTR'!C13</f>
        <v>193262</v>
      </c>
      <c r="E14" s="51">
        <f>B14-D14</f>
        <v>44966</v>
      </c>
      <c r="F14" s="52">
        <f>B14/D14-1</f>
        <v>0.23266860531299471</v>
      </c>
      <c r="G14" s="53">
        <f>D14/$D$12</f>
        <v>0.28016862712124857</v>
      </c>
      <c r="H14" s="54"/>
      <c r="I14" s="37">
        <f>+'Inc. Stmt - Reported - YTD'!B13</f>
        <v>446140</v>
      </c>
      <c r="J14" s="50">
        <f>I14/$I$12</f>
        <v>0.26549804836856228</v>
      </c>
      <c r="K14" s="37">
        <f>+'Inc. Stmt - Reported - YTD'!C13</f>
        <v>369988</v>
      </c>
      <c r="L14" s="51">
        <f>I14-K14</f>
        <v>76152</v>
      </c>
      <c r="M14" s="52">
        <f>I14/K14-1</f>
        <v>0.20582289155323963</v>
      </c>
      <c r="N14" s="53">
        <f>K14/$K$12</f>
        <v>0.2760694493877402</v>
      </c>
    </row>
    <row r="15" spans="1:14" x14ac:dyDescent="0.25">
      <c r="A15" t="s">
        <v>55</v>
      </c>
      <c r="B15" s="38">
        <v>9017</v>
      </c>
      <c r="C15" s="55">
        <f>B15/$B$12</f>
        <v>9.9223117214666135E-3</v>
      </c>
      <c r="D15" s="63">
        <v>0</v>
      </c>
      <c r="E15" s="34"/>
      <c r="F15" s="34"/>
      <c r="G15" s="53"/>
      <c r="H15" s="68"/>
      <c r="I15" s="38">
        <f>+B15+[1]Reconciliation!$B$20</f>
        <v>14534</v>
      </c>
      <c r="J15" s="50">
        <f>I15/$I$12</f>
        <v>8.6491877773539338E-3</v>
      </c>
      <c r="K15" s="63">
        <v>0</v>
      </c>
      <c r="N15" s="53"/>
    </row>
    <row r="16" spans="1:14" ht="15" x14ac:dyDescent="0.4">
      <c r="A16" t="s">
        <v>111</v>
      </c>
      <c r="B16" s="40">
        <v>16827</v>
      </c>
      <c r="C16" s="55">
        <f>B16/$B$12</f>
        <v>1.8516439984154233E-2</v>
      </c>
      <c r="D16" s="65">
        <v>0</v>
      </c>
      <c r="G16" s="53"/>
      <c r="H16" s="54"/>
      <c r="I16" s="40">
        <f>+B16</f>
        <v>16827</v>
      </c>
      <c r="J16" s="50">
        <f>I16/$I$12</f>
        <v>1.0013752767960276E-2</v>
      </c>
      <c r="K16" s="65">
        <v>0</v>
      </c>
      <c r="N16" s="53"/>
    </row>
    <row r="17" spans="1:14" ht="15" x14ac:dyDescent="0.4">
      <c r="A17" t="s">
        <v>63</v>
      </c>
      <c r="B17" s="41">
        <f>SUM(B14:B16)</f>
        <v>264072</v>
      </c>
      <c r="C17" s="50">
        <f>B17/$B$12</f>
        <v>0.29058497293014657</v>
      </c>
      <c r="D17" s="41">
        <f>SUM(D14:D16)</f>
        <v>193262</v>
      </c>
      <c r="E17" s="51">
        <f>B17-D17</f>
        <v>70810</v>
      </c>
      <c r="F17" s="52">
        <f>B17/D17-1</f>
        <v>0.36639380737030569</v>
      </c>
      <c r="G17" s="53">
        <f>D17/$D$12</f>
        <v>0.28016862712124857</v>
      </c>
      <c r="I17" s="41">
        <f>SUM(I14:I16)</f>
        <v>477501</v>
      </c>
      <c r="J17" s="50">
        <f>I17/$I$12</f>
        <v>0.28416098891387648</v>
      </c>
      <c r="K17" s="41">
        <f>SUM(K14:K16)</f>
        <v>369988</v>
      </c>
      <c r="L17" s="51">
        <f>I17-K17</f>
        <v>107513</v>
      </c>
      <c r="M17" s="52">
        <f>I17/K17-1</f>
        <v>0.29058510005729921</v>
      </c>
      <c r="N17" s="53">
        <f>K17/$K$12</f>
        <v>0.2760694493877402</v>
      </c>
    </row>
    <row r="18" spans="1:14" x14ac:dyDescent="0.25">
      <c r="B18" s="56"/>
      <c r="C18" s="56"/>
      <c r="D18" s="39"/>
      <c r="I18" s="56"/>
      <c r="J18" s="56"/>
      <c r="K18" s="39"/>
      <c r="N18" s="34"/>
    </row>
    <row r="19" spans="1:14" x14ac:dyDescent="0.25">
      <c r="B19" s="56"/>
      <c r="C19" s="56"/>
      <c r="D19" s="39"/>
      <c r="I19" s="56"/>
      <c r="J19" s="56"/>
      <c r="K19" s="39"/>
      <c r="N19" s="34"/>
    </row>
    <row r="20" spans="1:14" x14ac:dyDescent="0.25">
      <c r="A20" t="s">
        <v>64</v>
      </c>
      <c r="B20" s="37">
        <f>'Inc. Stmt - Reported QTR'!B16</f>
        <v>96156</v>
      </c>
      <c r="C20" s="50">
        <f>B20/$B$12</f>
        <v>0.10581011488181698</v>
      </c>
      <c r="D20" s="37">
        <f>'Inc. Stmt - Reported QTR'!C16</f>
        <v>105646</v>
      </c>
      <c r="E20" s="51">
        <f>B20-D20</f>
        <v>-9490</v>
      </c>
      <c r="F20" s="52">
        <f>B20/D20-1</f>
        <v>-8.9828294492929173E-2</v>
      </c>
      <c r="G20" s="53">
        <f>D20/$D$12</f>
        <v>0.15315320539398034</v>
      </c>
      <c r="H20" s="51"/>
      <c r="I20" s="37">
        <f>+'Inc. Stmt - Reported - YTD'!B16</f>
        <v>195123</v>
      </c>
      <c r="J20" s="50">
        <f t="shared" ref="J20:J25" si="0">I20/$I$12</f>
        <v>0.11611775606719635</v>
      </c>
      <c r="K20" s="37">
        <f>+'Inc. Stmt - Reported - YTD'!C16</f>
        <v>191611</v>
      </c>
      <c r="L20" s="51">
        <f>I20-K20</f>
        <v>3512</v>
      </c>
      <c r="M20" s="52">
        <f>I20/K20-1</f>
        <v>1.83288015823726E-2</v>
      </c>
      <c r="N20" s="53">
        <f>K20/$K$12</f>
        <v>0.14297205116553585</v>
      </c>
    </row>
    <row r="21" spans="1:14" x14ac:dyDescent="0.25">
      <c r="A21" t="s">
        <v>55</v>
      </c>
      <c r="B21" s="38">
        <f>+B15</f>
        <v>9017</v>
      </c>
      <c r="C21" s="50">
        <f>B21/$B$12</f>
        <v>9.9223117214666135E-3</v>
      </c>
      <c r="D21" s="63">
        <f>+D15</f>
        <v>0</v>
      </c>
      <c r="E21" s="39">
        <f>B21-D21</f>
        <v>9017</v>
      </c>
      <c r="H21" s="57"/>
      <c r="I21" s="38">
        <f>+I15</f>
        <v>14534</v>
      </c>
      <c r="J21" s="50">
        <f t="shared" si="0"/>
        <v>8.6491877773539338E-3</v>
      </c>
      <c r="K21" s="63">
        <v>0</v>
      </c>
      <c r="L21" s="39">
        <f>I21-K21</f>
        <v>14534</v>
      </c>
      <c r="N21" s="34"/>
    </row>
    <row r="22" spans="1:14" x14ac:dyDescent="0.25">
      <c r="A22" t="s">
        <v>111</v>
      </c>
      <c r="B22" s="38">
        <f>B16</f>
        <v>16827</v>
      </c>
      <c r="C22" s="50">
        <f>B22/$B$12-0.001</f>
        <v>1.7516439984154232E-2</v>
      </c>
      <c r="D22" s="63">
        <v>0</v>
      </c>
      <c r="E22" s="39"/>
      <c r="H22" s="57"/>
      <c r="I22" s="38">
        <f>+I16</f>
        <v>16827</v>
      </c>
      <c r="J22" s="50">
        <f t="shared" si="0"/>
        <v>1.0013752767960276E-2</v>
      </c>
      <c r="K22" s="63">
        <v>0</v>
      </c>
      <c r="L22" s="39"/>
      <c r="N22" s="34"/>
    </row>
    <row r="23" spans="1:14" x14ac:dyDescent="0.25">
      <c r="A23" t="s">
        <v>56</v>
      </c>
      <c r="B23" s="38">
        <v>5209</v>
      </c>
      <c r="C23" s="50">
        <f>B23/$B$12</f>
        <v>5.731986443065276E-3</v>
      </c>
      <c r="D23" s="63">
        <v>0</v>
      </c>
      <c r="E23" s="39">
        <f>B23-D23</f>
        <v>5209</v>
      </c>
      <c r="H23" s="57"/>
      <c r="I23" s="38">
        <f>B23+[1]Reconciliation!$B$21</f>
        <v>9244</v>
      </c>
      <c r="J23" s="50">
        <f t="shared" si="0"/>
        <v>5.5011071841103458E-3</v>
      </c>
      <c r="K23" s="63">
        <v>0</v>
      </c>
      <c r="L23" s="39">
        <f>I23-K23</f>
        <v>9244</v>
      </c>
      <c r="N23" s="34"/>
    </row>
    <row r="24" spans="1:14" ht="15" x14ac:dyDescent="0.4">
      <c r="A24" t="s">
        <v>57</v>
      </c>
      <c r="B24" s="40">
        <f>-'Inc. Stmt - Reported QTR'!B15</f>
        <v>17083</v>
      </c>
      <c r="C24" s="50">
        <f>B24/$B$12</f>
        <v>1.8798142523878691E-2</v>
      </c>
      <c r="D24" s="65">
        <f>-'Inc. Stmt - Reported QTR'!C15</f>
        <v>0</v>
      </c>
      <c r="E24" s="58">
        <f>B24-D24</f>
        <v>17083</v>
      </c>
      <c r="H24" s="57"/>
      <c r="I24" s="40">
        <f>+B24+[1]Reconciliation!$B$22</f>
        <v>19399</v>
      </c>
      <c r="J24" s="50">
        <f t="shared" si="0"/>
        <v>1.154435074259591E-2</v>
      </c>
      <c r="K24" s="65">
        <v>0</v>
      </c>
      <c r="L24" s="58">
        <f>I24-K24</f>
        <v>19399</v>
      </c>
      <c r="N24" s="34"/>
    </row>
    <row r="25" spans="1:14" ht="15" x14ac:dyDescent="0.4">
      <c r="A25" t="s">
        <v>65</v>
      </c>
      <c r="B25" s="41">
        <f>SUM(B20:B24)</f>
        <v>144292</v>
      </c>
      <c r="C25" s="50">
        <f>B25/$B$12</f>
        <v>0.1587789955543818</v>
      </c>
      <c r="D25" s="41">
        <f>SUM(D20:D24)</f>
        <v>105646</v>
      </c>
      <c r="E25" s="51">
        <f>B25-D25</f>
        <v>38646</v>
      </c>
      <c r="F25" s="52">
        <f>B25/D25-1</f>
        <v>0.36580656153569469</v>
      </c>
      <c r="G25" s="53">
        <f>D25/$D$12</f>
        <v>0.15315320539398034</v>
      </c>
      <c r="H25" s="51"/>
      <c r="I25" s="41">
        <f>SUM(I20:I24)</f>
        <v>255127</v>
      </c>
      <c r="J25" s="50">
        <f t="shared" si="0"/>
        <v>0.1518261545392168</v>
      </c>
      <c r="K25" s="41">
        <f>SUM(K20:K24)</f>
        <v>191611</v>
      </c>
      <c r="L25" s="51">
        <f>I25-K25</f>
        <v>63516</v>
      </c>
      <c r="M25" s="52">
        <f>I25/K25-1</f>
        <v>0.3314841005996525</v>
      </c>
      <c r="N25" s="53">
        <f>K25/$K$12</f>
        <v>0.14297205116553585</v>
      </c>
    </row>
    <row r="26" spans="1:14" ht="15" x14ac:dyDescent="0.4">
      <c r="B26" s="39"/>
      <c r="C26" s="39"/>
      <c r="D26" s="40"/>
      <c r="H26" s="57"/>
      <c r="I26" s="40"/>
      <c r="J26" s="39"/>
      <c r="K26" s="39"/>
      <c r="N26" s="34"/>
    </row>
    <row r="27" spans="1:14" x14ac:dyDescent="0.25">
      <c r="B27" s="39"/>
      <c r="C27" s="39"/>
      <c r="D27" s="39"/>
      <c r="I27" s="39"/>
      <c r="J27" s="39"/>
      <c r="K27" s="39"/>
      <c r="N27" s="34"/>
    </row>
    <row r="28" spans="1:14" x14ac:dyDescent="0.25">
      <c r="A28" t="s">
        <v>66</v>
      </c>
      <c r="B28" s="36">
        <f>'Inc. Stmt - Reported QTR'!B21</f>
        <v>35564</v>
      </c>
      <c r="C28" s="50">
        <f t="shared" ref="C28:C35" si="1">B28/$B$12</f>
        <v>3.9134645010783925E-2</v>
      </c>
      <c r="D28" s="36">
        <f>'Inc. Stmt - Reported QTR'!C21</f>
        <v>49572</v>
      </c>
      <c r="E28" s="51">
        <f t="shared" ref="E28:E35" si="2">B28-D28</f>
        <v>-14008</v>
      </c>
      <c r="F28" s="52">
        <f>B28/D28-1</f>
        <v>-0.28257887517146774</v>
      </c>
      <c r="G28" s="53">
        <f>D28/$D$12</f>
        <v>7.1863683412437707E-2</v>
      </c>
      <c r="I28" s="36">
        <f>'Inc. Stmt - Reported - YTD'!B22</f>
        <v>74753</v>
      </c>
      <c r="J28" s="50">
        <f t="shared" ref="J28:J35" si="3">I28/$I$12</f>
        <v>4.4485532814128155E-2</v>
      </c>
      <c r="K28" s="36">
        <f>+'Inc. Stmt - Reported - YTD'!C22</f>
        <v>86941</v>
      </c>
      <c r="L28" s="51">
        <f t="shared" ref="L28:L35" si="4">I28-K28</f>
        <v>-12188</v>
      </c>
      <c r="M28" s="52">
        <f>I28/K28-1</f>
        <v>-0.14018702338367395</v>
      </c>
      <c r="N28" s="53">
        <f>K28/$K$12</f>
        <v>6.4871709350626292E-2</v>
      </c>
    </row>
    <row r="29" spans="1:14" x14ac:dyDescent="0.25">
      <c r="A29" t="s">
        <v>55</v>
      </c>
      <c r="B29" s="38">
        <f>ROUND((B21)*(1-$B$48),0)</f>
        <v>5771</v>
      </c>
      <c r="C29" s="50">
        <f t="shared" si="1"/>
        <v>6.3504115498041287E-3</v>
      </c>
      <c r="D29" s="63">
        <f>ROUND((D21)*(1-$B$48),0)</f>
        <v>0</v>
      </c>
      <c r="E29" s="39">
        <f t="shared" si="2"/>
        <v>5771</v>
      </c>
      <c r="I29" s="38">
        <f>ROUND((I21)*(1-$I$48),0)</f>
        <v>9302</v>
      </c>
      <c r="J29" s="50">
        <f t="shared" si="3"/>
        <v>5.5356230015788013E-3</v>
      </c>
      <c r="K29" s="63">
        <f>ROUND((K21)*(1-$I$48),0)</f>
        <v>0</v>
      </c>
      <c r="L29" s="39">
        <f t="shared" si="4"/>
        <v>9302</v>
      </c>
      <c r="N29" s="34"/>
    </row>
    <row r="30" spans="1:14" x14ac:dyDescent="0.25">
      <c r="A30" t="s">
        <v>111</v>
      </c>
      <c r="B30" s="38">
        <f>ROUND((B22)*(1-$B$48),0)</f>
        <v>10769</v>
      </c>
      <c r="C30" s="50">
        <f t="shared" si="1"/>
        <v>1.1850213477705885E-2</v>
      </c>
      <c r="D30" s="63">
        <f>ROUND((D22)*(1-$B$48),0)</f>
        <v>0</v>
      </c>
      <c r="E30" s="39">
        <f>B30-D30</f>
        <v>10769</v>
      </c>
      <c r="I30" s="38">
        <f>ROUND((I22)*(1-$I$48),0)</f>
        <v>10769</v>
      </c>
      <c r="J30" s="50">
        <f t="shared" si="3"/>
        <v>6.4086351434102457E-3</v>
      </c>
      <c r="K30" s="63">
        <f>ROUND((K22)*(1-$I$48),0)</f>
        <v>0</v>
      </c>
      <c r="L30" s="39"/>
      <c r="N30" s="34"/>
    </row>
    <row r="31" spans="1:14" x14ac:dyDescent="0.25">
      <c r="A31" t="s">
        <v>56</v>
      </c>
      <c r="B31" s="38">
        <f>ROUND((B23)*(1-$B$48),0)</f>
        <v>3334</v>
      </c>
      <c r="C31" s="50">
        <f t="shared" si="1"/>
        <v>3.6687354196927682E-3</v>
      </c>
      <c r="D31" s="63">
        <f>ROUND((D23)*(1-$B$48),0)</f>
        <v>0</v>
      </c>
      <c r="E31" s="39">
        <f t="shared" si="2"/>
        <v>3334</v>
      </c>
      <c r="I31" s="38">
        <f>ROUND((I23)*(1-$I$48),0)</f>
        <v>5916</v>
      </c>
      <c r="J31" s="50">
        <f t="shared" si="3"/>
        <v>3.5206133817824326E-3</v>
      </c>
      <c r="K31" s="63">
        <f>ROUND((K23)*(1-$I$48),0)</f>
        <v>0</v>
      </c>
      <c r="L31" s="39">
        <f t="shared" si="4"/>
        <v>5916</v>
      </c>
      <c r="N31" s="34"/>
    </row>
    <row r="32" spans="1:14" x14ac:dyDescent="0.25">
      <c r="A32" t="s">
        <v>57</v>
      </c>
      <c r="B32" s="38">
        <f>ROUND((B24)*(1-$B$48),0)</f>
        <v>10933</v>
      </c>
      <c r="C32" s="50">
        <f t="shared" si="1"/>
        <v>1.2030679167216866E-2</v>
      </c>
      <c r="D32" s="63">
        <f>ROUND((D24)*(1-$B$48),0)</f>
        <v>0</v>
      </c>
      <c r="E32" s="39">
        <f t="shared" si="2"/>
        <v>10933</v>
      </c>
      <c r="I32" s="38">
        <f>ROUND((I24)*(1-$I$48),0)+1</f>
        <v>12416</v>
      </c>
      <c r="J32" s="50">
        <f t="shared" si="3"/>
        <v>7.3887653394541387E-3</v>
      </c>
      <c r="K32" s="63">
        <f>ROUND((K24)*(1-$I$48),0)</f>
        <v>0</v>
      </c>
      <c r="L32" s="39">
        <f t="shared" si="4"/>
        <v>12416</v>
      </c>
      <c r="N32" s="34"/>
    </row>
    <row r="33" spans="1:14" x14ac:dyDescent="0.25">
      <c r="A33" t="s">
        <v>67</v>
      </c>
      <c r="B33" s="63">
        <v>0</v>
      </c>
      <c r="C33" s="50"/>
      <c r="D33" s="63">
        <v>0</v>
      </c>
      <c r="E33" s="39">
        <f t="shared" si="2"/>
        <v>0</v>
      </c>
      <c r="I33" s="38">
        <f>+B33+[1]Reconciliation!$B$30</f>
        <v>1061</v>
      </c>
      <c r="J33" s="50">
        <f t="shared" si="3"/>
        <v>6.3140141955225846E-4</v>
      </c>
      <c r="K33" s="63">
        <v>0</v>
      </c>
      <c r="L33" s="39">
        <f t="shared" si="4"/>
        <v>1061</v>
      </c>
      <c r="N33" s="34"/>
    </row>
    <row r="34" spans="1:14" ht="15" x14ac:dyDescent="0.4">
      <c r="A34" t="s">
        <v>68</v>
      </c>
      <c r="B34" s="65">
        <v>0</v>
      </c>
      <c r="C34" s="50"/>
      <c r="D34" s="65">
        <v>0</v>
      </c>
      <c r="E34" s="58">
        <f t="shared" si="2"/>
        <v>0</v>
      </c>
      <c r="I34" s="40">
        <f>+B34+[1]Reconciliation!$B$31</f>
        <v>-756</v>
      </c>
      <c r="J34" s="50">
        <f t="shared" si="3"/>
        <v>-4.4989582769227839E-4</v>
      </c>
      <c r="K34" s="65">
        <v>0</v>
      </c>
      <c r="L34" s="58">
        <f t="shared" si="4"/>
        <v>-756</v>
      </c>
      <c r="N34" s="34"/>
    </row>
    <row r="35" spans="1:14" ht="15" x14ac:dyDescent="0.4">
      <c r="A35" t="s">
        <v>69</v>
      </c>
      <c r="B35" s="41">
        <f>SUM(B28:B34)</f>
        <v>66371</v>
      </c>
      <c r="C35" s="50">
        <f t="shared" si="1"/>
        <v>7.3034684625203572E-2</v>
      </c>
      <c r="D35" s="41">
        <f>SUM(D28:D34)</f>
        <v>49572</v>
      </c>
      <c r="E35" s="51">
        <f t="shared" si="2"/>
        <v>16799</v>
      </c>
      <c r="F35" s="52">
        <f>B35/D35-1</f>
        <v>0.33888081981763896</v>
      </c>
      <c r="G35" s="53">
        <f>D35/$D$12</f>
        <v>7.1863683412437707E-2</v>
      </c>
      <c r="I35" s="41">
        <f>SUM(I28:I34)</f>
        <v>113461</v>
      </c>
      <c r="J35" s="50">
        <f t="shared" si="3"/>
        <v>6.7520675272213754E-2</v>
      </c>
      <c r="K35" s="41">
        <f>SUM(K28:K34)</f>
        <v>86941</v>
      </c>
      <c r="L35" s="51">
        <f t="shared" si="4"/>
        <v>26520</v>
      </c>
      <c r="M35" s="52">
        <f>I35/K35-1</f>
        <v>0.30503444864908391</v>
      </c>
      <c r="N35" s="53">
        <f>K35/$K$12</f>
        <v>6.4871709350626292E-2</v>
      </c>
    </row>
    <row r="36" spans="1:14" x14ac:dyDescent="0.25">
      <c r="N36" s="34"/>
    </row>
    <row r="37" spans="1:14" x14ac:dyDescent="0.25">
      <c r="N37" s="34"/>
    </row>
    <row r="38" spans="1:14" x14ac:dyDescent="0.25">
      <c r="A38" t="s">
        <v>70</v>
      </c>
      <c r="B38" s="59">
        <f>+'Inc. Stmt - Reported QTR'!B28</f>
        <v>0.34</v>
      </c>
      <c r="C38" s="59"/>
      <c r="D38" s="59">
        <f>+'Inc. Stmt - Reported QTR'!C28</f>
        <v>0.53</v>
      </c>
      <c r="E38" s="61">
        <f t="shared" ref="E38:E45" si="5">B38-D38</f>
        <v>-0.19</v>
      </c>
      <c r="F38" s="57">
        <f>B38/D38-1</f>
        <v>-0.35849056603773588</v>
      </c>
      <c r="G38" s="62"/>
      <c r="I38" s="59">
        <f>+'Inc. Stmt - Reported - YTD'!B29</f>
        <v>0.75</v>
      </c>
      <c r="J38" s="59"/>
      <c r="K38" s="59">
        <f>+'Inc. Stmt - Reported - YTD'!C29</f>
        <v>0.94</v>
      </c>
      <c r="L38" s="61">
        <f t="shared" ref="L38:L45" si="6">I38-K38</f>
        <v>-0.18999999999999995</v>
      </c>
      <c r="M38" s="57">
        <f>I38/K38-1</f>
        <v>-0.20212765957446799</v>
      </c>
      <c r="N38" s="62"/>
    </row>
    <row r="39" spans="1:14" x14ac:dyDescent="0.25">
      <c r="A39" t="s">
        <v>55</v>
      </c>
      <c r="B39" s="63">
        <f t="shared" ref="B39:B44" si="7">ROUND(B29/$B$47,2)</f>
        <v>0.06</v>
      </c>
      <c r="C39" s="63"/>
      <c r="D39" s="63">
        <f t="shared" ref="D39:D44" si="8">ROUND(D29/$B$47,2)</f>
        <v>0</v>
      </c>
      <c r="E39" s="64">
        <f t="shared" si="5"/>
        <v>0.06</v>
      </c>
      <c r="I39" s="63">
        <f t="shared" ref="I39:I44" si="9">ROUND(I29/$I$47,2)</f>
        <v>0.09</v>
      </c>
      <c r="J39" s="63"/>
      <c r="K39" s="63">
        <f t="shared" ref="K39:K44" si="10">ROUND(K29/$B$47,2)</f>
        <v>0</v>
      </c>
      <c r="L39" s="64">
        <f t="shared" si="6"/>
        <v>0.09</v>
      </c>
      <c r="N39" s="34"/>
    </row>
    <row r="40" spans="1:14" x14ac:dyDescent="0.25">
      <c r="A40" t="s">
        <v>111</v>
      </c>
      <c r="B40" s="63">
        <f t="shared" si="7"/>
        <v>0.1</v>
      </c>
      <c r="C40" s="63"/>
      <c r="D40" s="63">
        <f t="shared" si="8"/>
        <v>0</v>
      </c>
      <c r="E40" s="64">
        <f>B40-D40</f>
        <v>0.1</v>
      </c>
      <c r="I40" s="63">
        <f>ROUND(I30/$I$47,2)+0.01</f>
        <v>0.12</v>
      </c>
      <c r="J40" s="63"/>
      <c r="K40" s="63">
        <f t="shared" si="10"/>
        <v>0</v>
      </c>
      <c r="L40" s="64"/>
      <c r="N40" s="34"/>
    </row>
    <row r="41" spans="1:14" x14ac:dyDescent="0.25">
      <c r="A41" t="s">
        <v>56</v>
      </c>
      <c r="B41" s="63">
        <f t="shared" si="7"/>
        <v>0.03</v>
      </c>
      <c r="C41" s="63"/>
      <c r="D41" s="63">
        <f t="shared" si="8"/>
        <v>0</v>
      </c>
      <c r="E41" s="64">
        <f t="shared" si="5"/>
        <v>0.03</v>
      </c>
      <c r="I41" s="63">
        <f t="shared" si="9"/>
        <v>0.06</v>
      </c>
      <c r="J41" s="63"/>
      <c r="K41" s="63">
        <f t="shared" si="10"/>
        <v>0</v>
      </c>
      <c r="L41" s="64">
        <f t="shared" si="6"/>
        <v>0.06</v>
      </c>
      <c r="N41" s="34"/>
    </row>
    <row r="42" spans="1:14" x14ac:dyDescent="0.25">
      <c r="A42" t="s">
        <v>57</v>
      </c>
      <c r="B42" s="63">
        <f>ROUND(B32/$B$47,2)+0.01</f>
        <v>0.11</v>
      </c>
      <c r="C42" s="63"/>
      <c r="D42" s="63">
        <f t="shared" si="8"/>
        <v>0</v>
      </c>
      <c r="E42" s="64">
        <f t="shared" si="5"/>
        <v>0.11</v>
      </c>
      <c r="I42" s="63">
        <f t="shared" si="9"/>
        <v>0.12</v>
      </c>
      <c r="J42" s="63"/>
      <c r="K42" s="63">
        <f t="shared" si="10"/>
        <v>0</v>
      </c>
      <c r="L42" s="64">
        <f t="shared" si="6"/>
        <v>0.12</v>
      </c>
      <c r="N42" s="34"/>
    </row>
    <row r="43" spans="1:14" x14ac:dyDescent="0.25">
      <c r="A43" t="s">
        <v>67</v>
      </c>
      <c r="B43" s="63">
        <f t="shared" si="7"/>
        <v>0</v>
      </c>
      <c r="C43" s="63"/>
      <c r="D43" s="63">
        <f t="shared" si="8"/>
        <v>0</v>
      </c>
      <c r="E43" s="64">
        <f t="shared" si="5"/>
        <v>0</v>
      </c>
      <c r="I43" s="63">
        <f t="shared" si="9"/>
        <v>0.01</v>
      </c>
      <c r="J43" s="63"/>
      <c r="K43" s="63">
        <f t="shared" si="10"/>
        <v>0</v>
      </c>
      <c r="L43" s="64">
        <f t="shared" si="6"/>
        <v>0.01</v>
      </c>
      <c r="N43" s="34"/>
    </row>
    <row r="44" spans="1:14" ht="15" x14ac:dyDescent="0.4">
      <c r="A44" t="s">
        <v>68</v>
      </c>
      <c r="B44" s="65">
        <f t="shared" si="7"/>
        <v>0</v>
      </c>
      <c r="C44" s="65"/>
      <c r="D44" s="65">
        <f t="shared" si="8"/>
        <v>0</v>
      </c>
      <c r="E44" s="66">
        <f t="shared" si="5"/>
        <v>0</v>
      </c>
      <c r="I44" s="65">
        <f t="shared" si="9"/>
        <v>-0.01</v>
      </c>
      <c r="J44" s="65"/>
      <c r="K44" s="65">
        <f t="shared" si="10"/>
        <v>0</v>
      </c>
      <c r="L44" s="66">
        <f t="shared" si="6"/>
        <v>-0.01</v>
      </c>
      <c r="N44" s="34"/>
    </row>
    <row r="45" spans="1:14" ht="15" x14ac:dyDescent="0.4">
      <c r="A45" t="s">
        <v>71</v>
      </c>
      <c r="B45" s="69">
        <f>SUM(B38:B44)</f>
        <v>0.64</v>
      </c>
      <c r="C45" s="67"/>
      <c r="D45" s="69">
        <f>SUM(D38:D44)</f>
        <v>0.53</v>
      </c>
      <c r="E45" s="61">
        <f t="shared" si="5"/>
        <v>0.10999999999999999</v>
      </c>
      <c r="F45" s="52">
        <f>B45/D45-1</f>
        <v>0.20754716981132071</v>
      </c>
      <c r="G45" s="62"/>
      <c r="I45" s="69">
        <f>SUM(I38:I44)</f>
        <v>1.1400000000000001</v>
      </c>
      <c r="J45" s="67"/>
      <c r="K45" s="69">
        <f>SUM(K38:K44)</f>
        <v>0.94</v>
      </c>
      <c r="L45" s="61">
        <f t="shared" si="6"/>
        <v>0.20000000000000018</v>
      </c>
      <c r="M45" s="52">
        <f>I45/K45-1</f>
        <v>0.21276595744680882</v>
      </c>
      <c r="N45" s="62"/>
    </row>
    <row r="46" spans="1:14" ht="15" x14ac:dyDescent="0.4">
      <c r="B46" s="67"/>
      <c r="C46" s="67"/>
      <c r="D46" s="67"/>
      <c r="E46" s="61"/>
      <c r="F46" s="52"/>
      <c r="G46" s="62"/>
      <c r="I46" s="67"/>
      <c r="J46" s="67"/>
      <c r="K46" s="67"/>
      <c r="L46" s="61"/>
      <c r="M46" s="52"/>
      <c r="N46" s="62"/>
    </row>
    <row r="47" spans="1:14" s="34" customFormat="1" hidden="1" x14ac:dyDescent="0.25">
      <c r="A47" s="34" t="s">
        <v>72</v>
      </c>
      <c r="B47" s="56">
        <f>+'Inc. Stmt - Reported QTR'!B32</f>
        <v>104131</v>
      </c>
      <c r="I47" s="56">
        <v>99803</v>
      </c>
    </row>
    <row r="48" spans="1:14" s="34" customFormat="1" hidden="1" x14ac:dyDescent="0.25">
      <c r="A48" s="34" t="s">
        <v>73</v>
      </c>
      <c r="B48" s="50">
        <v>0.36</v>
      </c>
      <c r="C48" s="56"/>
      <c r="I48" s="50">
        <v>0.36</v>
      </c>
    </row>
    <row r="49" spans="1:10" s="34" customFormat="1" x14ac:dyDescent="0.25">
      <c r="C49" s="50"/>
    </row>
    <row r="50" spans="1:10" x14ac:dyDescent="0.25">
      <c r="I50" s="61"/>
    </row>
    <row r="51" spans="1:10" x14ac:dyDescent="0.25">
      <c r="B51" s="32"/>
      <c r="C51" s="32"/>
      <c r="I51" s="72"/>
      <c r="J51" s="32"/>
    </row>
    <row r="52" spans="1:10" x14ac:dyDescent="0.25">
      <c r="B52" s="33"/>
      <c r="C52" s="33"/>
      <c r="I52" s="95"/>
      <c r="J52" s="33"/>
    </row>
    <row r="54" spans="1:10" x14ac:dyDescent="0.25">
      <c r="A54" s="35"/>
    </row>
    <row r="55" spans="1:10" x14ac:dyDescent="0.25">
      <c r="B55" s="101"/>
      <c r="C55" s="101"/>
      <c r="I55" s="101"/>
      <c r="J55" s="101"/>
    </row>
    <row r="56" spans="1:10" ht="14.4" x14ac:dyDescent="0.35">
      <c r="B56" s="102"/>
      <c r="C56" s="102"/>
      <c r="I56" s="102"/>
      <c r="J56" s="102"/>
    </row>
    <row r="58" spans="1:10" x14ac:dyDescent="0.25">
      <c r="B58" s="60"/>
      <c r="C58" s="60"/>
      <c r="I58" s="60"/>
      <c r="J58" s="60"/>
    </row>
    <row r="59" spans="1:10" x14ac:dyDescent="0.25">
      <c r="B59" s="64"/>
      <c r="C59" s="64"/>
      <c r="I59" s="64"/>
      <c r="J59" s="64"/>
    </row>
    <row r="60" spans="1:10" x14ac:dyDescent="0.25">
      <c r="B60" s="64"/>
      <c r="C60" s="64"/>
      <c r="I60" s="64"/>
      <c r="J60" s="64"/>
    </row>
    <row r="61" spans="1:10" x14ac:dyDescent="0.25">
      <c r="B61" s="64"/>
      <c r="C61" s="64"/>
      <c r="I61" s="64"/>
      <c r="J61" s="64"/>
    </row>
    <row r="62" spans="1:10" x14ac:dyDescent="0.25">
      <c r="B62" s="64"/>
      <c r="C62" s="64"/>
      <c r="I62" s="64"/>
      <c r="J62" s="64"/>
    </row>
    <row r="63" spans="1:10" x14ac:dyDescent="0.25">
      <c r="B63" s="64"/>
      <c r="C63" s="64"/>
      <c r="I63" s="64"/>
      <c r="J63" s="64"/>
    </row>
    <row r="64" spans="1:10" x14ac:dyDescent="0.25">
      <c r="B64" s="70"/>
      <c r="C64" s="70"/>
      <c r="D64" s="71"/>
      <c r="E64" s="71"/>
      <c r="F64" s="71"/>
      <c r="G64" s="47"/>
      <c r="H64" s="71"/>
      <c r="I64" s="70"/>
      <c r="J64" s="70"/>
    </row>
    <row r="65" spans="2:10" ht="15" x14ac:dyDescent="0.4">
      <c r="B65" s="69"/>
      <c r="C65" s="69"/>
      <c r="I65" s="69"/>
      <c r="J65" s="69"/>
    </row>
  </sheetData>
  <mergeCells count="9">
    <mergeCell ref="A1:K1"/>
    <mergeCell ref="A2:K2"/>
    <mergeCell ref="A3:K3"/>
    <mergeCell ref="B56:C56"/>
    <mergeCell ref="B55:C55"/>
    <mergeCell ref="I55:J55"/>
    <mergeCell ref="I56:J56"/>
    <mergeCell ref="A6:F6"/>
    <mergeCell ref="A5:N5"/>
  </mergeCells>
  <pageMargins left="0.75" right="0.75" top="1" bottom="1" header="0.5" footer="0.5"/>
  <pageSetup scale="71" orientation="portrait" r:id="rId1"/>
  <headerFooter alignWithMargins="0">
    <oddFooter>&amp;R&amp;F&amp;D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1"/>
  <sheetViews>
    <sheetView workbookViewId="0"/>
  </sheetViews>
  <sheetFormatPr defaultRowHeight="13.2" x14ac:dyDescent="0.25"/>
  <cols>
    <col min="1" max="1" width="42.44140625" customWidth="1"/>
    <col min="2" max="2" width="14.6640625" customWidth="1"/>
    <col min="3" max="3" width="15.109375" customWidth="1"/>
    <col min="4" max="4" width="11" customWidth="1"/>
    <col min="5" max="5" width="14.6640625" customWidth="1"/>
    <col min="6" max="6" width="15.109375" customWidth="1"/>
  </cols>
  <sheetData>
    <row r="2" spans="1:11" x14ac:dyDescent="0.25">
      <c r="A2" s="32" t="s">
        <v>77</v>
      </c>
      <c r="B2" s="32"/>
      <c r="C2" s="32"/>
      <c r="D2" s="32"/>
      <c r="E2" s="32"/>
      <c r="F2" s="32"/>
      <c r="G2" s="32"/>
      <c r="H2" s="32"/>
      <c r="I2" s="32"/>
      <c r="J2" s="32"/>
      <c r="K2" s="32"/>
    </row>
    <row r="3" spans="1:11" x14ac:dyDescent="0.25">
      <c r="A3" s="33"/>
      <c r="B3" s="33"/>
      <c r="C3" s="33"/>
      <c r="D3" s="33"/>
      <c r="E3" s="33"/>
      <c r="F3" s="33"/>
      <c r="G3" s="33"/>
      <c r="H3" s="33"/>
      <c r="I3" s="33"/>
      <c r="J3" s="33"/>
      <c r="K3" s="33"/>
    </row>
    <row r="5" spans="1:11" x14ac:dyDescent="0.25">
      <c r="A5" s="35"/>
    </row>
    <row r="6" spans="1:11" x14ac:dyDescent="0.25">
      <c r="B6" s="101" t="s">
        <v>76</v>
      </c>
      <c r="C6" s="101"/>
      <c r="D6" s="11"/>
      <c r="E6" s="101" t="s">
        <v>54</v>
      </c>
      <c r="F6" s="101"/>
    </row>
    <row r="7" spans="1:11" ht="14.4" x14ac:dyDescent="0.35">
      <c r="B7" s="102" t="s">
        <v>106</v>
      </c>
      <c r="C7" s="102"/>
      <c r="D7" s="11"/>
      <c r="E7" s="102" t="s">
        <v>107</v>
      </c>
      <c r="F7" s="102"/>
    </row>
    <row r="9" spans="1:11" x14ac:dyDescent="0.25">
      <c r="A9" t="s">
        <v>74</v>
      </c>
      <c r="B9" s="59">
        <f>+B16-B15-B14-B13-B12-B11-B10</f>
        <v>0.65</v>
      </c>
      <c r="C9" s="59">
        <f>+C16-C15-C14-C13-C12-C11-C10</f>
        <v>0.69000000000000006</v>
      </c>
      <c r="D9" s="60"/>
      <c r="E9" s="59">
        <f>+E16-E15-E14-E13-E12-E11-E10</f>
        <v>1.8900000000000001</v>
      </c>
      <c r="F9" s="59">
        <f>+F16-F15-F14-F13-F12-F11-F10</f>
        <v>1.9599999999999995</v>
      </c>
      <c r="G9" s="96"/>
      <c r="H9" s="96"/>
    </row>
    <row r="10" spans="1:11" x14ac:dyDescent="0.25">
      <c r="A10" t="s">
        <v>55</v>
      </c>
      <c r="B10" s="63">
        <v>0.02</v>
      </c>
      <c r="C10" s="63">
        <f t="shared" ref="C10:C15" si="0">B10</f>
        <v>0.02</v>
      </c>
      <c r="D10" s="64"/>
      <c r="E10" s="63">
        <v>0.12</v>
      </c>
      <c r="F10" s="63">
        <f t="shared" ref="F10:F15" si="1">E10</f>
        <v>0.12</v>
      </c>
      <c r="G10" s="70"/>
      <c r="H10" s="70"/>
    </row>
    <row r="11" spans="1:11" x14ac:dyDescent="0.25">
      <c r="A11" t="s">
        <v>111</v>
      </c>
      <c r="B11" s="63">
        <v>0</v>
      </c>
      <c r="C11" s="63">
        <f t="shared" si="0"/>
        <v>0</v>
      </c>
      <c r="D11" s="64"/>
      <c r="E11" s="63">
        <v>0.1</v>
      </c>
      <c r="F11" s="63">
        <f t="shared" si="1"/>
        <v>0.1</v>
      </c>
      <c r="G11" s="70"/>
      <c r="H11" s="70"/>
    </row>
    <row r="12" spans="1:11" x14ac:dyDescent="0.25">
      <c r="A12" t="s">
        <v>56</v>
      </c>
      <c r="B12" s="63">
        <v>0</v>
      </c>
      <c r="C12" s="63">
        <f t="shared" si="0"/>
        <v>0</v>
      </c>
      <c r="D12" s="64"/>
      <c r="E12" s="63">
        <v>0.05</v>
      </c>
      <c r="F12" s="63">
        <f t="shared" si="1"/>
        <v>0.05</v>
      </c>
      <c r="G12" s="70"/>
      <c r="H12" s="70"/>
    </row>
    <row r="13" spans="1:11" x14ac:dyDescent="0.25">
      <c r="A13" t="s">
        <v>57</v>
      </c>
      <c r="B13" s="63">
        <v>0.09</v>
      </c>
      <c r="C13" s="63">
        <f t="shared" si="0"/>
        <v>0.09</v>
      </c>
      <c r="D13" s="64"/>
      <c r="E13" s="63">
        <v>0.28000000000000003</v>
      </c>
      <c r="F13" s="63">
        <f t="shared" si="1"/>
        <v>0.28000000000000003</v>
      </c>
      <c r="G13" s="70"/>
      <c r="H13" s="70"/>
    </row>
    <row r="14" spans="1:11" x14ac:dyDescent="0.25">
      <c r="A14" t="s">
        <v>67</v>
      </c>
      <c r="B14" s="63">
        <v>0</v>
      </c>
      <c r="C14" s="63">
        <f t="shared" si="0"/>
        <v>0</v>
      </c>
      <c r="D14" s="64"/>
      <c r="E14" s="63">
        <v>0.01</v>
      </c>
      <c r="F14" s="63">
        <f t="shared" si="1"/>
        <v>0.01</v>
      </c>
      <c r="G14" s="70"/>
      <c r="H14" s="70"/>
    </row>
    <row r="15" spans="1:11" ht="15" x14ac:dyDescent="0.4">
      <c r="A15" t="s">
        <v>68</v>
      </c>
      <c r="B15" s="65">
        <v>0</v>
      </c>
      <c r="C15" s="65">
        <f t="shared" si="0"/>
        <v>0</v>
      </c>
      <c r="D15" s="70"/>
      <c r="E15" s="65">
        <v>-0.01</v>
      </c>
      <c r="F15" s="65">
        <f t="shared" si="1"/>
        <v>-0.01</v>
      </c>
      <c r="G15" s="70"/>
      <c r="H15" s="70"/>
    </row>
    <row r="16" spans="1:11" ht="15" x14ac:dyDescent="0.4">
      <c r="A16" t="s">
        <v>75</v>
      </c>
      <c r="B16" s="69">
        <v>0.76</v>
      </c>
      <c r="C16" s="69">
        <v>0.8</v>
      </c>
      <c r="D16" s="69"/>
      <c r="E16" s="69">
        <v>2.44</v>
      </c>
      <c r="F16" s="69">
        <v>2.5099999999999998</v>
      </c>
      <c r="G16" s="97"/>
      <c r="H16" s="97"/>
    </row>
    <row r="17" spans="1:8" x14ac:dyDescent="0.25">
      <c r="G17" s="71"/>
      <c r="H17" s="71"/>
    </row>
    <row r="18" spans="1:8" x14ac:dyDescent="0.25">
      <c r="B18" s="61"/>
      <c r="C18" s="61"/>
      <c r="E18" s="61"/>
      <c r="F18" s="61"/>
    </row>
    <row r="19" spans="1:8" hidden="1" x14ac:dyDescent="0.25"/>
    <row r="20" spans="1:8" hidden="1" x14ac:dyDescent="0.25">
      <c r="A20" t="s">
        <v>72</v>
      </c>
      <c r="B20">
        <v>114560</v>
      </c>
      <c r="C20">
        <v>114560</v>
      </c>
      <c r="E20">
        <v>107200</v>
      </c>
      <c r="F20">
        <v>107200</v>
      </c>
    </row>
    <row r="21" spans="1:8" hidden="1" x14ac:dyDescent="0.25"/>
    <row r="29" spans="1:8" x14ac:dyDescent="0.25">
      <c r="E29" s="61"/>
      <c r="F29" s="61"/>
    </row>
    <row r="31" spans="1:8" x14ac:dyDescent="0.25">
      <c r="E31" s="61"/>
    </row>
  </sheetData>
  <mergeCells count="4">
    <mergeCell ref="B6:C6"/>
    <mergeCell ref="E6:F6"/>
    <mergeCell ref="B7:C7"/>
    <mergeCell ref="E7:F7"/>
  </mergeCells>
  <pageMargins left="0.75" right="0.75" top="1" bottom="1" header="0.5" footer="0.5"/>
  <pageSetup scale="80" orientation="portrait" r:id="rId1"/>
  <headerFooter alignWithMargins="0">
    <oddFooter>&amp;R&amp;F&amp;D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Balance Sheet</vt:lpstr>
      <vt:lpstr>Inc. Stmt - Reported - YTD</vt:lpstr>
      <vt:lpstr>Inc. Stmt - Comparable - YTD</vt:lpstr>
      <vt:lpstr>Inc. Stmt - Reported QTR</vt:lpstr>
      <vt:lpstr>Inc. Stmt - Comparable QTR</vt:lpstr>
      <vt:lpstr>Reconciliation</vt:lpstr>
      <vt:lpstr>Outlook</vt:lpstr>
      <vt:lpstr>'Balance Sheet'!Print_Area</vt:lpstr>
      <vt:lpstr>'Inc. Stmt - Reported - YTD'!Print_Area</vt:lpstr>
      <vt:lpstr>'Inc. Stmt - Reported QTR'!Print_Area</vt:lpstr>
    </vt:vector>
  </TitlesOfParts>
  <Company>Canandanigua Wine Company,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Jenks</dc:creator>
  <cp:lastModifiedBy>Aniket Gupta</cp:lastModifiedBy>
  <cp:lastPrinted>2003-09-30T16:30:59Z</cp:lastPrinted>
  <dcterms:created xsi:type="dcterms:W3CDTF">1999-06-18T14:44:35Z</dcterms:created>
  <dcterms:modified xsi:type="dcterms:W3CDTF">2024-02-03T22:30:35Z</dcterms:modified>
</cp:coreProperties>
</file>