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C2FB2893-E561-44D9-924D-BBF715A96625}" xr6:coauthVersionLast="47" xr6:coauthVersionMax="47" xr10:uidLastSave="{00000000-0000-0000-0000-000000000000}"/>
  <bookViews>
    <workbookView xWindow="768" yWindow="768" windowWidth="17280" windowHeight="8880" firstSheet="1" activeTab="3"/>
  </bookViews>
  <sheets>
    <sheet name="Inventory" sheetId="1" r:id="rId1"/>
    <sheet name="Inventory PM &amp; NOx" sheetId="5" r:id="rId2"/>
    <sheet name="Inventory PM &amp; NOx+ROG" sheetId="6" r:id="rId3"/>
    <sheet name="Appendix" sheetId="2" r:id="rId4"/>
  </sheets>
  <externalReferences>
    <externalReference r:id="rId5"/>
    <externalReference r:id="rId6"/>
    <externalReference r:id="rId7"/>
  </externalReferenc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2" l="1"/>
  <c r="B8" i="2"/>
  <c r="H8" i="2"/>
  <c r="I8" i="2"/>
  <c r="A9" i="2"/>
  <c r="B9" i="2"/>
  <c r="C9" i="2"/>
  <c r="D9" i="2"/>
  <c r="J9" i="2"/>
  <c r="K9" i="2"/>
  <c r="B10" i="2"/>
  <c r="I10" i="2"/>
  <c r="J10" i="2"/>
  <c r="B11" i="2"/>
  <c r="C11" i="2"/>
  <c r="D11" i="2"/>
  <c r="B12" i="2"/>
  <c r="D12" i="2"/>
  <c r="E12" i="2"/>
  <c r="I12" i="2"/>
  <c r="B13" i="2"/>
  <c r="K13" i="2"/>
  <c r="B14" i="2"/>
  <c r="D14" i="2"/>
  <c r="J14" i="2"/>
  <c r="B15" i="2"/>
  <c r="K15" i="2"/>
  <c r="L15" i="2"/>
  <c r="B16" i="2"/>
  <c r="J16" i="2"/>
  <c r="B17" i="2"/>
  <c r="C17" i="2"/>
  <c r="D17" i="2"/>
  <c r="J17" i="2"/>
  <c r="K17" i="2"/>
  <c r="B18" i="2"/>
  <c r="E18" i="2"/>
  <c r="I18" i="2"/>
  <c r="J18" i="2"/>
  <c r="B19" i="2"/>
  <c r="C19" i="2"/>
  <c r="K19" i="2"/>
  <c r="B20" i="2"/>
  <c r="D20" i="2"/>
  <c r="E20" i="2"/>
  <c r="I20" i="2"/>
  <c r="B21" i="2"/>
  <c r="L21" i="2"/>
  <c r="B22" i="2"/>
  <c r="D22" i="2"/>
  <c r="B23" i="2"/>
  <c r="J23" i="2"/>
  <c r="K23" i="2"/>
  <c r="L23" i="2"/>
  <c r="I5" i="1"/>
  <c r="C8" i="2" s="1"/>
  <c r="J5" i="1"/>
  <c r="K5" i="1"/>
  <c r="A6" i="1"/>
  <c r="A7" i="1" s="1"/>
  <c r="I6" i="1"/>
  <c r="J6" i="1"/>
  <c r="K6" i="1" s="1"/>
  <c r="E9" i="2" s="1"/>
  <c r="B7" i="1"/>
  <c r="B8" i="1" s="1"/>
  <c r="I7" i="1"/>
  <c r="C10" i="2" s="1"/>
  <c r="J7" i="1"/>
  <c r="D10" i="2" s="1"/>
  <c r="K7" i="1"/>
  <c r="E10" i="2" s="1"/>
  <c r="I8" i="1"/>
  <c r="J8" i="1"/>
  <c r="J23" i="1" s="1"/>
  <c r="K8" i="1"/>
  <c r="E11" i="2" s="1"/>
  <c r="B9" i="1"/>
  <c r="I9" i="1"/>
  <c r="C12" i="2" s="1"/>
  <c r="J9" i="1"/>
  <c r="K9" i="1"/>
  <c r="B10" i="1"/>
  <c r="I10" i="1"/>
  <c r="C13" i="2" s="1"/>
  <c r="J10" i="1"/>
  <c r="K10" i="1" s="1"/>
  <c r="E13" i="2" s="1"/>
  <c r="I11" i="1"/>
  <c r="C14" i="2" s="1"/>
  <c r="J11" i="1"/>
  <c r="K11" i="1"/>
  <c r="E14" i="2" s="1"/>
  <c r="I12" i="1"/>
  <c r="C15" i="2" s="1"/>
  <c r="J12" i="1"/>
  <c r="K12" i="1" s="1"/>
  <c r="E15" i="2" s="1"/>
  <c r="I13" i="1"/>
  <c r="C16" i="2" s="1"/>
  <c r="J13" i="1"/>
  <c r="D16" i="2" s="1"/>
  <c r="I14" i="1"/>
  <c r="J14" i="1"/>
  <c r="K14" i="1" s="1"/>
  <c r="E17" i="2" s="1"/>
  <c r="I15" i="1"/>
  <c r="C18" i="2" s="1"/>
  <c r="J15" i="1"/>
  <c r="D18" i="2" s="1"/>
  <c r="K15" i="1"/>
  <c r="I16" i="1"/>
  <c r="J16" i="1"/>
  <c r="D19" i="2" s="1"/>
  <c r="K16" i="1"/>
  <c r="E19" i="2" s="1"/>
  <c r="I17" i="1"/>
  <c r="C20" i="2" s="1"/>
  <c r="J17" i="1"/>
  <c r="K17" i="1"/>
  <c r="I18" i="1"/>
  <c r="C21" i="2" s="1"/>
  <c r="J18" i="1"/>
  <c r="K18" i="1" s="1"/>
  <c r="E21" i="2" s="1"/>
  <c r="I19" i="1"/>
  <c r="C22" i="2" s="1"/>
  <c r="J19" i="1"/>
  <c r="K19" i="1"/>
  <c r="E22" i="2" s="1"/>
  <c r="I20" i="1"/>
  <c r="C23" i="2" s="1"/>
  <c r="J20" i="1"/>
  <c r="K20" i="1" s="1"/>
  <c r="E23" i="2" s="1"/>
  <c r="D25" i="1"/>
  <c r="E25" i="1"/>
  <c r="H25" i="1"/>
  <c r="D26" i="1"/>
  <c r="E26" i="1"/>
  <c r="D27" i="1"/>
  <c r="E27" i="1"/>
  <c r="D28" i="1"/>
  <c r="E28" i="1"/>
  <c r="D29" i="1"/>
  <c r="E29" i="1"/>
  <c r="D30" i="1"/>
  <c r="D31" i="1"/>
  <c r="D32" i="1"/>
  <c r="D33" i="1"/>
  <c r="G5" i="5"/>
  <c r="I5" i="5"/>
  <c r="J5" i="5"/>
  <c r="K5" i="5"/>
  <c r="N5" i="5"/>
  <c r="O5" i="5"/>
  <c r="P5" i="5" s="1"/>
  <c r="A6" i="5"/>
  <c r="G6" i="5"/>
  <c r="I6" i="5"/>
  <c r="J6" i="5"/>
  <c r="K6" i="5"/>
  <c r="N6" i="5"/>
  <c r="O6" i="5"/>
  <c r="P6" i="5" s="1"/>
  <c r="A7" i="5"/>
  <c r="A8" i="5" s="1"/>
  <c r="A9" i="5" s="1"/>
  <c r="A10" i="5" s="1"/>
  <c r="B7" i="5"/>
  <c r="G7" i="5"/>
  <c r="I7" i="5"/>
  <c r="J7" i="5"/>
  <c r="K7" i="5" s="1"/>
  <c r="N7" i="5"/>
  <c r="O7" i="5"/>
  <c r="P7" i="5"/>
  <c r="B8" i="5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G8" i="5"/>
  <c r="I8" i="5"/>
  <c r="J8" i="5"/>
  <c r="K8" i="5" s="1"/>
  <c r="N8" i="5"/>
  <c r="O8" i="5"/>
  <c r="P8" i="5" s="1"/>
  <c r="G9" i="5"/>
  <c r="O9" i="5" s="1"/>
  <c r="P9" i="5" s="1"/>
  <c r="I9" i="5"/>
  <c r="J9" i="5"/>
  <c r="J22" i="5" s="1"/>
  <c r="K9" i="5"/>
  <c r="N9" i="5"/>
  <c r="G10" i="5"/>
  <c r="O10" i="5" s="1"/>
  <c r="P10" i="5" s="1"/>
  <c r="I10" i="5"/>
  <c r="J10" i="5"/>
  <c r="K10" i="5" s="1"/>
  <c r="N10" i="5"/>
  <c r="A11" i="5"/>
  <c r="A12" i="5" s="1"/>
  <c r="A13" i="5" s="1"/>
  <c r="A14" i="5" s="1"/>
  <c r="A15" i="5" s="1"/>
  <c r="A16" i="5" s="1"/>
  <c r="A17" i="5" s="1"/>
  <c r="A18" i="5" s="1"/>
  <c r="A19" i="5" s="1"/>
  <c r="A20" i="5" s="1"/>
  <c r="G11" i="5"/>
  <c r="O11" i="5" s="1"/>
  <c r="I11" i="5"/>
  <c r="J11" i="5"/>
  <c r="K11" i="5" s="1"/>
  <c r="N11" i="5"/>
  <c r="P11" i="5"/>
  <c r="G12" i="5"/>
  <c r="J12" i="5" s="1"/>
  <c r="K12" i="5" s="1"/>
  <c r="I12" i="5"/>
  <c r="N12" i="5"/>
  <c r="G13" i="5"/>
  <c r="J13" i="5" s="1"/>
  <c r="K13" i="5" s="1"/>
  <c r="I13" i="5"/>
  <c r="N13" i="5"/>
  <c r="G14" i="5"/>
  <c r="I14" i="5"/>
  <c r="J14" i="5"/>
  <c r="K14" i="5"/>
  <c r="N14" i="5"/>
  <c r="O14" i="5"/>
  <c r="P14" i="5"/>
  <c r="G15" i="5"/>
  <c r="I15" i="5"/>
  <c r="J15" i="5"/>
  <c r="K15" i="5" s="1"/>
  <c r="N15" i="5"/>
  <c r="O15" i="5"/>
  <c r="P15" i="5"/>
  <c r="G16" i="5"/>
  <c r="I16" i="5"/>
  <c r="J16" i="5"/>
  <c r="K16" i="5" s="1"/>
  <c r="N16" i="5"/>
  <c r="O16" i="5"/>
  <c r="P16" i="5" s="1"/>
  <c r="G17" i="5"/>
  <c r="O17" i="5" s="1"/>
  <c r="P17" i="5" s="1"/>
  <c r="I17" i="5"/>
  <c r="J17" i="5"/>
  <c r="K17" i="5"/>
  <c r="N17" i="5"/>
  <c r="G18" i="5"/>
  <c r="O18" i="5" s="1"/>
  <c r="P18" i="5" s="1"/>
  <c r="I18" i="5"/>
  <c r="J18" i="5"/>
  <c r="K18" i="5"/>
  <c r="N18" i="5"/>
  <c r="G19" i="5"/>
  <c r="O19" i="5" s="1"/>
  <c r="I19" i="5"/>
  <c r="J19" i="5"/>
  <c r="K19" i="5" s="1"/>
  <c r="N19" i="5"/>
  <c r="P19" i="5"/>
  <c r="G20" i="5"/>
  <c r="J20" i="5" s="1"/>
  <c r="K20" i="5" s="1"/>
  <c r="I20" i="5"/>
  <c r="N20" i="5"/>
  <c r="G5" i="6"/>
  <c r="U5" i="6" s="1"/>
  <c r="I5" i="6"/>
  <c r="J5" i="6"/>
  <c r="M5" i="6"/>
  <c r="L8" i="2" s="1"/>
  <c r="N5" i="6"/>
  <c r="K8" i="2" s="1"/>
  <c r="O5" i="6"/>
  <c r="S5" i="6" s="1"/>
  <c r="Q5" i="6"/>
  <c r="R5" i="6" s="1"/>
  <c r="A6" i="6"/>
  <c r="A7" i="6" s="1"/>
  <c r="H10" i="2" s="1"/>
  <c r="G6" i="6"/>
  <c r="I9" i="2" s="1"/>
  <c r="I6" i="6"/>
  <c r="J6" i="6"/>
  <c r="K6" i="6"/>
  <c r="M6" i="6"/>
  <c r="L9" i="2" s="1"/>
  <c r="N6" i="6"/>
  <c r="O6" i="6"/>
  <c r="U6" i="6"/>
  <c r="M9" i="2" s="1"/>
  <c r="V6" i="6"/>
  <c r="N9" i="2" s="1"/>
  <c r="B7" i="6"/>
  <c r="B8" i="6" s="1"/>
  <c r="G7" i="6"/>
  <c r="I7" i="6"/>
  <c r="J7" i="6"/>
  <c r="K7" i="6"/>
  <c r="M7" i="6"/>
  <c r="L10" i="2" s="1"/>
  <c r="N7" i="6"/>
  <c r="O7" i="6"/>
  <c r="S7" i="6"/>
  <c r="T7" i="6" s="1"/>
  <c r="U7" i="6"/>
  <c r="M10" i="2" s="1"/>
  <c r="A8" i="6"/>
  <c r="H11" i="2" s="1"/>
  <c r="G8" i="6"/>
  <c r="I11" i="2" s="1"/>
  <c r="I8" i="6"/>
  <c r="J8" i="6"/>
  <c r="K8" i="6" s="1"/>
  <c r="M8" i="6"/>
  <c r="L11" i="2" s="1"/>
  <c r="N8" i="6"/>
  <c r="O8" i="6"/>
  <c r="U8" i="6"/>
  <c r="M11" i="2" s="1"/>
  <c r="V8" i="6"/>
  <c r="N11" i="2" s="1"/>
  <c r="A9" i="6"/>
  <c r="A10" i="6" s="1"/>
  <c r="B9" i="6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G9" i="6"/>
  <c r="I9" i="6"/>
  <c r="J9" i="6"/>
  <c r="K9" i="6"/>
  <c r="M9" i="6"/>
  <c r="L12" i="2" s="1"/>
  <c r="N9" i="6"/>
  <c r="K12" i="2" s="1"/>
  <c r="O9" i="6"/>
  <c r="G10" i="6"/>
  <c r="I10" i="6"/>
  <c r="M10" i="6"/>
  <c r="L13" i="2" s="1"/>
  <c r="N10" i="6"/>
  <c r="O10" i="6"/>
  <c r="G11" i="6"/>
  <c r="I11" i="6"/>
  <c r="M11" i="6"/>
  <c r="L14" i="2" s="1"/>
  <c r="N11" i="6"/>
  <c r="K14" i="2" s="1"/>
  <c r="O11" i="6"/>
  <c r="G12" i="6"/>
  <c r="I12" i="6"/>
  <c r="J12" i="6"/>
  <c r="K12" i="6" s="1"/>
  <c r="M12" i="6"/>
  <c r="N12" i="6"/>
  <c r="O12" i="6"/>
  <c r="J15" i="2" s="1"/>
  <c r="G13" i="6"/>
  <c r="I16" i="2" s="1"/>
  <c r="I13" i="6"/>
  <c r="J13" i="6"/>
  <c r="K13" i="6"/>
  <c r="M13" i="6"/>
  <c r="L16" i="2" s="1"/>
  <c r="N13" i="6"/>
  <c r="K16" i="2" s="1"/>
  <c r="O13" i="6"/>
  <c r="U13" i="6"/>
  <c r="Q13" i="6" s="1"/>
  <c r="R13" i="6" s="1"/>
  <c r="G14" i="6"/>
  <c r="I17" i="2" s="1"/>
  <c r="I14" i="6"/>
  <c r="M14" i="6"/>
  <c r="N14" i="6"/>
  <c r="O14" i="6"/>
  <c r="G15" i="6"/>
  <c r="I15" i="6"/>
  <c r="J15" i="6"/>
  <c r="K15" i="6"/>
  <c r="M15" i="6"/>
  <c r="L18" i="2" s="1"/>
  <c r="N15" i="6"/>
  <c r="O15" i="6"/>
  <c r="G16" i="6"/>
  <c r="I19" i="2" s="1"/>
  <c r="I16" i="6"/>
  <c r="J16" i="6"/>
  <c r="K16" i="6" s="1"/>
  <c r="M16" i="6"/>
  <c r="L19" i="2" s="1"/>
  <c r="N16" i="6"/>
  <c r="O16" i="6"/>
  <c r="U16" i="6"/>
  <c r="M19" i="2" s="1"/>
  <c r="G17" i="6"/>
  <c r="I17" i="6"/>
  <c r="J17" i="6"/>
  <c r="K17" i="6"/>
  <c r="M17" i="6"/>
  <c r="L20" i="2" s="1"/>
  <c r="N17" i="6"/>
  <c r="K20" i="2" s="1"/>
  <c r="O17" i="6"/>
  <c r="G18" i="6"/>
  <c r="I18" i="6"/>
  <c r="M18" i="6"/>
  <c r="N18" i="6"/>
  <c r="K21" i="2" s="1"/>
  <c r="O18" i="6"/>
  <c r="G19" i="6"/>
  <c r="I22" i="2" s="1"/>
  <c r="I19" i="6"/>
  <c r="M19" i="6"/>
  <c r="L22" i="2" s="1"/>
  <c r="N19" i="6"/>
  <c r="K22" i="2" s="1"/>
  <c r="O19" i="6"/>
  <c r="G20" i="6"/>
  <c r="I20" i="6"/>
  <c r="J20" i="6"/>
  <c r="K20" i="6" s="1"/>
  <c r="M20" i="6"/>
  <c r="N20" i="6"/>
  <c r="O20" i="6"/>
  <c r="T5" i="6" l="1"/>
  <c r="K22" i="5"/>
  <c r="H13" i="2"/>
  <c r="A11" i="6"/>
  <c r="A10" i="2"/>
  <c r="A8" i="1"/>
  <c r="J11" i="6"/>
  <c r="K11" i="6" s="1"/>
  <c r="U11" i="6"/>
  <c r="H12" i="2"/>
  <c r="J19" i="2"/>
  <c r="S16" i="6"/>
  <c r="T16" i="6" s="1"/>
  <c r="U15" i="6"/>
  <c r="B11" i="1"/>
  <c r="E30" i="1"/>
  <c r="D13" i="2"/>
  <c r="J8" i="2"/>
  <c r="K10" i="2"/>
  <c r="Q7" i="6"/>
  <c r="R7" i="6" s="1"/>
  <c r="U20" i="6"/>
  <c r="I23" i="2"/>
  <c r="J21" i="2"/>
  <c r="U17" i="6"/>
  <c r="S6" i="6"/>
  <c r="T6" i="6" s="1"/>
  <c r="K22" i="1"/>
  <c r="D21" i="2"/>
  <c r="Q17" i="6"/>
  <c r="R17" i="6" s="1"/>
  <c r="S15" i="6"/>
  <c r="T15" i="6" s="1"/>
  <c r="S8" i="6"/>
  <c r="T8" i="6" s="1"/>
  <c r="J11" i="2"/>
  <c r="V7" i="6"/>
  <c r="N10" i="2" s="1"/>
  <c r="K5" i="6"/>
  <c r="O12" i="5"/>
  <c r="O22" i="5" s="1"/>
  <c r="K13" i="1"/>
  <c r="E16" i="2" s="1"/>
  <c r="J22" i="1"/>
  <c r="D8" i="2"/>
  <c r="D23" i="2"/>
  <c r="L17" i="2"/>
  <c r="D15" i="2"/>
  <c r="E8" i="2"/>
  <c r="E24" i="2" s="1"/>
  <c r="V13" i="6"/>
  <c r="N16" i="2" s="1"/>
  <c r="M16" i="2"/>
  <c r="S9" i="6"/>
  <c r="T9" i="6" s="1"/>
  <c r="J22" i="2"/>
  <c r="I14" i="2"/>
  <c r="Q16" i="6"/>
  <c r="R16" i="6" s="1"/>
  <c r="S13" i="6"/>
  <c r="T13" i="6" s="1"/>
  <c r="J10" i="6"/>
  <c r="K10" i="6" s="1"/>
  <c r="I13" i="2"/>
  <c r="U10" i="6"/>
  <c r="J19" i="6"/>
  <c r="K19" i="6" s="1"/>
  <c r="U19" i="6"/>
  <c r="S19" i="6" s="1"/>
  <c r="T19" i="6" s="1"/>
  <c r="S17" i="6"/>
  <c r="T17" i="6" s="1"/>
  <c r="U14" i="6"/>
  <c r="Q14" i="6" s="1"/>
  <c r="R14" i="6" s="1"/>
  <c r="J14" i="6"/>
  <c r="K14" i="6" s="1"/>
  <c r="Q8" i="6"/>
  <c r="R8" i="6" s="1"/>
  <c r="O20" i="5"/>
  <c r="P20" i="5" s="1"/>
  <c r="O13" i="5"/>
  <c r="P13" i="5" s="1"/>
  <c r="K23" i="1"/>
  <c r="V16" i="6"/>
  <c r="N19" i="2" s="1"/>
  <c r="K18" i="2"/>
  <c r="Q15" i="6"/>
  <c r="R15" i="6" s="1"/>
  <c r="U12" i="6"/>
  <c r="I15" i="2"/>
  <c r="S10" i="6"/>
  <c r="T10" i="6" s="1"/>
  <c r="J13" i="2"/>
  <c r="U9" i="6"/>
  <c r="V5" i="6"/>
  <c r="M8" i="2"/>
  <c r="J12" i="2"/>
  <c r="J18" i="6"/>
  <c r="K18" i="6" s="1"/>
  <c r="I21" i="2"/>
  <c r="U18" i="6"/>
  <c r="S18" i="6" s="1"/>
  <c r="T18" i="6" s="1"/>
  <c r="Q9" i="6"/>
  <c r="R9" i="6" s="1"/>
  <c r="Q6" i="6"/>
  <c r="J23" i="5"/>
  <c r="K23" i="5"/>
  <c r="J20" i="2"/>
  <c r="K11" i="2"/>
  <c r="H9" i="2"/>
  <c r="M14" i="2" l="1"/>
  <c r="V11" i="6"/>
  <c r="N14" i="2" s="1"/>
  <c r="S11" i="6"/>
  <c r="T11" i="6" s="1"/>
  <c r="Q11" i="6"/>
  <c r="R11" i="6" s="1"/>
  <c r="M13" i="2"/>
  <c r="V10" i="6"/>
  <c r="N13" i="2" s="1"/>
  <c r="S23" i="6"/>
  <c r="J23" i="6"/>
  <c r="V20" i="6"/>
  <c r="N23" i="2" s="1"/>
  <c r="Q20" i="6"/>
  <c r="R20" i="6" s="1"/>
  <c r="S20" i="6"/>
  <c r="T20" i="6" s="1"/>
  <c r="M23" i="2"/>
  <c r="M18" i="2"/>
  <c r="V15" i="6"/>
  <c r="N18" i="2" s="1"/>
  <c r="E31" i="1"/>
  <c r="B12" i="1"/>
  <c r="J22" i="6"/>
  <c r="Q10" i="6"/>
  <c r="R10" i="6" s="1"/>
  <c r="V12" i="6"/>
  <c r="N15" i="2" s="1"/>
  <c r="M15" i="2"/>
  <c r="Q12" i="6"/>
  <c r="R12" i="6" s="1"/>
  <c r="U22" i="6"/>
  <c r="A12" i="6"/>
  <c r="H14" i="2"/>
  <c r="P12" i="5"/>
  <c r="O23" i="5"/>
  <c r="A9" i="1"/>
  <c r="A11" i="2"/>
  <c r="T23" i="6"/>
  <c r="N8" i="2"/>
  <c r="S12" i="6"/>
  <c r="T12" i="6" s="1"/>
  <c r="T22" i="6" s="1"/>
  <c r="R6" i="6"/>
  <c r="U23" i="6"/>
  <c r="S14" i="6"/>
  <c r="T14" i="6" s="1"/>
  <c r="V14" i="6"/>
  <c r="N17" i="2" s="1"/>
  <c r="M17" i="2"/>
  <c r="K23" i="6"/>
  <c r="K22" i="6"/>
  <c r="Q18" i="6"/>
  <c r="R18" i="6" s="1"/>
  <c r="M21" i="2"/>
  <c r="V18" i="6"/>
  <c r="N21" i="2" s="1"/>
  <c r="M12" i="2"/>
  <c r="M24" i="2" s="1"/>
  <c r="V9" i="6"/>
  <c r="N12" i="2" s="1"/>
  <c r="M22" i="2"/>
  <c r="V19" i="6"/>
  <c r="N22" i="2" s="1"/>
  <c r="Q19" i="6"/>
  <c r="R19" i="6" s="1"/>
  <c r="D24" i="2"/>
  <c r="M20" i="2"/>
  <c r="V17" i="6"/>
  <c r="N20" i="2" s="1"/>
  <c r="Q22" i="6" l="1"/>
  <c r="S22" i="6"/>
  <c r="N24" i="2"/>
  <c r="P22" i="5"/>
  <c r="P23" i="5"/>
  <c r="A12" i="2"/>
  <c r="A10" i="1"/>
  <c r="R22" i="6"/>
  <c r="R23" i="6"/>
  <c r="V23" i="6"/>
  <c r="V22" i="6"/>
  <c r="H15" i="2"/>
  <c r="A13" i="6"/>
  <c r="B13" i="1"/>
  <c r="E32" i="1"/>
  <c r="Q23" i="6"/>
  <c r="A14" i="6" l="1"/>
  <c r="H16" i="2"/>
  <c r="A11" i="1"/>
  <c r="A13" i="2"/>
  <c r="E33" i="1"/>
  <c r="B14" i="1"/>
  <c r="B15" i="1" s="1"/>
  <c r="B16" i="1" s="1"/>
  <c r="B17" i="1" s="1"/>
  <c r="B18" i="1" s="1"/>
  <c r="B19" i="1" s="1"/>
  <c r="B20" i="1" s="1"/>
  <c r="A14" i="2" l="1"/>
  <c r="A12" i="1"/>
  <c r="A15" i="6"/>
  <c r="H17" i="2"/>
  <c r="H18" i="2" l="1"/>
  <c r="A16" i="6"/>
  <c r="A13" i="1"/>
  <c r="A15" i="2"/>
  <c r="A16" i="2" l="1"/>
  <c r="A14" i="1"/>
  <c r="H19" i="2"/>
  <c r="A17" i="6"/>
  <c r="H20" i="2" l="1"/>
  <c r="A18" i="6"/>
  <c r="A15" i="1"/>
  <c r="A17" i="2"/>
  <c r="A18" i="2" l="1"/>
  <c r="A16" i="1"/>
  <c r="H21" i="2"/>
  <c r="A19" i="6"/>
  <c r="A20" i="6" l="1"/>
  <c r="H23" i="2" s="1"/>
  <c r="H22" i="2"/>
  <c r="A17" i="1"/>
  <c r="A19" i="2"/>
  <c r="A20" i="2" l="1"/>
  <c r="A18" i="1"/>
  <c r="A21" i="2" l="1"/>
  <c r="A19" i="1"/>
  <c r="A22" i="2" l="1"/>
  <c r="A20" i="1"/>
  <c r="A23" i="2" s="1"/>
</calcChain>
</file>

<file path=xl/sharedStrings.xml><?xml version="1.0" encoding="utf-8"?>
<sst xmlns="http://schemas.openxmlformats.org/spreadsheetml/2006/main" count="84" uniqueCount="43">
  <si>
    <t>Emergency / Standby, Prime, and New Combined</t>
  </si>
  <si>
    <t>Years back to 2002</t>
  </si>
  <si>
    <t>Sum Annual Costs</t>
  </si>
  <si>
    <t>(Cap*CRV+O&amp;M)*NPV</t>
  </si>
  <si>
    <t>Year</t>
  </si>
  <si>
    <t>NPV</t>
  </si>
  <si>
    <t>Cap*CRV*NPV</t>
  </si>
  <si>
    <t>O&amp;M</t>
  </si>
  <si>
    <t>O&amp;M*NPV</t>
  </si>
  <si>
    <t>PM Reduced (tons/yr)</t>
  </si>
  <si>
    <t>Cost Effectiveness ($/tons-yr)</t>
  </si>
  <si>
    <t>PM Reduced * NPV (tons/yr)</t>
  </si>
  <si>
    <t>Cost Effectiveness ($/lbs-yr)</t>
  </si>
  <si>
    <t>Inventory Based</t>
  </si>
  <si>
    <t>Average</t>
  </si>
  <si>
    <t>Wtd. Average</t>
  </si>
  <si>
    <t>((Cap*CRV+O&amp;M)* NPV)/2</t>
  </si>
  <si>
    <t>Sum half Annual Costs</t>
  </si>
  <si>
    <t>NOx Reduced (tons/yr)</t>
  </si>
  <si>
    <t>NOx Reduced * NPV (tons/yr)</t>
  </si>
  <si>
    <t>NOx Cost Effectiveness ($/tons-yr)</t>
  </si>
  <si>
    <t>NOx Cost Effectiveness ($/lbs-yr)</t>
  </si>
  <si>
    <t>PM Cost Effectiveness ($/tons-yr)</t>
  </si>
  <si>
    <t>PM Cost Effectiveness ($/lbs-yr)</t>
  </si>
  <si>
    <t>Weighted Average =</t>
  </si>
  <si>
    <t>Inventory Based PM Reduced</t>
  </si>
  <si>
    <t xml:space="preserve"> (tons/yr)</t>
  </si>
  <si>
    <t>Cost Effectiveness</t>
  </si>
  <si>
    <t>Sum Annual Costs ($)</t>
  </si>
  <si>
    <t>NOx+ROG Reduced (tons/yr)</t>
  </si>
  <si>
    <t>NOx+ROG Cost Effectiveness ($/tons-yr)</t>
  </si>
  <si>
    <t>NOx+ROG Cost Effectiveness ($/lbs-yr)</t>
  </si>
  <si>
    <t>ROG reduced (tons/yr)</t>
  </si>
  <si>
    <t>ROG Cost Effectiveness ($/tons-yr)</t>
  </si>
  <si>
    <t>ROG Cost Effectiveness ($/lbs-yr)</t>
  </si>
  <si>
    <t>($/ton)</t>
  </si>
  <si>
    <t>($/lb)</t>
  </si>
  <si>
    <t>ROG+NOx Cost Effectiveness</t>
  </si>
  <si>
    <t>ROG (tons/yr)</t>
  </si>
  <si>
    <t xml:space="preserve"> NOx (tons/yr)</t>
  </si>
  <si>
    <t>Inventory Reduced</t>
  </si>
  <si>
    <t>ROG+NOx (tons/yr)</t>
  </si>
  <si>
    <t>Example 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</si>
</sst>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(&quot;$&quot;* #,##0_);_(&quot;$&quot;* \(#,##0\);_(&quot;$&quot;* &quot;-&quot;??_);_(@_)"/>
    <numFmt numFmtId="168" formatCode="_(* #,##0_);_(* \(#,##0\);_(* &quot;-&quot;??_);_(@_)"/>
    <numFmt numFmtId="170" formatCode="0.0"/>
  </numFmts>
  <fonts count="4" x14ac:knownFonts="1">
    <font>
      <sz val="10"/>
      <name val="Arial"/>
    </font>
    <font>
      <sz val="10"/>
      <name val="Arial"/>
    </font>
    <font>
      <b/>
      <sz val="10"/>
      <name val="MS Sans Serif"/>
      <family val="2"/>
    </font>
    <font>
      <sz val="10"/>
      <name val="MS Sans Serif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164" fontId="0" fillId="0" borderId="0" xfId="0" applyNumberFormat="1"/>
    <xf numFmtId="165" fontId="3" fillId="0" borderId="0" xfId="2" applyNumberFormat="1" applyFont="1"/>
    <xf numFmtId="165" fontId="0" fillId="0" borderId="0" xfId="0" applyNumberFormat="1"/>
    <xf numFmtId="1" fontId="0" fillId="0" borderId="0" xfId="0" applyNumberFormat="1"/>
    <xf numFmtId="44" fontId="0" fillId="0" borderId="0" xfId="0" applyNumberFormat="1"/>
    <xf numFmtId="0" fontId="0" fillId="2" borderId="0" xfId="0" applyFill="1"/>
    <xf numFmtId="164" fontId="0" fillId="2" borderId="0" xfId="0" applyNumberFormat="1" applyFill="1"/>
    <xf numFmtId="165" fontId="3" fillId="2" borderId="0" xfId="2" applyNumberFormat="1" applyFont="1" applyFill="1"/>
    <xf numFmtId="165" fontId="0" fillId="2" borderId="0" xfId="0" applyNumberFormat="1" applyFill="1"/>
    <xf numFmtId="1" fontId="0" fillId="2" borderId="0" xfId="0" applyNumberFormat="1" applyFill="1"/>
    <xf numFmtId="44" fontId="0" fillId="2" borderId="0" xfId="0" applyNumberFormat="1" applyFill="1"/>
    <xf numFmtId="168" fontId="0" fillId="0" borderId="0" xfId="1" applyNumberFormat="1" applyFont="1"/>
    <xf numFmtId="168" fontId="0" fillId="2" borderId="0" xfId="1" applyNumberFormat="1" applyFont="1" applyFill="1"/>
    <xf numFmtId="168" fontId="1" fillId="0" borderId="0" xfId="1" applyNumberFormat="1"/>
    <xf numFmtId="168" fontId="1" fillId="2" borderId="0" xfId="1" applyNumberFormat="1" applyFill="1"/>
    <xf numFmtId="170" fontId="0" fillId="0" borderId="0" xfId="0" applyNumberFormat="1"/>
    <xf numFmtId="44" fontId="0" fillId="0" borderId="0" xfId="2" applyNumberFormat="1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165" fontId="0" fillId="0" borderId="1" xfId="2" applyNumberFormat="1" applyFont="1" applyBorder="1"/>
    <xf numFmtId="1" fontId="0" fillId="0" borderId="1" xfId="0" applyNumberFormat="1" applyBorder="1"/>
    <xf numFmtId="165" fontId="0" fillId="0" borderId="1" xfId="0" applyNumberFormat="1" applyBorder="1"/>
    <xf numFmtId="44" fontId="0" fillId="0" borderId="1" xfId="0" applyNumberFormat="1" applyBorder="1"/>
    <xf numFmtId="44" fontId="1" fillId="0" borderId="0" xfId="2" applyNumberFormat="1"/>
    <xf numFmtId="44" fontId="0" fillId="0" borderId="0" xfId="2" applyFont="1"/>
    <xf numFmtId="1" fontId="0" fillId="0" borderId="0" xfId="0" applyNumberFormat="1" applyAlignment="1">
      <alignment horizontal="right"/>
    </xf>
    <xf numFmtId="168" fontId="0" fillId="0" borderId="1" xfId="1" applyNumberFormat="1" applyFont="1" applyBorder="1"/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JLee\DPF_Costs\Inventory\Survey\Staff%20Report%20Used%2009-03\Inuse_Inv_Al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JLee\DPF_Costs\Inventory\Survey\Staff%20Report%20Used%2009-03\New_In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JLee\DPF_Costs\Inventory\Survey\Staff%20Report%20Used%2009-03\Common_Cost_inf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Amortize"/>
      <sheetName val="ES Yearly costs"/>
      <sheetName val="ES&amp;Prime Yrly $"/>
      <sheetName val="Stats Pub Avg"/>
      <sheetName val="Sample"/>
    </sheetNames>
    <sheetDataSet>
      <sheetData sheetId="0"/>
      <sheetData sheetId="1"/>
      <sheetData sheetId="2"/>
      <sheetData sheetId="3">
        <row r="5">
          <cell r="D5">
            <v>1936285.1176664208</v>
          </cell>
          <cell r="E5">
            <v>-694162.22675989405</v>
          </cell>
        </row>
        <row r="6">
          <cell r="D6">
            <v>3470107.0989124514</v>
          </cell>
          <cell r="E6">
            <v>-480037.71728882077</v>
          </cell>
        </row>
        <row r="7">
          <cell r="D7">
            <v>4853460.1270292308</v>
          </cell>
          <cell r="E7">
            <v>-265913.20781774761</v>
          </cell>
        </row>
        <row r="8">
          <cell r="D8">
            <v>6097196.5241260175</v>
          </cell>
          <cell r="E8">
            <v>-51788.698346674326</v>
          </cell>
        </row>
        <row r="9">
          <cell r="D9">
            <v>5806853.8325009681</v>
          </cell>
          <cell r="E9">
            <v>-51788.698346674326</v>
          </cell>
        </row>
        <row r="10">
          <cell r="D10">
            <v>5530336.9833342563</v>
          </cell>
          <cell r="E10">
            <v>-51788.698346674326</v>
          </cell>
        </row>
        <row r="11">
          <cell r="D11">
            <v>5350381.7062392794</v>
          </cell>
          <cell r="E11">
            <v>-51788.698346674326</v>
          </cell>
        </row>
        <row r="12">
          <cell r="D12">
            <v>5095601.6249897908</v>
          </cell>
          <cell r="E12">
            <v>-51788.698346674326</v>
          </cell>
        </row>
        <row r="13">
          <cell r="D13">
            <v>4188345.0713414405</v>
          </cell>
          <cell r="E13">
            <v>-258612.85926232405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3">
          <cell r="G13">
            <v>112190.76433121016</v>
          </cell>
          <cell r="I13">
            <v>530</v>
          </cell>
        </row>
        <row r="27">
          <cell r="I27">
            <v>12629.844444444443</v>
          </cell>
        </row>
        <row r="29">
          <cell r="I29">
            <v>2120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st Info"/>
      <sheetName val="Sheet1"/>
      <sheetName val="Sheet2"/>
      <sheetName val="Sheet3"/>
    </sheetNames>
    <sheetDataSet>
      <sheetData sheetId="0">
        <row r="2">
          <cell r="C2">
            <v>25</v>
          </cell>
        </row>
        <row r="3">
          <cell r="G3">
            <v>0.05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3"/>
  <sheetViews>
    <sheetView workbookViewId="0">
      <selection activeCell="B26" sqref="B26"/>
    </sheetView>
  </sheetViews>
  <sheetFormatPr defaultRowHeight="13.2" x14ac:dyDescent="0.25"/>
  <cols>
    <col min="3" max="3" width="8.6640625" customWidth="1"/>
    <col min="4" max="4" width="13.44140625" bestFit="1" customWidth="1"/>
    <col min="5" max="6" width="11.6640625" customWidth="1"/>
    <col min="7" max="7" width="20" bestFit="1" customWidth="1"/>
    <col min="8" max="8" width="10.6640625" customWidth="1"/>
    <col min="9" max="9" width="12.6640625" customWidth="1"/>
    <col min="10" max="10" width="13.6640625" customWidth="1"/>
    <col min="11" max="11" width="14.6640625" customWidth="1"/>
  </cols>
  <sheetData>
    <row r="1" spans="1:11" x14ac:dyDescent="0.25">
      <c r="A1" s="1" t="s">
        <v>0</v>
      </c>
      <c r="H1" t="s">
        <v>13</v>
      </c>
    </row>
    <row r="2" spans="1:11" x14ac:dyDescent="0.25">
      <c r="B2" s="30" t="s">
        <v>1</v>
      </c>
      <c r="G2" t="s">
        <v>2</v>
      </c>
      <c r="H2" s="30" t="s">
        <v>9</v>
      </c>
      <c r="I2" s="30" t="s">
        <v>11</v>
      </c>
      <c r="J2" s="30" t="s">
        <v>10</v>
      </c>
      <c r="K2" s="30" t="s">
        <v>12</v>
      </c>
    </row>
    <row r="3" spans="1:11" x14ac:dyDescent="0.25">
      <c r="B3" s="30"/>
      <c r="G3" s="30" t="s">
        <v>3</v>
      </c>
      <c r="H3" s="30"/>
      <c r="I3" s="30"/>
      <c r="J3" s="30"/>
      <c r="K3" s="30"/>
    </row>
    <row r="4" spans="1:11" x14ac:dyDescent="0.25">
      <c r="A4" t="s">
        <v>4</v>
      </c>
      <c r="B4" s="30"/>
      <c r="C4" t="s">
        <v>5</v>
      </c>
      <c r="D4" t="s">
        <v>6</v>
      </c>
      <c r="E4" t="s">
        <v>7</v>
      </c>
      <c r="F4" t="s">
        <v>8</v>
      </c>
      <c r="G4" s="30"/>
      <c r="H4" s="30"/>
      <c r="I4" s="30"/>
      <c r="J4" s="30"/>
      <c r="K4" s="30"/>
    </row>
    <row r="5" spans="1:11" x14ac:dyDescent="0.25">
      <c r="A5">
        <v>2005</v>
      </c>
      <c r="B5">
        <v>3</v>
      </c>
      <c r="C5" s="2">
        <v>0.86383759853147601</v>
      </c>
      <c r="D5" s="3">
        <v>1943161.4467156189</v>
      </c>
      <c r="E5" s="3">
        <v>-681662.22675989405</v>
      </c>
      <c r="F5" s="3">
        <v>-588845.46097388538</v>
      </c>
      <c r="G5" s="4">
        <v>1354315.9857417336</v>
      </c>
      <c r="H5" s="13">
        <v>168.37449999999998</v>
      </c>
      <c r="I5" s="5">
        <f>H5*C5</f>
        <v>145.44822373393799</v>
      </c>
      <c r="J5" s="6">
        <f>G5/H5</f>
        <v>8043.4744319462488</v>
      </c>
      <c r="K5" s="6">
        <f>J5/2000</f>
        <v>4.0217372159731246</v>
      </c>
    </row>
    <row r="6" spans="1:11" x14ac:dyDescent="0.25">
      <c r="A6">
        <f t="shared" ref="A6:B20" si="0">A5+1</f>
        <v>2006</v>
      </c>
      <c r="B6">
        <v>4</v>
      </c>
      <c r="C6" s="2">
        <v>0.82270247479188197</v>
      </c>
      <c r="D6" s="3">
        <v>3483204.8685299717</v>
      </c>
      <c r="E6" s="3">
        <v>-455037.71728882077</v>
      </c>
      <c r="F6" s="3">
        <v>-374360.6561371616</v>
      </c>
      <c r="G6" s="4">
        <v>3108844.2123928103</v>
      </c>
      <c r="H6" s="13">
        <v>152.4605</v>
      </c>
      <c r="I6" s="5">
        <f t="shared" ref="I6:I20" si="1">H6*C6</f>
        <v>125.42963065800772</v>
      </c>
      <c r="J6" s="6">
        <f t="shared" ref="J6:J20" si="2">G6/H6</f>
        <v>20391.145328742921</v>
      </c>
      <c r="K6" s="6">
        <f t="shared" ref="K6:K20" si="3">J6/2000</f>
        <v>10.195572664371461</v>
      </c>
    </row>
    <row r="7" spans="1:11" x14ac:dyDescent="0.25">
      <c r="A7">
        <f t="shared" si="0"/>
        <v>2007</v>
      </c>
      <c r="B7">
        <f t="shared" si="0"/>
        <v>5</v>
      </c>
      <c r="C7" s="2">
        <v>0.78352616646845896</v>
      </c>
      <c r="D7" s="3">
        <v>4872171.2264828319</v>
      </c>
      <c r="E7" s="3">
        <v>-228413.20781774761</v>
      </c>
      <c r="F7" s="3">
        <v>-178967.72509220321</v>
      </c>
      <c r="G7" s="4">
        <v>4693203.5013906285</v>
      </c>
      <c r="H7" s="13">
        <v>144.905</v>
      </c>
      <c r="I7" s="5">
        <f t="shared" si="1"/>
        <v>113.53685915211204</v>
      </c>
      <c r="J7" s="6">
        <f t="shared" si="2"/>
        <v>32388.140515445488</v>
      </c>
      <c r="K7" s="6">
        <f t="shared" si="3"/>
        <v>16.194070257722743</v>
      </c>
    </row>
    <row r="8" spans="1:11" x14ac:dyDescent="0.25">
      <c r="A8">
        <f t="shared" si="0"/>
        <v>2008</v>
      </c>
      <c r="B8">
        <f t="shared" si="0"/>
        <v>6</v>
      </c>
      <c r="C8" s="2">
        <v>0.74621539663662761</v>
      </c>
      <c r="D8" s="3">
        <v>6120956.6504163044</v>
      </c>
      <c r="E8" s="3">
        <v>-1788.6983466743259</v>
      </c>
      <c r="F8" s="3">
        <v>-1334.7542462268621</v>
      </c>
      <c r="G8" s="4">
        <v>6119621.8961700778</v>
      </c>
      <c r="H8" s="13">
        <v>138.51750000000001</v>
      </c>
      <c r="I8" s="5">
        <f t="shared" si="1"/>
        <v>103.36389120361407</v>
      </c>
      <c r="J8" s="6">
        <f t="shared" si="2"/>
        <v>44179.413403866492</v>
      </c>
      <c r="K8" s="6">
        <f t="shared" si="3"/>
        <v>22.089706701933245</v>
      </c>
    </row>
    <row r="9" spans="1:11" x14ac:dyDescent="0.25">
      <c r="A9">
        <f t="shared" si="0"/>
        <v>2009</v>
      </c>
      <c r="B9">
        <f t="shared" si="0"/>
        <v>7</v>
      </c>
      <c r="C9" s="2">
        <v>0.71068133013012147</v>
      </c>
      <c r="D9" s="3">
        <v>5835139.6971322615</v>
      </c>
      <c r="E9" s="3">
        <v>10711.301653325674</v>
      </c>
      <c r="F9" s="3">
        <v>7612.3221064104591</v>
      </c>
      <c r="G9" s="4">
        <v>5842752.0192386722</v>
      </c>
      <c r="H9" s="13">
        <v>131.54599999999999</v>
      </c>
      <c r="I9" s="5">
        <f t="shared" si="1"/>
        <v>93.487286253296958</v>
      </c>
      <c r="J9" s="6">
        <f t="shared" si="2"/>
        <v>44416.037121909234</v>
      </c>
      <c r="K9" s="6">
        <f t="shared" si="3"/>
        <v>22.208018560954617</v>
      </c>
    </row>
    <row r="10" spans="1:11" x14ac:dyDescent="0.25">
      <c r="A10">
        <f t="shared" si="0"/>
        <v>2010</v>
      </c>
      <c r="B10">
        <f t="shared" si="0"/>
        <v>8</v>
      </c>
      <c r="C10" s="2">
        <v>0.67683936202868722</v>
      </c>
      <c r="D10" s="3">
        <v>5562663.6857700208</v>
      </c>
      <c r="E10" s="3">
        <v>23211.301653325674</v>
      </c>
      <c r="F10" s="3">
        <v>15710.322602892362</v>
      </c>
      <c r="G10" s="4">
        <v>5578374.0083729131</v>
      </c>
      <c r="H10" s="13">
        <v>108.405</v>
      </c>
      <c r="I10" s="5">
        <f t="shared" si="1"/>
        <v>73.37277104071984</v>
      </c>
      <c r="J10" s="6">
        <f t="shared" si="2"/>
        <v>51458.641283823745</v>
      </c>
      <c r="K10" s="6">
        <f t="shared" si="3"/>
        <v>25.729320641911873</v>
      </c>
    </row>
    <row r="11" spans="1:11" x14ac:dyDescent="0.25">
      <c r="A11">
        <f t="shared" si="0"/>
        <v>2011</v>
      </c>
      <c r="B11">
        <f t="shared" si="0"/>
        <v>9</v>
      </c>
      <c r="C11" s="2">
        <v>0.64460891621779726</v>
      </c>
      <c r="D11" s="3">
        <v>5386300.2645012392</v>
      </c>
      <c r="E11" s="3">
        <v>35711.301653325674</v>
      </c>
      <c r="F11" s="3">
        <v>23019.823455477093</v>
      </c>
      <c r="G11" s="4">
        <v>5409320.0879567163</v>
      </c>
      <c r="H11" s="13">
        <v>117.60300000000001</v>
      </c>
      <c r="I11" s="5">
        <f t="shared" si="1"/>
        <v>75.807942373961623</v>
      </c>
      <c r="J11" s="6">
        <f t="shared" si="2"/>
        <v>45996.446416815183</v>
      </c>
      <c r="K11" s="6">
        <f t="shared" si="3"/>
        <v>22.998223208407591</v>
      </c>
    </row>
    <row r="12" spans="1:11" x14ac:dyDescent="0.25">
      <c r="A12">
        <f t="shared" si="0"/>
        <v>2012</v>
      </c>
      <c r="B12">
        <f t="shared" si="0"/>
        <v>10</v>
      </c>
      <c r="C12" s="2">
        <v>0.61391325354075932</v>
      </c>
      <c r="D12" s="3">
        <v>5129809.7757154675</v>
      </c>
      <c r="E12" s="3">
        <v>48211.301653325674</v>
      </c>
      <c r="F12" s="3">
        <v>29597.557055428155</v>
      </c>
      <c r="G12" s="4">
        <v>5159407.3327708952</v>
      </c>
      <c r="H12" s="13">
        <v>110.63150000000002</v>
      </c>
      <c r="I12" s="5">
        <f t="shared" si="1"/>
        <v>67.918144109094527</v>
      </c>
      <c r="J12" s="6">
        <f t="shared" si="2"/>
        <v>46635.970160134268</v>
      </c>
      <c r="K12" s="6">
        <f t="shared" si="3"/>
        <v>23.317985080067135</v>
      </c>
    </row>
    <row r="13" spans="1:11" x14ac:dyDescent="0.25">
      <c r="A13">
        <f t="shared" si="0"/>
        <v>2013</v>
      </c>
      <c r="B13">
        <f t="shared" si="0"/>
        <v>11</v>
      </c>
      <c r="C13" s="2">
        <v>0.5846792890864374</v>
      </c>
      <c r="D13" s="3">
        <v>4220924.2625087509</v>
      </c>
      <c r="E13" s="3">
        <v>-146112.85926232405</v>
      </c>
      <c r="F13" s="3">
        <v>-85429.162679882313</v>
      </c>
      <c r="G13" s="4">
        <v>4135495.0998288686</v>
      </c>
      <c r="H13" s="13">
        <v>103.66</v>
      </c>
      <c r="I13" s="5">
        <f t="shared" si="1"/>
        <v>60.6078551067001</v>
      </c>
      <c r="J13" s="6">
        <f t="shared" si="2"/>
        <v>39894.801271742901</v>
      </c>
      <c r="K13" s="6">
        <f t="shared" si="3"/>
        <v>19.94740063587145</v>
      </c>
    </row>
    <row r="14" spans="1:11" x14ac:dyDescent="0.25">
      <c r="A14">
        <f t="shared" si="0"/>
        <v>2014</v>
      </c>
      <c r="B14">
        <f t="shared" si="0"/>
        <v>12</v>
      </c>
      <c r="C14" s="2">
        <v>0.5568374181775595</v>
      </c>
      <c r="D14" s="3">
        <v>3386967.052655702</v>
      </c>
      <c r="E14" s="3">
        <v>-340437.02017797367</v>
      </c>
      <c r="F14" s="3">
        <v>-189568.07136796459</v>
      </c>
      <c r="G14" s="4">
        <v>3197398.9812877374</v>
      </c>
      <c r="H14" s="13">
        <v>96.688500000000005</v>
      </c>
      <c r="I14" s="5">
        <f t="shared" si="1"/>
        <v>53.839774707460961</v>
      </c>
      <c r="J14" s="6">
        <f t="shared" si="2"/>
        <v>33069.072136683651</v>
      </c>
      <c r="K14" s="6">
        <f t="shared" si="3"/>
        <v>16.534536068341826</v>
      </c>
    </row>
    <row r="15" spans="1:11" x14ac:dyDescent="0.25">
      <c r="A15">
        <f t="shared" si="0"/>
        <v>2015</v>
      </c>
      <c r="B15">
        <f t="shared" si="0"/>
        <v>13</v>
      </c>
      <c r="C15" s="2">
        <v>0.53032135064529462</v>
      </c>
      <c r="D15" s="3">
        <v>2622863.0821480462</v>
      </c>
      <c r="E15" s="3">
        <v>-498020.39175246656</v>
      </c>
      <c r="F15" s="3">
        <v>-264110.84680306679</v>
      </c>
      <c r="G15" s="4">
        <v>2358752.2353449794</v>
      </c>
      <c r="H15" s="13">
        <v>96.871000000000009</v>
      </c>
      <c r="I15" s="5">
        <f t="shared" si="1"/>
        <v>51.372759558360343</v>
      </c>
      <c r="J15" s="6">
        <f t="shared" si="2"/>
        <v>24349.415566526404</v>
      </c>
      <c r="K15" s="6">
        <f t="shared" si="3"/>
        <v>12.174707783263202</v>
      </c>
    </row>
    <row r="16" spans="1:11" x14ac:dyDescent="0.25">
      <c r="A16">
        <f t="shared" si="0"/>
        <v>2016</v>
      </c>
      <c r="B16">
        <f t="shared" si="0"/>
        <v>14</v>
      </c>
      <c r="C16" s="2">
        <v>0.50506795299551888</v>
      </c>
      <c r="D16" s="3">
        <v>1923850.7209570955</v>
      </c>
      <c r="E16" s="3">
        <v>-655603.76332695957</v>
      </c>
      <c r="F16" s="3">
        <v>-331124.45071970607</v>
      </c>
      <c r="G16" s="4">
        <v>1592726.2702373895</v>
      </c>
      <c r="H16" s="13">
        <v>82.745500000000021</v>
      </c>
      <c r="I16" s="5">
        <f t="shared" si="1"/>
        <v>41.792100304590718</v>
      </c>
      <c r="J16" s="6">
        <f t="shared" si="2"/>
        <v>19248.494120373787</v>
      </c>
      <c r="K16" s="6">
        <f t="shared" si="3"/>
        <v>9.6242470601868941</v>
      </c>
    </row>
    <row r="17" spans="1:11" x14ac:dyDescent="0.25">
      <c r="A17">
        <f t="shared" si="0"/>
        <v>2017</v>
      </c>
      <c r="B17">
        <f t="shared" si="0"/>
        <v>15</v>
      </c>
      <c r="C17" s="2">
        <v>0.48101709809097021</v>
      </c>
      <c r="D17" s="3">
        <v>1663365.602865428</v>
      </c>
      <c r="E17" s="3">
        <v>-679844.5526681164</v>
      </c>
      <c r="F17" s="3">
        <v>-327016.85387737112</v>
      </c>
      <c r="G17" s="4">
        <v>1336348.7489880568</v>
      </c>
      <c r="H17" s="13">
        <v>75.774000000000029</v>
      </c>
      <c r="I17" s="5">
        <f t="shared" si="1"/>
        <v>36.448589590745193</v>
      </c>
      <c r="J17" s="6">
        <f t="shared" si="2"/>
        <v>17635.980006177004</v>
      </c>
      <c r="K17" s="6">
        <f t="shared" si="3"/>
        <v>8.8179900030885019</v>
      </c>
    </row>
    <row r="18" spans="1:11" x14ac:dyDescent="0.25">
      <c r="A18">
        <f t="shared" si="0"/>
        <v>2018</v>
      </c>
      <c r="B18">
        <f t="shared" si="0"/>
        <v>16</v>
      </c>
      <c r="C18" s="2">
        <v>0.45811152199140021</v>
      </c>
      <c r="D18" s="3">
        <v>1423326.1179685297</v>
      </c>
      <c r="E18" s="3">
        <v>-704085.34200927312</v>
      </c>
      <c r="F18" s="3">
        <v>-322549.60763970367</v>
      </c>
      <c r="G18" s="4">
        <v>1100776.510328826</v>
      </c>
      <c r="H18" s="13">
        <v>68.802499999999995</v>
      </c>
      <c r="I18" s="5">
        <f t="shared" si="1"/>
        <v>31.51921799181331</v>
      </c>
      <c r="J18" s="6">
        <f t="shared" si="2"/>
        <v>15999.077218543311</v>
      </c>
      <c r="K18" s="6">
        <f t="shared" si="3"/>
        <v>7.9995386092716556</v>
      </c>
    </row>
    <row r="19" spans="1:11" x14ac:dyDescent="0.25">
      <c r="A19">
        <f t="shared" si="0"/>
        <v>2019</v>
      </c>
      <c r="B19">
        <f t="shared" si="0"/>
        <v>17</v>
      </c>
      <c r="C19" s="2">
        <v>0.43629668761085727</v>
      </c>
      <c r="D19" s="3">
        <v>1202375.732307015</v>
      </c>
      <c r="E19" s="3">
        <v>-691585.34200927312</v>
      </c>
      <c r="F19" s="3">
        <v>-301736.39391886775</v>
      </c>
      <c r="G19" s="4">
        <v>900639.3383881473</v>
      </c>
      <c r="H19" s="13">
        <v>61.830999999999996</v>
      </c>
      <c r="I19" s="5">
        <f t="shared" si="1"/>
        <v>26.976660491666912</v>
      </c>
      <c r="J19" s="6">
        <f t="shared" si="2"/>
        <v>14566.14543494602</v>
      </c>
      <c r="K19" s="6">
        <f t="shared" si="3"/>
        <v>7.2830727174730097</v>
      </c>
    </row>
    <row r="20" spans="1:11" x14ac:dyDescent="0.25">
      <c r="A20" s="7">
        <f t="shared" si="0"/>
        <v>2020</v>
      </c>
      <c r="B20" s="7">
        <f t="shared" si="0"/>
        <v>18</v>
      </c>
      <c r="C20" s="8">
        <v>0.41552065486748313</v>
      </c>
      <c r="D20" s="9">
        <v>999240.74365188414</v>
      </c>
      <c r="E20" s="9">
        <v>-679085.34200927312</v>
      </c>
      <c r="F20" s="9">
        <v>-282173.98602260189</v>
      </c>
      <c r="G20" s="10">
        <v>717066.75762928231</v>
      </c>
      <c r="H20" s="14">
        <v>55.699000000000005</v>
      </c>
      <c r="I20" s="11">
        <f t="shared" si="1"/>
        <v>23.144084955463946</v>
      </c>
      <c r="J20" s="12">
        <f t="shared" si="2"/>
        <v>12873.961069844741</v>
      </c>
      <c r="K20" s="12">
        <f t="shared" si="3"/>
        <v>6.4369805349223705</v>
      </c>
    </row>
    <row r="21" spans="1:11" x14ac:dyDescent="0.25">
      <c r="C21" s="2"/>
      <c r="D21" s="3"/>
      <c r="E21" s="3"/>
      <c r="F21" s="3"/>
      <c r="G21" s="4"/>
      <c r="H21" s="13"/>
      <c r="I21" s="5"/>
      <c r="J21" s="6"/>
    </row>
    <row r="22" spans="1:11" x14ac:dyDescent="0.25">
      <c r="C22" s="2"/>
      <c r="D22" s="3"/>
      <c r="E22" s="3"/>
      <c r="F22" s="3"/>
      <c r="G22" s="4"/>
      <c r="H22" s="4"/>
      <c r="I22" s="5" t="s">
        <v>14</v>
      </c>
      <c r="J22" s="4">
        <f>AVERAGE(J5:J20)</f>
        <v>29446.63846797009</v>
      </c>
      <c r="K22" s="6">
        <f>AVERAGE(K5:K20)</f>
        <v>14.723319233985046</v>
      </c>
    </row>
    <row r="23" spans="1:11" x14ac:dyDescent="0.25">
      <c r="C23" s="2"/>
      <c r="D23" s="3"/>
      <c r="E23" s="3"/>
      <c r="F23" s="3"/>
      <c r="G23" s="4"/>
      <c r="H23" s="4"/>
      <c r="I23" s="5" t="s">
        <v>15</v>
      </c>
      <c r="J23" s="4">
        <f>SUMPRODUCT(J5:J20,$H$5:$H$20)/SUM($H$5:$H$20)</f>
        <v>30682.180282562629</v>
      </c>
      <c r="K23" s="6">
        <f>SUMPRODUCT(K5:K20,$H$5:$H$20)/SUM($H$5:$H$20)</f>
        <v>15.341090141281317</v>
      </c>
    </row>
    <row r="24" spans="1:11" x14ac:dyDescent="0.25">
      <c r="C24" s="2"/>
      <c r="D24" s="3"/>
      <c r="E24" s="3"/>
      <c r="F24" s="3"/>
      <c r="G24" s="4"/>
      <c r="H24" s="4"/>
      <c r="I24" s="5"/>
      <c r="J24" s="6"/>
    </row>
    <row r="25" spans="1:11" x14ac:dyDescent="0.25">
      <c r="B25" t="s">
        <v>42</v>
      </c>
      <c r="C25" s="2"/>
      <c r="D25" s="3">
        <f>'[1]ES&amp;Prime Yrly $'!$D5+PMT('[3]Cost Info'!$G$3,'[3]Cost Info'!$C$2,-([2]Sheet1!$G$13)*C5)</f>
        <v>1943161.4467156189</v>
      </c>
      <c r="E25" s="3">
        <f>'[1]ES&amp;Prime Yrly $'!$E5+([2]Sheet1!$I$13+[2]Sheet1!$I$27)*(B5-2)+[2]Sheet1!$I$29</f>
        <v>-678882.38231544965</v>
      </c>
      <c r="F25" s="3"/>
      <c r="G25" s="4"/>
      <c r="H25" s="13">
        <f>AVERAGE(H5:H20)*2000</f>
        <v>214314.31250000003</v>
      </c>
      <c r="I25" s="5"/>
      <c r="J25" s="6"/>
    </row>
    <row r="26" spans="1:11" x14ac:dyDescent="0.25">
      <c r="C26" s="2"/>
      <c r="D26" s="3">
        <f>'[1]ES&amp;Prime Yrly $'!$D6+PMT('[3]Cost Info'!$G$3,'[3]Cost Info'!$C$2,-([2]Sheet1!$G$13)*C6)</f>
        <v>3476655.9837212116</v>
      </c>
      <c r="E26" s="3">
        <f>'[1]ES&amp;Prime Yrly $'!$E6+([2]Sheet1!$I$13+[2]Sheet1!$I$27)*(B6-2)+[2]Sheet1!$I$29</f>
        <v>-451598.02839993191</v>
      </c>
      <c r="F26" s="3"/>
      <c r="G26" s="4"/>
      <c r="H26" s="4"/>
      <c r="I26" s="5"/>
      <c r="J26" s="6"/>
    </row>
    <row r="27" spans="1:11" x14ac:dyDescent="0.25">
      <c r="C27" s="2"/>
      <c r="D27" s="3">
        <f>'[1]ES&amp;Prime Yrly $'!$D7+PMT('[3]Cost Info'!$G$3,'[3]Cost Info'!$C$2,-([2]Sheet1!$G$13)*C7)</f>
        <v>4859697.1601804309</v>
      </c>
      <c r="E27" s="3">
        <f>'[1]ES&amp;Prime Yrly $'!$E7+([2]Sheet1!$I$13+[2]Sheet1!$I$27)*(B7-2)+[2]Sheet1!$I$29</f>
        <v>-224313.67448441428</v>
      </c>
      <c r="F27" s="3"/>
      <c r="G27" s="4"/>
      <c r="H27" s="4"/>
      <c r="I27" s="5"/>
      <c r="J27" s="6"/>
    </row>
    <row r="28" spans="1:11" x14ac:dyDescent="0.25">
      <c r="C28" s="2"/>
      <c r="D28" s="3">
        <f>'[1]ES&amp;Prime Yrly $'!$D8+PMT('[3]Cost Info'!$G$3,'[3]Cost Info'!$C$2,-([2]Sheet1!$G$13)*C8)</f>
        <v>6103136.5556985894</v>
      </c>
      <c r="E28" s="3">
        <f>'[1]ES&amp;Prime Yrly $'!$E8+([2]Sheet1!$I$13+[2]Sheet1!$I$27)*(B8-2)+[2]Sheet1!$I$29</f>
        <v>2970.6794311034464</v>
      </c>
      <c r="F28" s="3"/>
      <c r="G28" s="4"/>
      <c r="H28" s="4"/>
      <c r="I28" s="5"/>
      <c r="J28" s="6"/>
    </row>
    <row r="29" spans="1:11" x14ac:dyDescent="0.25">
      <c r="C29" s="2"/>
      <c r="D29" s="3">
        <f>'[1]ES&amp;Prime Yrly $'!$D9+PMT('[3]Cost Info'!$G$3,'[3]Cost Info'!$C$2,-([2]Sheet1!$G$13)*C9)</f>
        <v>5812511.0054272264</v>
      </c>
      <c r="E29" s="3">
        <f>'[1]ES&amp;Prime Yrly $'!$E9+([2]Sheet1!$I$13+[2]Sheet1!$I$27)*(B9-2)+[2]Sheet1!$I$29</f>
        <v>16130.523875547893</v>
      </c>
      <c r="F29" s="3"/>
      <c r="G29" s="4"/>
      <c r="H29" s="4"/>
      <c r="I29" s="5"/>
      <c r="J29" s="6"/>
    </row>
    <row r="30" spans="1:11" x14ac:dyDescent="0.25">
      <c r="C30" s="2"/>
      <c r="D30" s="3">
        <f>'[1]ES&amp;Prime Yrly $'!$D10+PMT('[3]Cost Info'!$G$3,'[3]Cost Info'!$C$2,-([2]Sheet1!$G$13)*C10)</f>
        <v>5535724.7670735503</v>
      </c>
      <c r="E30" s="3">
        <f>'[1]ES&amp;Prime Yrly $'!$E10+([2]Sheet1!$I$13+[2]Sheet1!$I$27)*(B10-2)+[2]Sheet1!$I$29</f>
        <v>29290.368319992325</v>
      </c>
      <c r="F30" s="3"/>
      <c r="G30" s="4"/>
      <c r="H30" s="4"/>
      <c r="I30" s="5"/>
      <c r="J30" s="6"/>
    </row>
    <row r="31" spans="1:11" x14ac:dyDescent="0.25">
      <c r="D31" s="3">
        <f>'[1]ES&amp;Prime Yrly $'!$D11+PMT('[3]Cost Info'!$G$3,'[3]Cost Info'!$C$2,-([2]Sheet1!$G$13)*C11)</f>
        <v>5355512.9288481306</v>
      </c>
      <c r="E31" s="3">
        <f>'[1]ES&amp;Prime Yrly $'!$E11+([2]Sheet1!$I$13+[2]Sheet1!$I$27)*(B11-2)+[2]Sheet1!$I$29</f>
        <v>42450.212764436772</v>
      </c>
    </row>
    <row r="32" spans="1:11" x14ac:dyDescent="0.25">
      <c r="D32" s="3">
        <f>'[1]ES&amp;Prime Yrly $'!$D12+PMT('[3]Cost Info'!$G$3,'[3]Cost Info'!$C$2,-([2]Sheet1!$G$13)*C12)</f>
        <v>5100488.5036648875</v>
      </c>
      <c r="E32" s="3">
        <f>'[1]ES&amp;Prime Yrly $'!$E12+([2]Sheet1!$I$13+[2]Sheet1!$I$27)*(B12-2)+[2]Sheet1!$I$29</f>
        <v>55610.057208881219</v>
      </c>
    </row>
    <row r="33" spans="4:5" x14ac:dyDescent="0.25">
      <c r="D33" s="3">
        <f>'[1]ES&amp;Prime Yrly $'!$D13+PMT('[3]Cost Info'!$G$3,'[3]Cost Info'!$C$2,-([2]Sheet1!$G$13)*C13)</f>
        <v>4192999.2415081994</v>
      </c>
      <c r="E33" s="3">
        <f>'[1]ES&amp;Prime Yrly $'!$E13+([2]Sheet1!$I$13+[2]Sheet1!$I$27)*(B13-2)+[2]Sheet1!$I$29</f>
        <v>-138054.25926232408</v>
      </c>
    </row>
  </sheetData>
  <mergeCells count="6">
    <mergeCell ref="J2:J4"/>
    <mergeCell ref="K2:K4"/>
    <mergeCell ref="B2:B4"/>
    <mergeCell ref="I2:I4"/>
    <mergeCell ref="G3:G4"/>
    <mergeCell ref="H2:H4"/>
  </mergeCells>
  <pageMargins left="0.75" right="0.75" top="1" bottom="1" header="0.5" footer="0.5"/>
  <pageSetup scale="9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topLeftCell="J1" workbookViewId="0">
      <selection activeCell="O5" sqref="O5"/>
    </sheetView>
  </sheetViews>
  <sheetFormatPr defaultRowHeight="13.2" x14ac:dyDescent="0.25"/>
  <cols>
    <col min="3" max="3" width="8.6640625" customWidth="1"/>
    <col min="4" max="4" width="13.44140625" bestFit="1" customWidth="1"/>
    <col min="5" max="6" width="11.6640625" customWidth="1"/>
    <col min="7" max="7" width="20" bestFit="1" customWidth="1"/>
    <col min="8" max="8" width="10.6640625" customWidth="1"/>
    <col min="9" max="9" width="12.6640625" customWidth="1"/>
    <col min="10" max="10" width="13.6640625" customWidth="1"/>
    <col min="11" max="11" width="14.6640625" customWidth="1"/>
    <col min="13" max="16" width="11.6640625" customWidth="1"/>
  </cols>
  <sheetData>
    <row r="1" spans="1:16" x14ac:dyDescent="0.25">
      <c r="A1" s="1" t="s">
        <v>0</v>
      </c>
      <c r="H1" t="s">
        <v>13</v>
      </c>
      <c r="M1" t="s">
        <v>13</v>
      </c>
    </row>
    <row r="2" spans="1:16" x14ac:dyDescent="0.25">
      <c r="B2" s="30" t="s">
        <v>1</v>
      </c>
      <c r="G2" t="s">
        <v>17</v>
      </c>
      <c r="H2" s="30" t="s">
        <v>9</v>
      </c>
      <c r="I2" s="30" t="s">
        <v>11</v>
      </c>
      <c r="J2" s="30" t="s">
        <v>22</v>
      </c>
      <c r="K2" s="30" t="s">
        <v>23</v>
      </c>
      <c r="M2" s="30" t="s">
        <v>18</v>
      </c>
      <c r="N2" s="30" t="s">
        <v>19</v>
      </c>
      <c r="O2" s="30" t="s">
        <v>20</v>
      </c>
      <c r="P2" s="30" t="s">
        <v>21</v>
      </c>
    </row>
    <row r="3" spans="1:16" x14ac:dyDescent="0.25">
      <c r="B3" s="30"/>
      <c r="G3" s="30" t="s">
        <v>16</v>
      </c>
      <c r="H3" s="30"/>
      <c r="I3" s="30"/>
      <c r="J3" s="30"/>
      <c r="K3" s="30"/>
      <c r="M3" s="30"/>
      <c r="N3" s="30"/>
      <c r="O3" s="30"/>
      <c r="P3" s="30"/>
    </row>
    <row r="4" spans="1:16" x14ac:dyDescent="0.25">
      <c r="A4" t="s">
        <v>4</v>
      </c>
      <c r="B4" s="30"/>
      <c r="C4" t="s">
        <v>5</v>
      </c>
      <c r="D4" t="s">
        <v>6</v>
      </c>
      <c r="E4" t="s">
        <v>7</v>
      </c>
      <c r="F4" t="s">
        <v>8</v>
      </c>
      <c r="G4" s="30"/>
      <c r="H4" s="30"/>
      <c r="I4" s="30"/>
      <c r="J4" s="30"/>
      <c r="K4" s="30"/>
      <c r="M4" s="30"/>
      <c r="N4" s="30"/>
      <c r="O4" s="30"/>
      <c r="P4" s="30"/>
    </row>
    <row r="5" spans="1:16" x14ac:dyDescent="0.25">
      <c r="A5">
        <v>2005</v>
      </c>
      <c r="B5">
        <v>3</v>
      </c>
      <c r="C5" s="2">
        <v>0.86383759853147601</v>
      </c>
      <c r="D5" s="3">
        <v>1943161.4467156189</v>
      </c>
      <c r="E5" s="3">
        <v>-681662.22675989405</v>
      </c>
      <c r="F5" s="3">
        <v>-588845.46097388538</v>
      </c>
      <c r="G5" s="4">
        <f>(D5+F5)/2</f>
        <v>677157.99287086679</v>
      </c>
      <c r="H5" s="15">
        <v>168.37449999999998</v>
      </c>
      <c r="I5" s="5">
        <f t="shared" ref="I5:I20" si="0">H5*C5</f>
        <v>145.44822373393799</v>
      </c>
      <c r="J5" s="6">
        <f>G5/H5</f>
        <v>4021.7372159731244</v>
      </c>
      <c r="K5" s="6">
        <f t="shared" ref="K5:K20" si="1">J5/2000</f>
        <v>2.0108686079865623</v>
      </c>
      <c r="M5" s="5">
        <v>418.18049999999926</v>
      </c>
      <c r="N5" s="17">
        <f>M5*C5</f>
        <v>361.24003887269129</v>
      </c>
      <c r="O5" s="18">
        <f>G5/M5</f>
        <v>1619.2959568197657</v>
      </c>
      <c r="P5" s="6">
        <f t="shared" ref="P5:P20" si="2">O5/2000</f>
        <v>0.8096479784098829</v>
      </c>
    </row>
    <row r="6" spans="1:16" x14ac:dyDescent="0.25">
      <c r="A6">
        <f t="shared" ref="A6:A20" si="3">A5+1</f>
        <v>2006</v>
      </c>
      <c r="B6">
        <v>4</v>
      </c>
      <c r="C6" s="2">
        <v>0.82270247479188197</v>
      </c>
      <c r="D6" s="3">
        <v>3483204.8685299717</v>
      </c>
      <c r="E6" s="3">
        <v>-455037.71728882077</v>
      </c>
      <c r="F6" s="3">
        <v>-374360.6561371616</v>
      </c>
      <c r="G6" s="4">
        <f t="shared" ref="G6:G20" si="4">(D6+F6)/2</f>
        <v>1554422.1061964051</v>
      </c>
      <c r="H6" s="15">
        <v>152.4605</v>
      </c>
      <c r="I6" s="5">
        <f t="shared" si="0"/>
        <v>125.42963065800772</v>
      </c>
      <c r="J6" s="6">
        <f t="shared" ref="J6:J20" si="5">G6/H6</f>
        <v>10195.572664371461</v>
      </c>
      <c r="K6" s="6">
        <f t="shared" si="1"/>
        <v>5.0977863321857306</v>
      </c>
      <c r="M6" s="5">
        <v>305.94300000000021</v>
      </c>
      <c r="N6" s="17">
        <f t="shared" ref="N6:N20" si="6">M6*C6</f>
        <v>251.70006324525292</v>
      </c>
      <c r="O6" s="18">
        <f t="shared" ref="O6:O20" si="7">G6/M6</f>
        <v>5080.7572201240237</v>
      </c>
      <c r="P6" s="6">
        <f t="shared" si="2"/>
        <v>2.540378610062012</v>
      </c>
    </row>
    <row r="7" spans="1:16" x14ac:dyDescent="0.25">
      <c r="A7">
        <f t="shared" si="3"/>
        <v>2007</v>
      </c>
      <c r="B7">
        <f t="shared" ref="B7:B20" si="8">B6+1</f>
        <v>5</v>
      </c>
      <c r="C7" s="2">
        <v>0.78352616646845896</v>
      </c>
      <c r="D7" s="3">
        <v>4872171.2264828319</v>
      </c>
      <c r="E7" s="3">
        <v>-228413.20781774761</v>
      </c>
      <c r="F7" s="3">
        <v>-178967.72509220321</v>
      </c>
      <c r="G7" s="4">
        <f t="shared" si="4"/>
        <v>2346601.7506953143</v>
      </c>
      <c r="H7" s="15">
        <v>144.905</v>
      </c>
      <c r="I7" s="5">
        <f t="shared" si="0"/>
        <v>113.53685915211204</v>
      </c>
      <c r="J7" s="6">
        <f t="shared" si="5"/>
        <v>16194.070257722744</v>
      </c>
      <c r="K7" s="6">
        <f t="shared" si="1"/>
        <v>8.0970351288613713</v>
      </c>
      <c r="M7" s="5">
        <v>389.0534999999997</v>
      </c>
      <c r="N7" s="17">
        <f t="shared" si="6"/>
        <v>304.83359740613639</v>
      </c>
      <c r="O7" s="18">
        <f t="shared" si="7"/>
        <v>6031.5657119016178</v>
      </c>
      <c r="P7" s="6">
        <f t="shared" si="2"/>
        <v>3.0157828559508091</v>
      </c>
    </row>
    <row r="8" spans="1:16" x14ac:dyDescent="0.25">
      <c r="A8">
        <f t="shared" si="3"/>
        <v>2008</v>
      </c>
      <c r="B8">
        <f t="shared" si="8"/>
        <v>6</v>
      </c>
      <c r="C8" s="2">
        <v>0.74621539663662761</v>
      </c>
      <c r="D8" s="3">
        <v>6120956.6504163044</v>
      </c>
      <c r="E8" s="3">
        <v>-1788.6983466743259</v>
      </c>
      <c r="F8" s="3">
        <v>-1334.7542462268621</v>
      </c>
      <c r="G8" s="4">
        <f t="shared" si="4"/>
        <v>3059810.9480850389</v>
      </c>
      <c r="H8" s="15">
        <v>138.51750000000001</v>
      </c>
      <c r="I8" s="5">
        <f t="shared" si="0"/>
        <v>103.36389120361407</v>
      </c>
      <c r="J8" s="6">
        <f t="shared" si="5"/>
        <v>22089.706701933246</v>
      </c>
      <c r="K8" s="6">
        <f t="shared" si="1"/>
        <v>11.044853350966623</v>
      </c>
      <c r="M8" s="5">
        <v>455.0090000000003</v>
      </c>
      <c r="N8" s="17">
        <f t="shared" si="6"/>
        <v>339.5347214082355</v>
      </c>
      <c r="O8" s="18">
        <f t="shared" si="7"/>
        <v>6724.7262099981253</v>
      </c>
      <c r="P8" s="6">
        <f t="shared" si="2"/>
        <v>3.3623631049990625</v>
      </c>
    </row>
    <row r="9" spans="1:16" x14ac:dyDescent="0.25">
      <c r="A9">
        <f t="shared" si="3"/>
        <v>2009</v>
      </c>
      <c r="B9">
        <f t="shared" si="8"/>
        <v>7</v>
      </c>
      <c r="C9" s="2">
        <v>0.71068133013012147</v>
      </c>
      <c r="D9" s="3">
        <v>5835139.6971322615</v>
      </c>
      <c r="E9" s="3">
        <v>10711.301653325674</v>
      </c>
      <c r="F9" s="3">
        <v>7612.3221064104591</v>
      </c>
      <c r="G9" s="4">
        <f t="shared" si="4"/>
        <v>2921376.0096193361</v>
      </c>
      <c r="H9" s="15">
        <v>131.54599999999999</v>
      </c>
      <c r="I9" s="5">
        <f t="shared" si="0"/>
        <v>93.487286253296958</v>
      </c>
      <c r="J9" s="6">
        <f t="shared" si="5"/>
        <v>22208.018560954617</v>
      </c>
      <c r="K9" s="6">
        <f t="shared" si="1"/>
        <v>11.104009280477309</v>
      </c>
      <c r="M9" s="5">
        <v>529.54199999999969</v>
      </c>
      <c r="N9" s="17">
        <f t="shared" si="6"/>
        <v>376.33561291976457</v>
      </c>
      <c r="O9" s="18">
        <f t="shared" si="7"/>
        <v>5516.7975526385781</v>
      </c>
      <c r="P9" s="6">
        <f t="shared" si="2"/>
        <v>2.758398776319289</v>
      </c>
    </row>
    <row r="10" spans="1:16" x14ac:dyDescent="0.25">
      <c r="A10">
        <f t="shared" si="3"/>
        <v>2010</v>
      </c>
      <c r="B10">
        <f t="shared" si="8"/>
        <v>8</v>
      </c>
      <c r="C10" s="2">
        <v>0.67683936202868722</v>
      </c>
      <c r="D10" s="3">
        <v>5562663.6857700208</v>
      </c>
      <c r="E10" s="3">
        <v>23211.301653325674</v>
      </c>
      <c r="F10" s="3">
        <v>15710.322602892362</v>
      </c>
      <c r="G10" s="4">
        <f t="shared" si="4"/>
        <v>2789187.0041864566</v>
      </c>
      <c r="H10" s="15">
        <v>108.405</v>
      </c>
      <c r="I10" s="5">
        <f t="shared" si="0"/>
        <v>73.37277104071984</v>
      </c>
      <c r="J10" s="6">
        <f t="shared" si="5"/>
        <v>25729.320641911872</v>
      </c>
      <c r="K10" s="6">
        <f t="shared" si="1"/>
        <v>12.864660320955936</v>
      </c>
      <c r="M10" s="5">
        <v>352.04250000000002</v>
      </c>
      <c r="N10" s="17">
        <f t="shared" si="6"/>
        <v>238.27622110698414</v>
      </c>
      <c r="O10" s="18">
        <f t="shared" si="7"/>
        <v>7922.8701199044335</v>
      </c>
      <c r="P10" s="6">
        <f t="shared" si="2"/>
        <v>3.9614350599522168</v>
      </c>
    </row>
    <row r="11" spans="1:16" x14ac:dyDescent="0.25">
      <c r="A11">
        <f t="shared" si="3"/>
        <v>2011</v>
      </c>
      <c r="B11">
        <f t="shared" si="8"/>
        <v>9</v>
      </c>
      <c r="C11" s="2">
        <v>0.64460891621779726</v>
      </c>
      <c r="D11" s="3">
        <v>5386300.2645012392</v>
      </c>
      <c r="E11" s="3">
        <v>35711.301653325674</v>
      </c>
      <c r="F11" s="3">
        <v>23019.823455477093</v>
      </c>
      <c r="G11" s="4">
        <f t="shared" si="4"/>
        <v>2704660.0439783582</v>
      </c>
      <c r="H11" s="15">
        <v>117.60300000000001</v>
      </c>
      <c r="I11" s="5">
        <f t="shared" si="0"/>
        <v>75.807942373961623</v>
      </c>
      <c r="J11" s="6">
        <f t="shared" si="5"/>
        <v>22998.223208407591</v>
      </c>
      <c r="K11" s="6">
        <f t="shared" si="1"/>
        <v>11.499111604203796</v>
      </c>
      <c r="M11" s="5">
        <v>678.60800000000052</v>
      </c>
      <c r="N11" s="17">
        <f t="shared" si="6"/>
        <v>437.43676741672732</v>
      </c>
      <c r="O11" s="18">
        <f t="shared" si="7"/>
        <v>3985.5999987892214</v>
      </c>
      <c r="P11" s="6">
        <f t="shared" si="2"/>
        <v>1.9927999993946108</v>
      </c>
    </row>
    <row r="12" spans="1:16" x14ac:dyDescent="0.25">
      <c r="A12">
        <f t="shared" si="3"/>
        <v>2012</v>
      </c>
      <c r="B12">
        <f t="shared" si="8"/>
        <v>10</v>
      </c>
      <c r="C12" s="2">
        <v>0.61391325354075932</v>
      </c>
      <c r="D12" s="3">
        <v>5129809.7757154675</v>
      </c>
      <c r="E12" s="3">
        <v>48211.301653325674</v>
      </c>
      <c r="F12" s="3">
        <v>29597.557055428155</v>
      </c>
      <c r="G12" s="4">
        <f t="shared" si="4"/>
        <v>2579703.6663854476</v>
      </c>
      <c r="H12" s="15">
        <v>110.63150000000002</v>
      </c>
      <c r="I12" s="5">
        <f t="shared" si="0"/>
        <v>67.918144109094527</v>
      </c>
      <c r="J12" s="6">
        <f t="shared" si="5"/>
        <v>23317.985080067134</v>
      </c>
      <c r="K12" s="6">
        <f t="shared" si="1"/>
        <v>11.658992540033568</v>
      </c>
      <c r="M12" s="5">
        <v>753.14100000000053</v>
      </c>
      <c r="N12" s="17">
        <f t="shared" si="6"/>
        <v>462.36324168494133</v>
      </c>
      <c r="O12" s="18">
        <f t="shared" si="7"/>
        <v>3425.2599000525079</v>
      </c>
      <c r="P12" s="6">
        <f t="shared" si="2"/>
        <v>1.7126299500262538</v>
      </c>
    </row>
    <row r="13" spans="1:16" x14ac:dyDescent="0.25">
      <c r="A13">
        <f t="shared" si="3"/>
        <v>2013</v>
      </c>
      <c r="B13">
        <f t="shared" si="8"/>
        <v>11</v>
      </c>
      <c r="C13" s="2">
        <v>0.5846792890864374</v>
      </c>
      <c r="D13" s="3">
        <v>4220924.2625087509</v>
      </c>
      <c r="E13" s="3">
        <v>-146112.85926232405</v>
      </c>
      <c r="F13" s="3">
        <v>-85429.162679882313</v>
      </c>
      <c r="G13" s="4">
        <f t="shared" si="4"/>
        <v>2067747.5499144343</v>
      </c>
      <c r="H13" s="15">
        <v>103.66</v>
      </c>
      <c r="I13" s="5">
        <f t="shared" si="0"/>
        <v>60.6078551067001</v>
      </c>
      <c r="J13" s="6">
        <f t="shared" si="5"/>
        <v>19947.400635871451</v>
      </c>
      <c r="K13" s="6">
        <f t="shared" si="1"/>
        <v>9.9737003179357249</v>
      </c>
      <c r="M13" s="5">
        <v>827.67399999999998</v>
      </c>
      <c r="N13" s="17">
        <f t="shared" si="6"/>
        <v>483.923845915328</v>
      </c>
      <c r="O13" s="18">
        <f t="shared" si="7"/>
        <v>2498.2632653852052</v>
      </c>
      <c r="P13" s="6">
        <f t="shared" si="2"/>
        <v>1.2491316326926025</v>
      </c>
    </row>
    <row r="14" spans="1:16" x14ac:dyDescent="0.25">
      <c r="A14">
        <f t="shared" si="3"/>
        <v>2014</v>
      </c>
      <c r="B14">
        <f t="shared" si="8"/>
        <v>12</v>
      </c>
      <c r="C14" s="2">
        <v>0.5568374181775595</v>
      </c>
      <c r="D14" s="3">
        <v>3386967.052655702</v>
      </c>
      <c r="E14" s="3">
        <v>-340437.02017797367</v>
      </c>
      <c r="F14" s="3">
        <v>-189568.07136796459</v>
      </c>
      <c r="G14" s="4">
        <f t="shared" si="4"/>
        <v>1598699.4906438687</v>
      </c>
      <c r="H14" s="15">
        <v>96.688500000000005</v>
      </c>
      <c r="I14" s="5">
        <f t="shared" si="0"/>
        <v>53.839774707460961</v>
      </c>
      <c r="J14" s="6">
        <f t="shared" si="5"/>
        <v>16534.536068341826</v>
      </c>
      <c r="K14" s="6">
        <f t="shared" si="1"/>
        <v>8.2672680341709128</v>
      </c>
      <c r="M14" s="5">
        <v>902.20699999999999</v>
      </c>
      <c r="N14" s="17">
        <f t="shared" si="6"/>
        <v>502.3826165417214</v>
      </c>
      <c r="O14" s="18">
        <f t="shared" si="7"/>
        <v>1771.9874603542964</v>
      </c>
      <c r="P14" s="6">
        <f t="shared" si="2"/>
        <v>0.88599373017714822</v>
      </c>
    </row>
    <row r="15" spans="1:16" x14ac:dyDescent="0.25">
      <c r="A15">
        <f t="shared" si="3"/>
        <v>2015</v>
      </c>
      <c r="B15">
        <f t="shared" si="8"/>
        <v>13</v>
      </c>
      <c r="C15" s="2">
        <v>0.53032135064529462</v>
      </c>
      <c r="D15" s="3">
        <v>2622863.0821480462</v>
      </c>
      <c r="E15" s="3">
        <v>-498020.39175246656</v>
      </c>
      <c r="F15" s="3">
        <v>-264110.84680306679</v>
      </c>
      <c r="G15" s="4">
        <f t="shared" si="4"/>
        <v>1179376.1176724897</v>
      </c>
      <c r="H15" s="15">
        <v>96.871000000000009</v>
      </c>
      <c r="I15" s="5">
        <f t="shared" si="0"/>
        <v>51.372759558360343</v>
      </c>
      <c r="J15" s="6">
        <f t="shared" si="5"/>
        <v>12174.707783263202</v>
      </c>
      <c r="K15" s="6">
        <f t="shared" si="1"/>
        <v>6.0873538916316008</v>
      </c>
      <c r="M15" s="5">
        <v>896.65899999999999</v>
      </c>
      <c r="N15" s="17">
        <f t="shared" si="6"/>
        <v>475.51741194825922</v>
      </c>
      <c r="O15" s="18">
        <f t="shared" si="7"/>
        <v>1315.3005966286958</v>
      </c>
      <c r="P15" s="6">
        <f t="shared" si="2"/>
        <v>0.65765029831434785</v>
      </c>
    </row>
    <row r="16" spans="1:16" x14ac:dyDescent="0.25">
      <c r="A16">
        <f t="shared" si="3"/>
        <v>2016</v>
      </c>
      <c r="B16">
        <f t="shared" si="8"/>
        <v>14</v>
      </c>
      <c r="C16" s="2">
        <v>0.50506795299551888</v>
      </c>
      <c r="D16" s="3">
        <v>1923850.7209570955</v>
      </c>
      <c r="E16" s="3">
        <v>-655603.76332695957</v>
      </c>
      <c r="F16" s="3">
        <v>-331124.45071970607</v>
      </c>
      <c r="G16" s="4">
        <f t="shared" si="4"/>
        <v>796363.13511869474</v>
      </c>
      <c r="H16" s="15">
        <v>82.745500000000021</v>
      </c>
      <c r="I16" s="5">
        <f t="shared" si="0"/>
        <v>41.792100304590718</v>
      </c>
      <c r="J16" s="6">
        <f t="shared" si="5"/>
        <v>9624.2470601868936</v>
      </c>
      <c r="K16" s="6">
        <f t="shared" si="1"/>
        <v>4.8121235300934471</v>
      </c>
      <c r="M16" s="5">
        <v>1051.2730000000001</v>
      </c>
      <c r="N16" s="17">
        <f t="shared" si="6"/>
        <v>530.96430214945815</v>
      </c>
      <c r="O16" s="18">
        <f t="shared" si="7"/>
        <v>757.52267500325286</v>
      </c>
      <c r="P16" s="6">
        <f t="shared" si="2"/>
        <v>0.37876133750162644</v>
      </c>
    </row>
    <row r="17" spans="1:16" x14ac:dyDescent="0.25">
      <c r="A17">
        <f t="shared" si="3"/>
        <v>2017</v>
      </c>
      <c r="B17">
        <f t="shared" si="8"/>
        <v>15</v>
      </c>
      <c r="C17" s="2">
        <v>0.48101709809097021</v>
      </c>
      <c r="D17" s="3">
        <v>1663365.602865428</v>
      </c>
      <c r="E17" s="3">
        <v>-679844.5526681164</v>
      </c>
      <c r="F17" s="3">
        <v>-327016.85387737112</v>
      </c>
      <c r="G17" s="4">
        <f t="shared" si="4"/>
        <v>668174.37449402839</v>
      </c>
      <c r="H17" s="15">
        <v>75.774000000000029</v>
      </c>
      <c r="I17" s="5">
        <f t="shared" si="0"/>
        <v>36.448589590745193</v>
      </c>
      <c r="J17" s="6">
        <f t="shared" si="5"/>
        <v>8817.9900030885019</v>
      </c>
      <c r="K17" s="6">
        <f t="shared" si="1"/>
        <v>4.4089950015442509</v>
      </c>
      <c r="M17" s="5">
        <v>1125.8060000000007</v>
      </c>
      <c r="N17" s="17">
        <f t="shared" si="6"/>
        <v>541.53193513340318</v>
      </c>
      <c r="O17" s="18">
        <f t="shared" si="7"/>
        <v>593.50756213239936</v>
      </c>
      <c r="P17" s="6">
        <f t="shared" si="2"/>
        <v>0.29675378106619965</v>
      </c>
    </row>
    <row r="18" spans="1:16" x14ac:dyDescent="0.25">
      <c r="A18">
        <f t="shared" si="3"/>
        <v>2018</v>
      </c>
      <c r="B18">
        <f t="shared" si="8"/>
        <v>16</v>
      </c>
      <c r="C18" s="2">
        <v>0.45811152199140021</v>
      </c>
      <c r="D18" s="3">
        <v>1423326.1179685297</v>
      </c>
      <c r="E18" s="3">
        <v>-704085.34200927312</v>
      </c>
      <c r="F18" s="3">
        <v>-322549.60763970367</v>
      </c>
      <c r="G18" s="4">
        <f t="shared" si="4"/>
        <v>550388.25516441301</v>
      </c>
      <c r="H18" s="15">
        <v>68.802499999999995</v>
      </c>
      <c r="I18" s="5">
        <f t="shared" si="0"/>
        <v>31.51921799181331</v>
      </c>
      <c r="J18" s="6">
        <f t="shared" si="5"/>
        <v>7999.5386092716553</v>
      </c>
      <c r="K18" s="6">
        <f t="shared" si="1"/>
        <v>3.9997693046358278</v>
      </c>
      <c r="M18" s="5">
        <v>1200.3390000000009</v>
      </c>
      <c r="N18" s="17">
        <f t="shared" si="6"/>
        <v>549.88912619563575</v>
      </c>
      <c r="O18" s="18">
        <f t="shared" si="7"/>
        <v>458.52734532862183</v>
      </c>
      <c r="P18" s="6">
        <f t="shared" si="2"/>
        <v>0.22926367266431091</v>
      </c>
    </row>
    <row r="19" spans="1:16" x14ac:dyDescent="0.25">
      <c r="A19">
        <f t="shared" si="3"/>
        <v>2019</v>
      </c>
      <c r="B19">
        <f t="shared" si="8"/>
        <v>17</v>
      </c>
      <c r="C19" s="2">
        <v>0.43629668761085727</v>
      </c>
      <c r="D19" s="3">
        <v>1202375.732307015</v>
      </c>
      <c r="E19" s="3">
        <v>-691585.34200927312</v>
      </c>
      <c r="F19" s="3">
        <v>-301736.39391886775</v>
      </c>
      <c r="G19" s="4">
        <f t="shared" si="4"/>
        <v>450319.66919407365</v>
      </c>
      <c r="H19" s="15">
        <v>61.830999999999996</v>
      </c>
      <c r="I19" s="5">
        <f t="shared" si="0"/>
        <v>26.976660491666912</v>
      </c>
      <c r="J19" s="6">
        <f t="shared" si="5"/>
        <v>7283.07271747301</v>
      </c>
      <c r="K19" s="6">
        <f t="shared" si="1"/>
        <v>3.6415363587365048</v>
      </c>
      <c r="M19" s="5">
        <v>1274.872000000001</v>
      </c>
      <c r="N19" s="17">
        <f t="shared" si="6"/>
        <v>556.22243072782931</v>
      </c>
      <c r="O19" s="18">
        <f t="shared" si="7"/>
        <v>353.22735866351547</v>
      </c>
      <c r="P19" s="6">
        <f t="shared" si="2"/>
        <v>0.17661367933175773</v>
      </c>
    </row>
    <row r="20" spans="1:16" x14ac:dyDescent="0.25">
      <c r="A20" s="7">
        <f t="shared" si="3"/>
        <v>2020</v>
      </c>
      <c r="B20" s="7">
        <f t="shared" si="8"/>
        <v>18</v>
      </c>
      <c r="C20" s="8">
        <v>0.41552065486748313</v>
      </c>
      <c r="D20" s="9">
        <v>999240.74365188414</v>
      </c>
      <c r="E20" s="9">
        <v>-679085.34200927312</v>
      </c>
      <c r="F20" s="9">
        <v>-282173.98602260189</v>
      </c>
      <c r="G20" s="10">
        <f t="shared" si="4"/>
        <v>358533.37881464115</v>
      </c>
      <c r="H20" s="16">
        <v>55.699000000000005</v>
      </c>
      <c r="I20" s="11">
        <f t="shared" si="0"/>
        <v>23.144084955463946</v>
      </c>
      <c r="J20" s="12">
        <f t="shared" si="5"/>
        <v>6436.9805349223707</v>
      </c>
      <c r="K20" s="12">
        <f t="shared" si="1"/>
        <v>3.2184902674611853</v>
      </c>
      <c r="M20" s="5">
        <v>1484.8930000000003</v>
      </c>
      <c r="N20" s="17">
        <f t="shared" si="6"/>
        <v>617.00371176814178</v>
      </c>
      <c r="O20" s="18">
        <f t="shared" si="7"/>
        <v>241.45401642720458</v>
      </c>
      <c r="P20" s="6">
        <f t="shared" si="2"/>
        <v>0.12072700821360229</v>
      </c>
    </row>
    <row r="21" spans="1:16" x14ac:dyDescent="0.25">
      <c r="C21" s="2"/>
      <c r="D21" s="3"/>
      <c r="E21" s="3"/>
      <c r="F21" s="3"/>
      <c r="G21" s="4"/>
      <c r="H21" s="15"/>
      <c r="I21" s="5"/>
      <c r="J21" s="6"/>
    </row>
    <row r="22" spans="1:16" x14ac:dyDescent="0.25">
      <c r="C22" s="2"/>
      <c r="D22" s="3"/>
      <c r="E22" s="3"/>
      <c r="F22" s="3"/>
      <c r="G22" s="4"/>
      <c r="H22" s="4"/>
      <c r="I22" s="5" t="s">
        <v>14</v>
      </c>
      <c r="J22" s="4">
        <f>AVERAGE(J5:J20)</f>
        <v>14723.319233985045</v>
      </c>
      <c r="K22" s="6">
        <f>AVERAGE(K5:K20)</f>
        <v>7.3616596169925232</v>
      </c>
      <c r="O22" s="4">
        <f>AVERAGE(O5:O20)</f>
        <v>3018.5414343844664</v>
      </c>
      <c r="P22" s="6">
        <f>AVERAGE(P5:P20)</f>
        <v>1.5092707171922333</v>
      </c>
    </row>
    <row r="23" spans="1:16" x14ac:dyDescent="0.25">
      <c r="C23" s="2"/>
      <c r="D23" s="3"/>
      <c r="E23" s="3"/>
      <c r="F23" s="3"/>
      <c r="G23" s="4"/>
      <c r="H23" s="4"/>
      <c r="I23" s="5" t="s">
        <v>15</v>
      </c>
      <c r="J23" s="4">
        <f>SUMPRODUCT(J5:J20,$I$5:$I$20)/SUM($I$5:$I$20)</f>
        <v>15410.742762216714</v>
      </c>
      <c r="K23" s="6">
        <f>SUMPRODUCT(K5:K20,$I$5:$I$20)/SUM($I$5:$I$20)</f>
        <v>7.7053713811083577</v>
      </c>
      <c r="O23" s="4">
        <f>SUMPRODUCT(O5:O20,$M$5:$M$20)/SUM($M$5:$M$20)</f>
        <v>2080.0329841862554</v>
      </c>
      <c r="P23" s="6">
        <f>SUMPRODUCT(P5:P20,$M$5:$M$20)/SUM($M$5:$M$20)</f>
        <v>1.0400164920931276</v>
      </c>
    </row>
    <row r="24" spans="1:16" x14ac:dyDescent="0.25">
      <c r="C24" s="2"/>
      <c r="D24" s="3"/>
      <c r="E24" s="3"/>
      <c r="F24" s="3"/>
      <c r="G24" s="4"/>
      <c r="H24" s="4"/>
      <c r="I24" s="5"/>
      <c r="J24" s="6"/>
    </row>
    <row r="25" spans="1:16" x14ac:dyDescent="0.25">
      <c r="C25" s="2"/>
      <c r="D25" s="3"/>
      <c r="E25" s="3"/>
      <c r="F25" s="3"/>
      <c r="G25" s="4"/>
      <c r="H25" s="4"/>
      <c r="I25" s="5"/>
      <c r="J25" s="6"/>
    </row>
    <row r="26" spans="1:16" x14ac:dyDescent="0.25">
      <c r="C26" s="2"/>
      <c r="D26" s="3"/>
      <c r="E26" s="3"/>
      <c r="F26" s="3"/>
      <c r="G26" s="4"/>
      <c r="H26" s="4"/>
      <c r="I26" s="5"/>
      <c r="J26" s="6"/>
    </row>
    <row r="27" spans="1:16" x14ac:dyDescent="0.25">
      <c r="C27" s="2"/>
      <c r="D27" s="3"/>
      <c r="E27" s="3"/>
      <c r="F27" s="3"/>
      <c r="G27" s="4"/>
      <c r="H27" s="4"/>
      <c r="I27" s="5"/>
      <c r="J27" s="6"/>
    </row>
    <row r="28" spans="1:16" x14ac:dyDescent="0.25">
      <c r="C28" s="2"/>
      <c r="D28" s="3"/>
      <c r="E28" s="3"/>
      <c r="F28" s="3"/>
      <c r="G28" s="4"/>
      <c r="H28" s="4"/>
      <c r="I28" s="5"/>
      <c r="J28" s="6"/>
    </row>
    <row r="29" spans="1:16" x14ac:dyDescent="0.25">
      <c r="C29" s="2"/>
      <c r="D29" s="3"/>
      <c r="E29" s="3"/>
      <c r="F29" s="3"/>
      <c r="G29" s="4"/>
      <c r="H29" s="4"/>
      <c r="I29" s="5"/>
      <c r="J29" s="6"/>
    </row>
    <row r="30" spans="1:16" x14ac:dyDescent="0.25">
      <c r="C30" s="2"/>
      <c r="D30" s="3"/>
      <c r="E30" s="3"/>
      <c r="F30" s="3"/>
      <c r="G30" s="4"/>
      <c r="H30" s="4"/>
      <c r="I30" s="5"/>
      <c r="J30" s="6"/>
    </row>
  </sheetData>
  <mergeCells count="10">
    <mergeCell ref="B2:B4"/>
    <mergeCell ref="I2:I4"/>
    <mergeCell ref="G3:G4"/>
    <mergeCell ref="H2:H4"/>
    <mergeCell ref="M2:M4"/>
    <mergeCell ref="N2:N4"/>
    <mergeCell ref="O2:O4"/>
    <mergeCell ref="P2:P4"/>
    <mergeCell ref="J2:J4"/>
    <mergeCell ref="K2:K4"/>
  </mergeCells>
  <pageMargins left="0.75" right="0.75" top="1" bottom="1" header="0.5" footer="0.5"/>
  <pageSetup scale="9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0"/>
  <sheetViews>
    <sheetView workbookViewId="0">
      <selection activeCell="V23" sqref="V23"/>
    </sheetView>
  </sheetViews>
  <sheetFormatPr defaultRowHeight="13.2" x14ac:dyDescent="0.25"/>
  <cols>
    <col min="3" max="3" width="8.6640625" customWidth="1"/>
    <col min="4" max="4" width="13.44140625" bestFit="1" customWidth="1"/>
    <col min="5" max="6" width="11.6640625" customWidth="1"/>
    <col min="7" max="7" width="20" bestFit="1" customWidth="1"/>
    <col min="8" max="8" width="10.6640625" customWidth="1"/>
    <col min="9" max="9" width="12.6640625" customWidth="1"/>
    <col min="10" max="10" width="13.6640625" customWidth="1"/>
    <col min="11" max="11" width="14.6640625" customWidth="1"/>
    <col min="13" max="22" width="11.6640625" customWidth="1"/>
  </cols>
  <sheetData>
    <row r="1" spans="1:22" x14ac:dyDescent="0.25">
      <c r="A1" s="1" t="s">
        <v>0</v>
      </c>
      <c r="H1" t="s">
        <v>13</v>
      </c>
      <c r="M1" t="s">
        <v>13</v>
      </c>
    </row>
    <row r="2" spans="1:22" ht="38.25" customHeight="1" x14ac:dyDescent="0.25">
      <c r="B2" s="30" t="s">
        <v>1</v>
      </c>
      <c r="G2" t="s">
        <v>17</v>
      </c>
      <c r="H2" s="30" t="s">
        <v>9</v>
      </c>
      <c r="I2" s="30" t="s">
        <v>11</v>
      </c>
      <c r="J2" s="30" t="s">
        <v>22</v>
      </c>
      <c r="K2" s="30" t="s">
        <v>23</v>
      </c>
      <c r="M2" s="30" t="s">
        <v>29</v>
      </c>
      <c r="N2" s="30" t="s">
        <v>18</v>
      </c>
      <c r="O2" s="30" t="s">
        <v>32</v>
      </c>
      <c r="P2" s="30"/>
      <c r="Q2" s="30" t="s">
        <v>20</v>
      </c>
      <c r="R2" s="30" t="s">
        <v>21</v>
      </c>
      <c r="S2" s="30" t="s">
        <v>33</v>
      </c>
      <c r="T2" s="30" t="s">
        <v>34</v>
      </c>
      <c r="U2" s="30" t="s">
        <v>30</v>
      </c>
      <c r="V2" s="30" t="s">
        <v>31</v>
      </c>
    </row>
    <row r="3" spans="1:22" x14ac:dyDescent="0.25">
      <c r="B3" s="30"/>
      <c r="G3" s="30" t="s">
        <v>16</v>
      </c>
      <c r="H3" s="30"/>
      <c r="I3" s="30"/>
      <c r="J3" s="30"/>
      <c r="K3" s="30"/>
      <c r="M3" s="30"/>
      <c r="N3" s="30"/>
      <c r="O3" s="30"/>
      <c r="P3" s="30"/>
      <c r="Q3" s="30"/>
      <c r="R3" s="30"/>
      <c r="S3" s="30"/>
      <c r="T3" s="30"/>
      <c r="U3" s="30"/>
      <c r="V3" s="30"/>
    </row>
    <row r="4" spans="1:22" x14ac:dyDescent="0.25">
      <c r="A4" t="s">
        <v>4</v>
      </c>
      <c r="B4" s="30"/>
      <c r="C4" t="s">
        <v>5</v>
      </c>
      <c r="D4" t="s">
        <v>6</v>
      </c>
      <c r="E4" t="s">
        <v>7</v>
      </c>
      <c r="F4" t="s">
        <v>8</v>
      </c>
      <c r="G4" s="30"/>
      <c r="H4" s="30"/>
      <c r="I4" s="30"/>
      <c r="J4" s="30"/>
      <c r="K4" s="30"/>
      <c r="M4" s="30"/>
      <c r="N4" s="30"/>
      <c r="O4" s="30"/>
      <c r="P4" s="30"/>
      <c r="Q4" s="30"/>
      <c r="R4" s="30"/>
      <c r="S4" s="30"/>
      <c r="T4" s="30"/>
      <c r="U4" s="30"/>
      <c r="V4" s="30"/>
    </row>
    <row r="5" spans="1:22" x14ac:dyDescent="0.25">
      <c r="A5">
        <v>2005</v>
      </c>
      <c r="B5">
        <v>3</v>
      </c>
      <c r="C5" s="2">
        <v>0.86383759853147601</v>
      </c>
      <c r="D5" s="3">
        <v>1943161.4467156189</v>
      </c>
      <c r="E5" s="3">
        <v>-681662.22675989405</v>
      </c>
      <c r="F5" s="3">
        <v>-588845.46097388538</v>
      </c>
      <c r="G5" s="4">
        <f t="shared" ref="G5:G20" si="0">(D5+F5)/2</f>
        <v>677157.99287086679</v>
      </c>
      <c r="H5" s="15">
        <v>168.37449999999998</v>
      </c>
      <c r="I5" s="5">
        <f t="shared" ref="I5:I20" si="1">H5*C5</f>
        <v>145.44822373393799</v>
      </c>
      <c r="J5" s="6">
        <f>G5/H5</f>
        <v>4021.7372159731244</v>
      </c>
      <c r="K5" s="6">
        <f t="shared" ref="K5:K20" si="2">J5/2000</f>
        <v>2.0108686079865623</v>
      </c>
      <c r="M5" s="5">
        <f>418.180499999999+164.7</f>
        <v>582.88049999999896</v>
      </c>
      <c r="N5" s="5">
        <f>'Inventory PM &amp; NOx'!M5</f>
        <v>418.18049999999926</v>
      </c>
      <c r="O5" s="5">
        <f>164.7</f>
        <v>164.7</v>
      </c>
      <c r="P5" s="17"/>
      <c r="Q5" s="27">
        <f>(N5/M5)*U5</f>
        <v>833.47913765390717</v>
      </c>
      <c r="R5" s="6">
        <f t="shared" ref="R5:R20" si="3">Q5/2000</f>
        <v>0.41673956882695357</v>
      </c>
      <c r="S5" s="27">
        <f>(O5/M5)*U5</f>
        <v>328.26498120213336</v>
      </c>
      <c r="T5" s="6">
        <f t="shared" ref="T5:T20" si="4">S5/2000</f>
        <v>0.16413249060106669</v>
      </c>
      <c r="U5" s="26">
        <f>G5/M5</f>
        <v>1161.7441188560399</v>
      </c>
      <c r="V5" s="6">
        <f t="shared" ref="V5:V20" si="5">U5/2000</f>
        <v>0.58087205942802</v>
      </c>
    </row>
    <row r="6" spans="1:22" x14ac:dyDescent="0.25">
      <c r="A6">
        <f t="shared" ref="A6:A20" si="6">A5+1</f>
        <v>2006</v>
      </c>
      <c r="B6">
        <v>4</v>
      </c>
      <c r="C6" s="2">
        <v>0.82270247479188197</v>
      </c>
      <c r="D6" s="3">
        <v>3483204.8685299717</v>
      </c>
      <c r="E6" s="3">
        <v>-455037.71728882077</v>
      </c>
      <c r="F6" s="3">
        <v>-374360.6561371616</v>
      </c>
      <c r="G6" s="4">
        <f t="shared" si="0"/>
        <v>1554422.1061964051</v>
      </c>
      <c r="H6" s="15">
        <v>152.4605</v>
      </c>
      <c r="I6" s="5">
        <f t="shared" si="1"/>
        <v>125.42963065800772</v>
      </c>
      <c r="J6" s="6">
        <f t="shared" ref="J6:J20" si="7">G6/H6</f>
        <v>10195.572664371461</v>
      </c>
      <c r="K6" s="6">
        <f t="shared" si="2"/>
        <v>5.0977863321857306</v>
      </c>
      <c r="M6" s="5">
        <f>305.943+156.9</f>
        <v>462.84299999999996</v>
      </c>
      <c r="N6" s="5">
        <f>'Inventory PM &amp; NOx'!M6</f>
        <v>305.94300000000021</v>
      </c>
      <c r="O6" s="5">
        <f>156.9</f>
        <v>156.9</v>
      </c>
      <c r="P6" s="17"/>
      <c r="Q6" s="27">
        <f t="shared" ref="Q6:Q20" si="8">(N6/M6)*U6</f>
        <v>2219.9443374009265</v>
      </c>
      <c r="R6" s="6">
        <f t="shared" si="3"/>
        <v>1.1099721687004633</v>
      </c>
      <c r="S6" s="27">
        <f t="shared" ref="S6:S20" si="9">(O6/M6)*U6</f>
        <v>1138.4776462877239</v>
      </c>
      <c r="T6" s="6">
        <f t="shared" si="4"/>
        <v>0.56923882314386198</v>
      </c>
      <c r="U6" s="26">
        <f t="shared" ref="U6:U20" si="10">G6/M6</f>
        <v>3358.4219836886487</v>
      </c>
      <c r="V6" s="6">
        <f t="shared" si="5"/>
        <v>1.6792109918443243</v>
      </c>
    </row>
    <row r="7" spans="1:22" x14ac:dyDescent="0.25">
      <c r="A7">
        <f t="shared" si="6"/>
        <v>2007</v>
      </c>
      <c r="B7">
        <f t="shared" ref="B7:B20" si="11">B6+1</f>
        <v>5</v>
      </c>
      <c r="C7" s="2">
        <v>0.78352616646845896</v>
      </c>
      <c r="D7" s="3">
        <v>4872171.2264828319</v>
      </c>
      <c r="E7" s="3">
        <v>-228413.20781774761</v>
      </c>
      <c r="F7" s="3">
        <v>-178967.72509220321</v>
      </c>
      <c r="G7" s="4">
        <f t="shared" si="0"/>
        <v>2346601.7506953143</v>
      </c>
      <c r="H7" s="15">
        <v>144.905</v>
      </c>
      <c r="I7" s="5">
        <f t="shared" si="1"/>
        <v>113.53685915211204</v>
      </c>
      <c r="J7" s="6">
        <f t="shared" si="7"/>
        <v>16194.070257722744</v>
      </c>
      <c r="K7" s="6">
        <f t="shared" si="2"/>
        <v>8.0970351288613713</v>
      </c>
      <c r="M7" s="5">
        <f>389.0535+149.1</f>
        <v>538.15350000000001</v>
      </c>
      <c r="N7" s="5">
        <f>'Inventory PM &amp; NOx'!M7</f>
        <v>389.0534999999997</v>
      </c>
      <c r="O7" s="5">
        <f>149.1</f>
        <v>149.1</v>
      </c>
      <c r="P7" s="17"/>
      <c r="Q7" s="27">
        <f t="shared" si="8"/>
        <v>3152.3641414627973</v>
      </c>
      <c r="R7" s="6">
        <f t="shared" si="3"/>
        <v>1.5761820707313987</v>
      </c>
      <c r="S7" s="27">
        <f t="shared" si="9"/>
        <v>1208.1050382327969</v>
      </c>
      <c r="T7" s="6">
        <f t="shared" si="4"/>
        <v>0.60405251911639846</v>
      </c>
      <c r="U7" s="26">
        <f t="shared" si="10"/>
        <v>4360.4691796955967</v>
      </c>
      <c r="V7" s="6">
        <f t="shared" si="5"/>
        <v>2.1802345898477982</v>
      </c>
    </row>
    <row r="8" spans="1:22" x14ac:dyDescent="0.25">
      <c r="A8">
        <f t="shared" si="6"/>
        <v>2008</v>
      </c>
      <c r="B8">
        <f t="shared" si="11"/>
        <v>6</v>
      </c>
      <c r="C8" s="2">
        <v>0.74621539663662761</v>
      </c>
      <c r="D8" s="3">
        <v>6120956.6504163044</v>
      </c>
      <c r="E8" s="3">
        <v>-1788.6983466743259</v>
      </c>
      <c r="F8" s="3">
        <v>-1334.7542462268621</v>
      </c>
      <c r="G8" s="4">
        <f t="shared" si="0"/>
        <v>3059810.9480850389</v>
      </c>
      <c r="H8" s="15">
        <v>138.51750000000001</v>
      </c>
      <c r="I8" s="5">
        <f t="shared" si="1"/>
        <v>103.36389120361407</v>
      </c>
      <c r="J8" s="6">
        <f t="shared" si="7"/>
        <v>22089.706701933246</v>
      </c>
      <c r="K8" s="6">
        <f t="shared" si="2"/>
        <v>11.044853350966623</v>
      </c>
      <c r="M8" s="5">
        <f>455.009+141.3</f>
        <v>596.30899999999997</v>
      </c>
      <c r="N8" s="5">
        <f>'Inventory PM &amp; NOx'!M8</f>
        <v>455.0090000000003</v>
      </c>
      <c r="O8" s="5">
        <f>141.3</f>
        <v>141.30000000000001</v>
      </c>
      <c r="P8" s="17"/>
      <c r="Q8" s="27">
        <f t="shared" si="8"/>
        <v>3915.3613818284093</v>
      </c>
      <c r="R8" s="6">
        <f t="shared" si="3"/>
        <v>1.9576806909142046</v>
      </c>
      <c r="S8" s="27">
        <f t="shared" si="9"/>
        <v>1215.8892752722559</v>
      </c>
      <c r="T8" s="6">
        <f t="shared" si="4"/>
        <v>0.60794463763612794</v>
      </c>
      <c r="U8" s="26">
        <f t="shared" si="10"/>
        <v>5131.2506571006625</v>
      </c>
      <c r="V8" s="6">
        <f t="shared" si="5"/>
        <v>2.5656253285503312</v>
      </c>
    </row>
    <row r="9" spans="1:22" x14ac:dyDescent="0.25">
      <c r="A9">
        <f t="shared" si="6"/>
        <v>2009</v>
      </c>
      <c r="B9">
        <f t="shared" si="11"/>
        <v>7</v>
      </c>
      <c r="C9" s="2">
        <v>0.71068133013012147</v>
      </c>
      <c r="D9" s="3">
        <v>5835139.6971322615</v>
      </c>
      <c r="E9" s="3">
        <v>10711.301653325674</v>
      </c>
      <c r="F9" s="3">
        <v>7612.3221064104591</v>
      </c>
      <c r="G9" s="4">
        <f t="shared" si="0"/>
        <v>2921376.0096193361</v>
      </c>
      <c r="H9" s="15">
        <v>131.54599999999999</v>
      </c>
      <c r="I9" s="5">
        <f t="shared" si="1"/>
        <v>93.487286253296958</v>
      </c>
      <c r="J9" s="6">
        <f t="shared" si="7"/>
        <v>22208.018560954617</v>
      </c>
      <c r="K9" s="6">
        <f t="shared" si="2"/>
        <v>11.104009280477309</v>
      </c>
      <c r="M9" s="5">
        <f>529.542+133.4</f>
        <v>662.94200000000001</v>
      </c>
      <c r="N9" s="5">
        <f>'Inventory PM &amp; NOx'!M9</f>
        <v>529.54199999999969</v>
      </c>
      <c r="O9" s="5">
        <f>133.4</f>
        <v>133.4</v>
      </c>
      <c r="P9" s="17"/>
      <c r="Q9" s="27">
        <f t="shared" si="8"/>
        <v>3519.952488803192</v>
      </c>
      <c r="R9" s="6">
        <f t="shared" si="3"/>
        <v>1.7599762444015961</v>
      </c>
      <c r="S9" s="27">
        <f t="shared" si="9"/>
        <v>886.7316700211619</v>
      </c>
      <c r="T9" s="6">
        <f t="shared" si="4"/>
        <v>0.44336583501058097</v>
      </c>
      <c r="U9" s="26">
        <f t="shared" si="10"/>
        <v>4406.684158824356</v>
      </c>
      <c r="V9" s="6">
        <f t="shared" si="5"/>
        <v>2.2033420794121779</v>
      </c>
    </row>
    <row r="10" spans="1:22" x14ac:dyDescent="0.25">
      <c r="A10">
        <f t="shared" si="6"/>
        <v>2010</v>
      </c>
      <c r="B10">
        <f t="shared" si="11"/>
        <v>8</v>
      </c>
      <c r="C10" s="2">
        <v>0.67683936202868722</v>
      </c>
      <c r="D10" s="3">
        <v>5562663.6857700208</v>
      </c>
      <c r="E10" s="3">
        <v>23211.301653325674</v>
      </c>
      <c r="F10" s="3">
        <v>15710.322602892362</v>
      </c>
      <c r="G10" s="4">
        <f t="shared" si="0"/>
        <v>2789187.0041864566</v>
      </c>
      <c r="H10" s="15">
        <v>108.405</v>
      </c>
      <c r="I10" s="5">
        <f t="shared" si="1"/>
        <v>73.37277104071984</v>
      </c>
      <c r="J10" s="6">
        <f t="shared" si="7"/>
        <v>25729.320641911872</v>
      </c>
      <c r="K10" s="6">
        <f t="shared" si="2"/>
        <v>12.864660320955936</v>
      </c>
      <c r="M10" s="5">
        <f>352.0425+125.6</f>
        <v>477.64250000000004</v>
      </c>
      <c r="N10" s="5">
        <f>'Inventory PM &amp; NOx'!M10</f>
        <v>352.04250000000002</v>
      </c>
      <c r="O10" s="5">
        <f>125.6</f>
        <v>125.6</v>
      </c>
      <c r="P10" s="17"/>
      <c r="Q10" s="27">
        <f t="shared" si="8"/>
        <v>4303.9459018618545</v>
      </c>
      <c r="R10" s="6">
        <f t="shared" si="3"/>
        <v>2.1519729509309271</v>
      </c>
      <c r="S10" s="27">
        <f t="shared" si="9"/>
        <v>1535.5407522496541</v>
      </c>
      <c r="T10" s="6">
        <f t="shared" si="4"/>
        <v>0.76777037612482701</v>
      </c>
      <c r="U10" s="26">
        <f t="shared" si="10"/>
        <v>5839.4866541115089</v>
      </c>
      <c r="V10" s="6">
        <f t="shared" si="5"/>
        <v>2.9197433270557545</v>
      </c>
    </row>
    <row r="11" spans="1:22" x14ac:dyDescent="0.25">
      <c r="A11">
        <f t="shared" si="6"/>
        <v>2011</v>
      </c>
      <c r="B11">
        <f t="shared" si="11"/>
        <v>9</v>
      </c>
      <c r="C11" s="2">
        <v>0.64460891621779726</v>
      </c>
      <c r="D11" s="3">
        <v>5386300.2645012392</v>
      </c>
      <c r="E11" s="3">
        <v>35711.301653325674</v>
      </c>
      <c r="F11" s="3">
        <v>23019.823455477093</v>
      </c>
      <c r="G11" s="4">
        <f t="shared" si="0"/>
        <v>2704660.0439783582</v>
      </c>
      <c r="H11" s="15">
        <v>117.60300000000001</v>
      </c>
      <c r="I11" s="5">
        <f t="shared" si="1"/>
        <v>75.807942373961623</v>
      </c>
      <c r="J11" s="6">
        <f t="shared" si="7"/>
        <v>22998.223208407591</v>
      </c>
      <c r="K11" s="6">
        <f t="shared" si="2"/>
        <v>11.499111604203796</v>
      </c>
      <c r="M11" s="5">
        <f>678.608000000001+117.8</f>
        <v>796.40800000000092</v>
      </c>
      <c r="N11" s="5">
        <f>'Inventory PM &amp; NOx'!M11</f>
        <v>678.60800000000052</v>
      </c>
      <c r="O11" s="5">
        <f>117.8</f>
        <v>117.8</v>
      </c>
      <c r="P11" s="17"/>
      <c r="Q11" s="27">
        <f t="shared" si="8"/>
        <v>2893.7461634672536</v>
      </c>
      <c r="R11" s="6">
        <f t="shared" si="3"/>
        <v>1.4468730817336268</v>
      </c>
      <c r="S11" s="27">
        <f t="shared" si="9"/>
        <v>502.32726118236479</v>
      </c>
      <c r="T11" s="6">
        <f t="shared" si="4"/>
        <v>0.25116363059118241</v>
      </c>
      <c r="U11" s="26">
        <f t="shared" si="10"/>
        <v>3396.0734246496204</v>
      </c>
      <c r="V11" s="6">
        <f t="shared" si="5"/>
        <v>1.6980367123248101</v>
      </c>
    </row>
    <row r="12" spans="1:22" x14ac:dyDescent="0.25">
      <c r="A12">
        <f t="shared" si="6"/>
        <v>2012</v>
      </c>
      <c r="B12">
        <f t="shared" si="11"/>
        <v>10</v>
      </c>
      <c r="C12" s="2">
        <v>0.61391325354075932</v>
      </c>
      <c r="D12" s="3">
        <v>5129809.7757154675</v>
      </c>
      <c r="E12" s="3">
        <v>48211.301653325674</v>
      </c>
      <c r="F12" s="3">
        <v>29597.557055428155</v>
      </c>
      <c r="G12" s="4">
        <f t="shared" si="0"/>
        <v>2579703.6663854476</v>
      </c>
      <c r="H12" s="15">
        <v>110.63150000000002</v>
      </c>
      <c r="I12" s="5">
        <f t="shared" si="1"/>
        <v>67.918144109094527</v>
      </c>
      <c r="J12" s="6">
        <f t="shared" si="7"/>
        <v>23317.985080067134</v>
      </c>
      <c r="K12" s="6">
        <f t="shared" si="2"/>
        <v>11.658992540033568</v>
      </c>
      <c r="M12" s="5">
        <f>753.141000000001+110</f>
        <v>863.14100000000099</v>
      </c>
      <c r="N12" s="5">
        <f>'Inventory PM &amp; NOx'!M12</f>
        <v>753.14100000000053</v>
      </c>
      <c r="O12" s="5">
        <f>110</f>
        <v>110</v>
      </c>
      <c r="P12" s="17"/>
      <c r="Q12" s="27">
        <f t="shared" si="8"/>
        <v>2607.850065080037</v>
      </c>
      <c r="R12" s="6">
        <f t="shared" si="3"/>
        <v>1.3039250325400185</v>
      </c>
      <c r="S12" s="27">
        <f t="shared" si="9"/>
        <v>380.8895109399221</v>
      </c>
      <c r="T12" s="6">
        <f t="shared" si="4"/>
        <v>0.19044475546996106</v>
      </c>
      <c r="U12" s="26">
        <f t="shared" si="10"/>
        <v>2988.7395760199606</v>
      </c>
      <c r="V12" s="6">
        <f t="shared" si="5"/>
        <v>1.4943697880099802</v>
      </c>
    </row>
    <row r="13" spans="1:22" x14ac:dyDescent="0.25">
      <c r="A13">
        <f t="shared" si="6"/>
        <v>2013</v>
      </c>
      <c r="B13">
        <f t="shared" si="11"/>
        <v>11</v>
      </c>
      <c r="C13" s="2">
        <v>0.5846792890864374</v>
      </c>
      <c r="D13" s="3">
        <v>4220924.2625087509</v>
      </c>
      <c r="E13" s="3">
        <v>-146112.85926232405</v>
      </c>
      <c r="F13" s="3">
        <v>-85429.162679882313</v>
      </c>
      <c r="G13" s="4">
        <f t="shared" si="0"/>
        <v>2067747.5499144343</v>
      </c>
      <c r="H13" s="15">
        <v>103.66</v>
      </c>
      <c r="I13" s="5">
        <f t="shared" si="1"/>
        <v>60.6078551067001</v>
      </c>
      <c r="J13" s="6">
        <f t="shared" si="7"/>
        <v>19947.400635871451</v>
      </c>
      <c r="K13" s="6">
        <f t="shared" si="2"/>
        <v>9.9737003179357249</v>
      </c>
      <c r="M13" s="5">
        <f>827.674+102.2</f>
        <v>929.87400000000002</v>
      </c>
      <c r="N13" s="5">
        <f>'Inventory PM &amp; NOx'!M13</f>
        <v>827.67399999999998</v>
      </c>
      <c r="O13" s="5">
        <f>102.2</f>
        <v>102.2</v>
      </c>
      <c r="P13" s="17"/>
      <c r="Q13" s="27">
        <f t="shared" si="8"/>
        <v>1979.2862986954472</v>
      </c>
      <c r="R13" s="6">
        <f t="shared" si="3"/>
        <v>0.98964314934772357</v>
      </c>
      <c r="S13" s="27">
        <f t="shared" si="9"/>
        <v>244.3994371294431</v>
      </c>
      <c r="T13" s="6">
        <f t="shared" si="4"/>
        <v>0.12219971856472155</v>
      </c>
      <c r="U13" s="26">
        <f t="shared" si="10"/>
        <v>2223.6857358248903</v>
      </c>
      <c r="V13" s="6">
        <f t="shared" si="5"/>
        <v>1.1118428679124452</v>
      </c>
    </row>
    <row r="14" spans="1:22" x14ac:dyDescent="0.25">
      <c r="A14">
        <f t="shared" si="6"/>
        <v>2014</v>
      </c>
      <c r="B14">
        <f t="shared" si="11"/>
        <v>12</v>
      </c>
      <c r="C14" s="2">
        <v>0.5568374181775595</v>
      </c>
      <c r="D14" s="3">
        <v>3386967.052655702</v>
      </c>
      <c r="E14" s="3">
        <v>-340437.02017797367</v>
      </c>
      <c r="F14" s="3">
        <v>-189568.07136796459</v>
      </c>
      <c r="G14" s="4">
        <f t="shared" si="0"/>
        <v>1598699.4906438687</v>
      </c>
      <c r="H14" s="15">
        <v>96.688500000000005</v>
      </c>
      <c r="I14" s="5">
        <f t="shared" si="1"/>
        <v>53.839774707460961</v>
      </c>
      <c r="J14" s="6">
        <f t="shared" si="7"/>
        <v>16534.536068341826</v>
      </c>
      <c r="K14" s="6">
        <f t="shared" si="2"/>
        <v>8.2672680341709128</v>
      </c>
      <c r="M14" s="5">
        <f>902.207+94.4</f>
        <v>996.60699999999997</v>
      </c>
      <c r="N14" s="5">
        <f>'Inventory PM &amp; NOx'!M14</f>
        <v>902.20699999999999</v>
      </c>
      <c r="O14" s="5">
        <f>94.4</f>
        <v>94.4</v>
      </c>
      <c r="P14" s="17"/>
      <c r="Q14" s="27">
        <f t="shared" si="8"/>
        <v>1452.1957534084133</v>
      </c>
      <c r="R14" s="6">
        <f t="shared" si="3"/>
        <v>0.72609787670420667</v>
      </c>
      <c r="S14" s="27">
        <f t="shared" si="9"/>
        <v>151.94659221415287</v>
      </c>
      <c r="T14" s="6">
        <f t="shared" si="4"/>
        <v>7.5973296107076441E-2</v>
      </c>
      <c r="U14" s="26">
        <f t="shared" si="10"/>
        <v>1604.1423456225662</v>
      </c>
      <c r="V14" s="6">
        <f t="shared" si="5"/>
        <v>0.80207117281128304</v>
      </c>
    </row>
    <row r="15" spans="1:22" x14ac:dyDescent="0.25">
      <c r="A15">
        <f t="shared" si="6"/>
        <v>2015</v>
      </c>
      <c r="B15">
        <f t="shared" si="11"/>
        <v>13</v>
      </c>
      <c r="C15" s="2">
        <v>0.53032135064529462</v>
      </c>
      <c r="D15" s="3">
        <v>2622863.0821480462</v>
      </c>
      <c r="E15" s="3">
        <v>-498020.39175246656</v>
      </c>
      <c r="F15" s="3">
        <v>-264110.84680306679</v>
      </c>
      <c r="G15" s="4">
        <f t="shared" si="0"/>
        <v>1179376.1176724897</v>
      </c>
      <c r="H15" s="15">
        <v>96.871000000000009</v>
      </c>
      <c r="I15" s="5">
        <f t="shared" si="1"/>
        <v>51.372759558360343</v>
      </c>
      <c r="J15" s="6">
        <f t="shared" si="7"/>
        <v>12174.707783263202</v>
      </c>
      <c r="K15" s="6">
        <f t="shared" si="2"/>
        <v>6.0873538916316008</v>
      </c>
      <c r="M15" s="5">
        <f>896.659+86.6</f>
        <v>983.25900000000001</v>
      </c>
      <c r="N15" s="5">
        <f>'Inventory PM &amp; NOx'!M15</f>
        <v>896.65899999999999</v>
      </c>
      <c r="O15" s="5">
        <f>86.6</f>
        <v>86.6</v>
      </c>
      <c r="P15" s="17"/>
      <c r="Q15" s="27">
        <f t="shared" si="8"/>
        <v>1093.8147624652149</v>
      </c>
      <c r="R15" s="6">
        <f t="shared" si="3"/>
        <v>0.54690738123260751</v>
      </c>
      <c r="S15" s="27">
        <f t="shared" si="9"/>
        <v>105.64145168842069</v>
      </c>
      <c r="T15" s="6">
        <f t="shared" si="4"/>
        <v>5.2820725844210346E-2</v>
      </c>
      <c r="U15" s="26">
        <f t="shared" si="10"/>
        <v>1199.4562141536358</v>
      </c>
      <c r="V15" s="6">
        <f t="shared" si="5"/>
        <v>0.5997281070768179</v>
      </c>
    </row>
    <row r="16" spans="1:22" x14ac:dyDescent="0.25">
      <c r="A16">
        <f t="shared" si="6"/>
        <v>2016</v>
      </c>
      <c r="B16">
        <f t="shared" si="11"/>
        <v>14</v>
      </c>
      <c r="C16" s="2">
        <v>0.50506795299551888</v>
      </c>
      <c r="D16" s="3">
        <v>1923850.7209570955</v>
      </c>
      <c r="E16" s="3">
        <v>-655603.76332695957</v>
      </c>
      <c r="F16" s="3">
        <v>-331124.45071970607</v>
      </c>
      <c r="G16" s="4">
        <f t="shared" si="0"/>
        <v>796363.13511869474</v>
      </c>
      <c r="H16" s="15">
        <v>82.745500000000021</v>
      </c>
      <c r="I16" s="5">
        <f t="shared" si="1"/>
        <v>41.792100304590718</v>
      </c>
      <c r="J16" s="6">
        <f t="shared" si="7"/>
        <v>9624.2470601868936</v>
      </c>
      <c r="K16" s="6">
        <f t="shared" si="2"/>
        <v>4.8121235300934471</v>
      </c>
      <c r="M16" s="5">
        <f>1051.273+78.8</f>
        <v>1130.0729999999999</v>
      </c>
      <c r="N16" s="5">
        <f>'Inventory PM &amp; NOx'!M16</f>
        <v>1051.2730000000001</v>
      </c>
      <c r="O16" s="5">
        <f>78.8</f>
        <v>78.8</v>
      </c>
      <c r="P16" s="17"/>
      <c r="Q16" s="27">
        <f t="shared" si="8"/>
        <v>655.56183261101319</v>
      </c>
      <c r="R16" s="6">
        <f t="shared" si="3"/>
        <v>0.3277809163055066</v>
      </c>
      <c r="S16" s="27">
        <f t="shared" si="9"/>
        <v>49.138779755351685</v>
      </c>
      <c r="T16" s="6">
        <f t="shared" si="4"/>
        <v>2.4569389877675842E-2</v>
      </c>
      <c r="U16" s="26">
        <f t="shared" si="10"/>
        <v>704.70061236636468</v>
      </c>
      <c r="V16" s="6">
        <f t="shared" si="5"/>
        <v>0.35235030618318236</v>
      </c>
    </row>
    <row r="17" spans="1:22" x14ac:dyDescent="0.25">
      <c r="A17">
        <f t="shared" si="6"/>
        <v>2017</v>
      </c>
      <c r="B17">
        <f t="shared" si="11"/>
        <v>15</v>
      </c>
      <c r="C17" s="2">
        <v>0.48101709809097021</v>
      </c>
      <c r="D17" s="3">
        <v>1663365.602865428</v>
      </c>
      <c r="E17" s="3">
        <v>-679844.5526681164</v>
      </c>
      <c r="F17" s="3">
        <v>-327016.85387737112</v>
      </c>
      <c r="G17" s="4">
        <f t="shared" si="0"/>
        <v>668174.37449402839</v>
      </c>
      <c r="H17" s="15">
        <v>75.774000000000029</v>
      </c>
      <c r="I17" s="5">
        <f t="shared" si="1"/>
        <v>36.448589590745193</v>
      </c>
      <c r="J17" s="6">
        <f t="shared" si="7"/>
        <v>8817.9900030885019</v>
      </c>
      <c r="K17" s="6">
        <f t="shared" si="2"/>
        <v>4.4089950015442509</v>
      </c>
      <c r="M17" s="5">
        <f>1125.806+71</f>
        <v>1196.806</v>
      </c>
      <c r="N17" s="5">
        <f>'Inventory PM &amp; NOx'!M17</f>
        <v>1125.8060000000007</v>
      </c>
      <c r="O17" s="5">
        <f>71</f>
        <v>71</v>
      </c>
      <c r="P17" s="17"/>
      <c r="Q17" s="27">
        <f t="shared" si="8"/>
        <v>525.17719478429603</v>
      </c>
      <c r="R17" s="6">
        <f t="shared" si="3"/>
        <v>0.26258859739214802</v>
      </c>
      <c r="S17" s="27">
        <f t="shared" si="9"/>
        <v>33.120787089147683</v>
      </c>
      <c r="T17" s="6">
        <f t="shared" si="4"/>
        <v>1.6560393544573841E-2</v>
      </c>
      <c r="U17" s="26">
        <f t="shared" si="10"/>
        <v>558.2979818734434</v>
      </c>
      <c r="V17" s="6">
        <f t="shared" si="5"/>
        <v>0.27914899093672169</v>
      </c>
    </row>
    <row r="18" spans="1:22" x14ac:dyDescent="0.25">
      <c r="A18">
        <f t="shared" si="6"/>
        <v>2018</v>
      </c>
      <c r="B18">
        <f t="shared" si="11"/>
        <v>16</v>
      </c>
      <c r="C18" s="2">
        <v>0.45811152199140021</v>
      </c>
      <c r="D18" s="3">
        <v>1423326.1179685297</v>
      </c>
      <c r="E18" s="3">
        <v>-704085.34200927312</v>
      </c>
      <c r="F18" s="3">
        <v>-322549.60763970367</v>
      </c>
      <c r="G18" s="4">
        <f t="shared" si="0"/>
        <v>550388.25516441301</v>
      </c>
      <c r="H18" s="15">
        <v>68.802499999999995</v>
      </c>
      <c r="I18" s="5">
        <f t="shared" si="1"/>
        <v>31.51921799181331</v>
      </c>
      <c r="J18" s="6">
        <f t="shared" si="7"/>
        <v>7999.5386092716553</v>
      </c>
      <c r="K18" s="6">
        <f t="shared" si="2"/>
        <v>3.9997693046358278</v>
      </c>
      <c r="M18" s="5">
        <f>1200.339+63.1</f>
        <v>1263.4389999999999</v>
      </c>
      <c r="N18" s="5">
        <f>'Inventory PM &amp; NOx'!M18</f>
        <v>1200.3390000000009</v>
      </c>
      <c r="O18" s="5">
        <f>63.1</f>
        <v>63.1</v>
      </c>
      <c r="P18" s="17"/>
      <c r="Q18" s="27">
        <f t="shared" si="8"/>
        <v>413.87054363157216</v>
      </c>
      <c r="R18" s="6">
        <f t="shared" si="3"/>
        <v>0.20693527181578608</v>
      </c>
      <c r="S18" s="27">
        <f t="shared" si="9"/>
        <v>21.756546528232594</v>
      </c>
      <c r="T18" s="6">
        <f t="shared" si="4"/>
        <v>1.0878273264116297E-2</v>
      </c>
      <c r="U18" s="26">
        <f t="shared" si="10"/>
        <v>435.62709015980437</v>
      </c>
      <c r="V18" s="6">
        <f t="shared" si="5"/>
        <v>0.21781354507990219</v>
      </c>
    </row>
    <row r="19" spans="1:22" x14ac:dyDescent="0.25">
      <c r="A19">
        <f t="shared" si="6"/>
        <v>2019</v>
      </c>
      <c r="B19">
        <f t="shared" si="11"/>
        <v>17</v>
      </c>
      <c r="C19" s="2">
        <v>0.43629668761085727</v>
      </c>
      <c r="D19" s="3">
        <v>1202375.732307015</v>
      </c>
      <c r="E19" s="3">
        <v>-691585.34200927312</v>
      </c>
      <c r="F19" s="3">
        <v>-301736.39391886775</v>
      </c>
      <c r="G19" s="4">
        <f t="shared" si="0"/>
        <v>450319.66919407365</v>
      </c>
      <c r="H19" s="15">
        <v>61.830999999999996</v>
      </c>
      <c r="I19" s="5">
        <f t="shared" si="1"/>
        <v>26.976660491666912</v>
      </c>
      <c r="J19" s="6">
        <f t="shared" si="7"/>
        <v>7283.07271747301</v>
      </c>
      <c r="K19" s="6">
        <f t="shared" si="2"/>
        <v>3.6415363587365048</v>
      </c>
      <c r="M19" s="5">
        <f>1274.872+55.3</f>
        <v>1330.172</v>
      </c>
      <c r="N19" s="5">
        <f>'Inventory PM &amp; NOx'!M19</f>
        <v>1274.872000000001</v>
      </c>
      <c r="O19" s="5">
        <f>55.3</f>
        <v>55.3</v>
      </c>
      <c r="P19" s="17"/>
      <c r="Q19" s="27">
        <f t="shared" si="8"/>
        <v>324.46801803274082</v>
      </c>
      <c r="R19" s="6">
        <f t="shared" si="3"/>
        <v>0.16223400901637042</v>
      </c>
      <c r="S19" s="27">
        <f t="shared" si="9"/>
        <v>14.0744179785975</v>
      </c>
      <c r="T19" s="6">
        <f t="shared" si="4"/>
        <v>7.0372089892987502E-3</v>
      </c>
      <c r="U19" s="26">
        <f t="shared" si="10"/>
        <v>338.54243601133811</v>
      </c>
      <c r="V19" s="6">
        <f t="shared" si="5"/>
        <v>0.16927121800566905</v>
      </c>
    </row>
    <row r="20" spans="1:22" x14ac:dyDescent="0.25">
      <c r="A20" s="7">
        <f t="shared" si="6"/>
        <v>2020</v>
      </c>
      <c r="B20" s="7">
        <f t="shared" si="11"/>
        <v>18</v>
      </c>
      <c r="C20" s="8">
        <v>0.41552065486748313</v>
      </c>
      <c r="D20" s="9">
        <v>999240.74365188414</v>
      </c>
      <c r="E20" s="9">
        <v>-679085.34200927312</v>
      </c>
      <c r="F20" s="9">
        <v>-282173.98602260189</v>
      </c>
      <c r="G20" s="10">
        <f t="shared" si="0"/>
        <v>358533.37881464115</v>
      </c>
      <c r="H20" s="16">
        <v>55.699000000000005</v>
      </c>
      <c r="I20" s="11">
        <f t="shared" si="1"/>
        <v>23.144084955463946</v>
      </c>
      <c r="J20" s="12">
        <f t="shared" si="7"/>
        <v>6436.9805349223707</v>
      </c>
      <c r="K20" s="12">
        <f t="shared" si="2"/>
        <v>3.2184902674611853</v>
      </c>
      <c r="M20" s="5">
        <f>1484.893+47.5</f>
        <v>1532.393</v>
      </c>
      <c r="N20" s="5">
        <f>'Inventory PM &amp; NOx'!M20</f>
        <v>1484.8930000000003</v>
      </c>
      <c r="O20" s="5">
        <f>47.5</f>
        <v>47.5</v>
      </c>
      <c r="P20" s="17"/>
      <c r="Q20" s="27">
        <f t="shared" si="8"/>
        <v>226.71718205853745</v>
      </c>
      <c r="R20" s="6">
        <f t="shared" si="3"/>
        <v>0.11335859102926872</v>
      </c>
      <c r="S20" s="27">
        <f t="shared" si="9"/>
        <v>7.2524189606796767</v>
      </c>
      <c r="T20" s="6">
        <f t="shared" si="4"/>
        <v>3.6262094803398382E-3</v>
      </c>
      <c r="U20" s="26">
        <f t="shared" si="10"/>
        <v>233.96960101921709</v>
      </c>
      <c r="V20" s="6">
        <f t="shared" si="5"/>
        <v>0.11698480050960855</v>
      </c>
    </row>
    <row r="21" spans="1:22" x14ac:dyDescent="0.25">
      <c r="C21" s="2"/>
      <c r="D21" s="3"/>
      <c r="E21" s="3"/>
      <c r="F21" s="3"/>
      <c r="G21" s="4"/>
      <c r="H21" s="15"/>
      <c r="I21" s="5"/>
      <c r="J21" s="6"/>
    </row>
    <row r="22" spans="1:22" x14ac:dyDescent="0.25">
      <c r="C22" s="2"/>
      <c r="D22" s="3"/>
      <c r="E22" s="3"/>
      <c r="F22" s="3"/>
      <c r="G22" s="4"/>
      <c r="H22" s="4"/>
      <c r="I22" s="5" t="s">
        <v>14</v>
      </c>
      <c r="J22" s="4">
        <f>AVERAGE(J5:J20)</f>
        <v>14723.319233985045</v>
      </c>
      <c r="K22" s="6">
        <f>AVERAGE(K5:K20)</f>
        <v>7.3616596169925232</v>
      </c>
      <c r="P22" s="28" t="s">
        <v>14</v>
      </c>
      <c r="Q22" s="4">
        <f t="shared" ref="Q22:V22" si="12">AVERAGE(Q5:Q20)</f>
        <v>1882.3584502028511</v>
      </c>
      <c r="R22" s="6">
        <f t="shared" si="12"/>
        <v>0.94117922510142515</v>
      </c>
      <c r="S22" s="6">
        <f t="shared" si="12"/>
        <v>488.97228542075237</v>
      </c>
      <c r="T22" s="6">
        <f t="shared" si="12"/>
        <v>0.24448614271037622</v>
      </c>
      <c r="U22" s="4">
        <f t="shared" si="12"/>
        <v>2371.3307356236041</v>
      </c>
      <c r="V22" s="6">
        <f t="shared" si="12"/>
        <v>1.1856653678118017</v>
      </c>
    </row>
    <row r="23" spans="1:22" x14ac:dyDescent="0.25">
      <c r="C23" s="2"/>
      <c r="D23" s="3"/>
      <c r="E23" s="3"/>
      <c r="F23" s="3"/>
      <c r="G23" s="4"/>
      <c r="H23" s="4"/>
      <c r="I23" s="5" t="s">
        <v>15</v>
      </c>
      <c r="J23" s="4">
        <f>SUMPRODUCT(J5:J20,$H$5:$H$20)/SUM($H$5:$H$20)</f>
        <v>15341.090141281315</v>
      </c>
      <c r="K23" s="6">
        <f>SUMPRODUCT(K5:K20,$H$5:$H$20)/SUM($H$5:$H$20)</f>
        <v>7.6705450706406584</v>
      </c>
      <c r="P23" s="28" t="s">
        <v>15</v>
      </c>
      <c r="Q23" s="4">
        <f t="shared" ref="Q23:V23" si="13">SUMPRODUCT(Q5:Q20,$M$5:$M$20)/SUM($M$5:$M$20)</f>
        <v>1500.6604779079958</v>
      </c>
      <c r="R23" s="6">
        <f t="shared" si="13"/>
        <v>0.75033023895399764</v>
      </c>
      <c r="S23" s="4">
        <f t="shared" si="13"/>
        <v>333.16974856288778</v>
      </c>
      <c r="T23" s="6">
        <f t="shared" si="13"/>
        <v>0.16658487428144392</v>
      </c>
      <c r="U23" s="4">
        <f t="shared" si="13"/>
        <v>1833.8302264708836</v>
      </c>
      <c r="V23" s="6">
        <f t="shared" si="13"/>
        <v>0.91691511323544184</v>
      </c>
    </row>
    <row r="24" spans="1:22" x14ac:dyDescent="0.25">
      <c r="C24" s="2"/>
      <c r="D24" s="3"/>
      <c r="E24" s="3"/>
      <c r="F24" s="3"/>
      <c r="G24" s="4"/>
      <c r="H24" s="4"/>
      <c r="I24" s="5"/>
      <c r="J24" s="6"/>
    </row>
    <row r="25" spans="1:22" x14ac:dyDescent="0.25">
      <c r="C25" s="2"/>
      <c r="D25" s="3"/>
      <c r="E25" s="3"/>
      <c r="F25" s="3"/>
      <c r="G25" s="4"/>
      <c r="H25" s="4"/>
      <c r="I25" s="5"/>
      <c r="J25" s="6"/>
    </row>
    <row r="26" spans="1:22" x14ac:dyDescent="0.25">
      <c r="C26" s="2"/>
      <c r="D26" s="3"/>
      <c r="E26" s="3"/>
      <c r="F26" s="3"/>
      <c r="G26" s="4"/>
      <c r="H26" s="4"/>
      <c r="I26" s="5"/>
      <c r="J26" s="6"/>
    </row>
    <row r="27" spans="1:22" x14ac:dyDescent="0.25">
      <c r="C27" s="2"/>
      <c r="D27" s="3"/>
      <c r="E27" s="3"/>
      <c r="F27" s="3"/>
      <c r="G27" s="4"/>
      <c r="H27" s="4"/>
      <c r="I27" s="5"/>
      <c r="J27" s="6"/>
    </row>
    <row r="28" spans="1:22" x14ac:dyDescent="0.25">
      <c r="C28" s="2"/>
      <c r="D28" s="3"/>
      <c r="E28" s="3"/>
      <c r="F28" s="3"/>
      <c r="G28" s="4"/>
      <c r="H28" s="4"/>
      <c r="I28" s="5"/>
      <c r="J28" s="6"/>
    </row>
    <row r="29" spans="1:22" x14ac:dyDescent="0.25">
      <c r="C29" s="2"/>
      <c r="D29" s="3"/>
      <c r="E29" s="3"/>
      <c r="F29" s="3"/>
      <c r="G29" s="4"/>
      <c r="H29" s="4"/>
      <c r="I29" s="5"/>
      <c r="J29" s="6"/>
    </row>
    <row r="30" spans="1:22" x14ac:dyDescent="0.25">
      <c r="C30" s="2"/>
      <c r="D30" s="3"/>
      <c r="E30" s="3"/>
      <c r="F30" s="3"/>
      <c r="G30" s="4"/>
      <c r="H30" s="4"/>
      <c r="I30" s="5"/>
      <c r="J30" s="6"/>
    </row>
  </sheetData>
  <mergeCells count="16">
    <mergeCell ref="M2:M4"/>
    <mergeCell ref="P2:P4"/>
    <mergeCell ref="U2:U4"/>
    <mergeCell ref="V2:V4"/>
    <mergeCell ref="O2:O4"/>
    <mergeCell ref="N2:N4"/>
    <mergeCell ref="Q2:Q4"/>
    <mergeCell ref="R2:R4"/>
    <mergeCell ref="S2:S4"/>
    <mergeCell ref="T2:T4"/>
    <mergeCell ref="J2:J4"/>
    <mergeCell ref="K2:K4"/>
    <mergeCell ref="B2:B4"/>
    <mergeCell ref="I2:I4"/>
    <mergeCell ref="G3:G4"/>
    <mergeCell ref="H2:H4"/>
  </mergeCells>
  <pageMargins left="0.75" right="0.75" top="1" bottom="1" header="0.5" footer="0.5"/>
  <pageSetup scale="47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N25"/>
  <sheetViews>
    <sheetView tabSelected="1" topLeftCell="A7" workbookViewId="0"/>
  </sheetViews>
  <sheetFormatPr defaultRowHeight="13.2" x14ac:dyDescent="0.25"/>
  <cols>
    <col min="2" max="2" width="15.88671875" customWidth="1"/>
    <col min="3" max="5" width="11.6640625" customWidth="1"/>
    <col min="8" max="8" width="8.6640625" customWidth="1"/>
    <col min="9" max="11" width="12.6640625" customWidth="1"/>
    <col min="12" max="12" width="11.33203125" customWidth="1"/>
    <col min="15" max="15" width="12.33203125" customWidth="1"/>
  </cols>
  <sheetData>
    <row r="6" spans="1:14" ht="38.25" customHeight="1" x14ac:dyDescent="0.25">
      <c r="A6" s="31" t="s">
        <v>4</v>
      </c>
      <c r="B6" s="32" t="s">
        <v>28</v>
      </c>
      <c r="C6" s="21" t="s">
        <v>25</v>
      </c>
      <c r="D6" s="32" t="s">
        <v>27</v>
      </c>
      <c r="E6" s="32"/>
      <c r="H6" s="31" t="s">
        <v>4</v>
      </c>
      <c r="I6" s="32" t="s">
        <v>28</v>
      </c>
      <c r="J6" s="33" t="s">
        <v>40</v>
      </c>
      <c r="K6" s="34"/>
      <c r="L6" s="35"/>
      <c r="M6" s="32" t="s">
        <v>37</v>
      </c>
      <c r="N6" s="32"/>
    </row>
    <row r="7" spans="1:14" ht="26.4" x14ac:dyDescent="0.25">
      <c r="A7" s="31"/>
      <c r="B7" s="32"/>
      <c r="C7" s="20" t="s">
        <v>26</v>
      </c>
      <c r="D7" s="20" t="s">
        <v>35</v>
      </c>
      <c r="E7" s="20" t="s">
        <v>36</v>
      </c>
      <c r="H7" s="31"/>
      <c r="I7" s="32"/>
      <c r="J7" s="20" t="s">
        <v>38</v>
      </c>
      <c r="K7" s="20" t="s">
        <v>39</v>
      </c>
      <c r="L7" s="20" t="s">
        <v>41</v>
      </c>
      <c r="M7" s="20" t="s">
        <v>35</v>
      </c>
      <c r="N7" s="20" t="s">
        <v>36</v>
      </c>
    </row>
    <row r="8" spans="1:14" x14ac:dyDescent="0.25">
      <c r="A8" s="19">
        <f>Inventory!A5</f>
        <v>2005</v>
      </c>
      <c r="B8" s="22">
        <f>Inventory!G5</f>
        <v>1354315.9857417336</v>
      </c>
      <c r="C8" s="23">
        <f>Inventory!I5</f>
        <v>145.44822373393799</v>
      </c>
      <c r="D8" s="24">
        <f>Inventory!J5</f>
        <v>8043.4744319462488</v>
      </c>
      <c r="E8" s="25">
        <f>Inventory!K5</f>
        <v>4.0217372159731246</v>
      </c>
      <c r="H8" s="19">
        <f>'Inventory PM &amp; NOx+ROG'!A5</f>
        <v>2005</v>
      </c>
      <c r="I8" s="22">
        <f>'Inventory PM &amp; NOx+ROG'!G5</f>
        <v>677157.99287086679</v>
      </c>
      <c r="J8" s="29">
        <f>'Inventory PM &amp; NOx+ROG'!O5</f>
        <v>164.7</v>
      </c>
      <c r="K8" s="29">
        <f>'Inventory PM &amp; NOx+ROG'!N5</f>
        <v>418.18049999999926</v>
      </c>
      <c r="L8" s="23">
        <f>'Inventory PM &amp; NOx+ROG'!M5</f>
        <v>582.88049999999896</v>
      </c>
      <c r="M8" s="24">
        <f>'Inventory PM &amp; NOx+ROG'!U5</f>
        <v>1161.7441188560399</v>
      </c>
      <c r="N8" s="25">
        <f>'Inventory PM &amp; NOx+ROG'!V5</f>
        <v>0.58087205942802</v>
      </c>
    </row>
    <row r="9" spans="1:14" x14ac:dyDescent="0.25">
      <c r="A9" s="19">
        <f>Inventory!A6</f>
        <v>2006</v>
      </c>
      <c r="B9" s="22">
        <f>Inventory!G6</f>
        <v>3108844.2123928103</v>
      </c>
      <c r="C9" s="23">
        <f>Inventory!I6</f>
        <v>125.42963065800772</v>
      </c>
      <c r="D9" s="24">
        <f>Inventory!J6</f>
        <v>20391.145328742921</v>
      </c>
      <c r="E9" s="25">
        <f>Inventory!K6</f>
        <v>10.195572664371461</v>
      </c>
      <c r="H9" s="19">
        <f>'Inventory PM &amp; NOx+ROG'!A6</f>
        <v>2006</v>
      </c>
      <c r="I9" s="22">
        <f>'Inventory PM &amp; NOx+ROG'!G6</f>
        <v>1554422.1061964051</v>
      </c>
      <c r="J9" s="29">
        <f>'Inventory PM &amp; NOx+ROG'!O6</f>
        <v>156.9</v>
      </c>
      <c r="K9" s="29">
        <f>'Inventory PM &amp; NOx+ROG'!N6</f>
        <v>305.94300000000021</v>
      </c>
      <c r="L9" s="23">
        <f>'Inventory PM &amp; NOx+ROG'!M6</f>
        <v>462.84299999999996</v>
      </c>
      <c r="M9" s="24">
        <f>'Inventory PM &amp; NOx+ROG'!U6</f>
        <v>3358.4219836886487</v>
      </c>
      <c r="N9" s="25">
        <f>'Inventory PM &amp; NOx+ROG'!V6</f>
        <v>1.6792109918443243</v>
      </c>
    </row>
    <row r="10" spans="1:14" x14ac:dyDescent="0.25">
      <c r="A10" s="19">
        <f>Inventory!A7</f>
        <v>2007</v>
      </c>
      <c r="B10" s="22">
        <f>Inventory!G7</f>
        <v>4693203.5013906285</v>
      </c>
      <c r="C10" s="23">
        <f>Inventory!I7</f>
        <v>113.53685915211204</v>
      </c>
      <c r="D10" s="24">
        <f>Inventory!J7</f>
        <v>32388.140515445488</v>
      </c>
      <c r="E10" s="25">
        <f>Inventory!K7</f>
        <v>16.194070257722743</v>
      </c>
      <c r="H10" s="19">
        <f>'Inventory PM &amp; NOx+ROG'!A7</f>
        <v>2007</v>
      </c>
      <c r="I10" s="22">
        <f>'Inventory PM &amp; NOx+ROG'!G7</f>
        <v>2346601.7506953143</v>
      </c>
      <c r="J10" s="29">
        <f>'Inventory PM &amp; NOx+ROG'!O7</f>
        <v>149.1</v>
      </c>
      <c r="K10" s="29">
        <f>'Inventory PM &amp; NOx+ROG'!N7</f>
        <v>389.0534999999997</v>
      </c>
      <c r="L10" s="23">
        <f>'Inventory PM &amp; NOx+ROG'!M7</f>
        <v>538.15350000000001</v>
      </c>
      <c r="M10" s="24">
        <f>'Inventory PM &amp; NOx+ROG'!U7</f>
        <v>4360.4691796955967</v>
      </c>
      <c r="N10" s="25">
        <f>'Inventory PM &amp; NOx+ROG'!V7</f>
        <v>2.1802345898477982</v>
      </c>
    </row>
    <row r="11" spans="1:14" x14ac:dyDescent="0.25">
      <c r="A11" s="19">
        <f>Inventory!A8</f>
        <v>2008</v>
      </c>
      <c r="B11" s="22">
        <f>Inventory!G8</f>
        <v>6119621.8961700778</v>
      </c>
      <c r="C11" s="23">
        <f>Inventory!I8</f>
        <v>103.36389120361407</v>
      </c>
      <c r="D11" s="24">
        <f>Inventory!J8</f>
        <v>44179.413403866492</v>
      </c>
      <c r="E11" s="25">
        <f>Inventory!K8</f>
        <v>22.089706701933245</v>
      </c>
      <c r="H11" s="19">
        <f>'Inventory PM &amp; NOx+ROG'!A8</f>
        <v>2008</v>
      </c>
      <c r="I11" s="22">
        <f>'Inventory PM &amp; NOx+ROG'!G8</f>
        <v>3059810.9480850389</v>
      </c>
      <c r="J11" s="29">
        <f>'Inventory PM &amp; NOx+ROG'!O8</f>
        <v>141.30000000000001</v>
      </c>
      <c r="K11" s="29">
        <f>'Inventory PM &amp; NOx+ROG'!N8</f>
        <v>455.0090000000003</v>
      </c>
      <c r="L11" s="23">
        <f>'Inventory PM &amp; NOx+ROG'!M8</f>
        <v>596.30899999999997</v>
      </c>
      <c r="M11" s="24">
        <f>'Inventory PM &amp; NOx+ROG'!U8</f>
        <v>5131.2506571006625</v>
      </c>
      <c r="N11" s="25">
        <f>'Inventory PM &amp; NOx+ROG'!V8</f>
        <v>2.5656253285503312</v>
      </c>
    </row>
    <row r="12" spans="1:14" x14ac:dyDescent="0.25">
      <c r="A12" s="19">
        <f>Inventory!A9</f>
        <v>2009</v>
      </c>
      <c r="B12" s="22">
        <f>Inventory!G9</f>
        <v>5842752.0192386722</v>
      </c>
      <c r="C12" s="23">
        <f>Inventory!I9</f>
        <v>93.487286253296958</v>
      </c>
      <c r="D12" s="24">
        <f>Inventory!J9</f>
        <v>44416.037121909234</v>
      </c>
      <c r="E12" s="25">
        <f>Inventory!K9</f>
        <v>22.208018560954617</v>
      </c>
      <c r="H12" s="19">
        <f>'Inventory PM &amp; NOx+ROG'!A9</f>
        <v>2009</v>
      </c>
      <c r="I12" s="22">
        <f>'Inventory PM &amp; NOx+ROG'!G9</f>
        <v>2921376.0096193361</v>
      </c>
      <c r="J12" s="29">
        <f>'Inventory PM &amp; NOx+ROG'!O9</f>
        <v>133.4</v>
      </c>
      <c r="K12" s="29">
        <f>'Inventory PM &amp; NOx+ROG'!N9</f>
        <v>529.54199999999969</v>
      </c>
      <c r="L12" s="23">
        <f>'Inventory PM &amp; NOx+ROG'!M9</f>
        <v>662.94200000000001</v>
      </c>
      <c r="M12" s="24">
        <f>'Inventory PM &amp; NOx+ROG'!U9</f>
        <v>4406.684158824356</v>
      </c>
      <c r="N12" s="25">
        <f>'Inventory PM &amp; NOx+ROG'!V9</f>
        <v>2.2033420794121779</v>
      </c>
    </row>
    <row r="13" spans="1:14" x14ac:dyDescent="0.25">
      <c r="A13" s="19">
        <f>Inventory!A10</f>
        <v>2010</v>
      </c>
      <c r="B13" s="22">
        <f>Inventory!G10</f>
        <v>5578374.0083729131</v>
      </c>
      <c r="C13" s="23">
        <f>Inventory!I10</f>
        <v>73.37277104071984</v>
      </c>
      <c r="D13" s="24">
        <f>Inventory!J10</f>
        <v>51458.641283823745</v>
      </c>
      <c r="E13" s="25">
        <f>Inventory!K10</f>
        <v>25.729320641911873</v>
      </c>
      <c r="H13" s="19">
        <f>'Inventory PM &amp; NOx+ROG'!A10</f>
        <v>2010</v>
      </c>
      <c r="I13" s="22">
        <f>'Inventory PM &amp; NOx+ROG'!G10</f>
        <v>2789187.0041864566</v>
      </c>
      <c r="J13" s="29">
        <f>'Inventory PM &amp; NOx+ROG'!O10</f>
        <v>125.6</v>
      </c>
      <c r="K13" s="29">
        <f>'Inventory PM &amp; NOx+ROG'!N10</f>
        <v>352.04250000000002</v>
      </c>
      <c r="L13" s="23">
        <f>'Inventory PM &amp; NOx+ROG'!M10</f>
        <v>477.64250000000004</v>
      </c>
      <c r="M13" s="24">
        <f>'Inventory PM &amp; NOx+ROG'!U10</f>
        <v>5839.4866541115089</v>
      </c>
      <c r="N13" s="25">
        <f>'Inventory PM &amp; NOx+ROG'!V10</f>
        <v>2.9197433270557545</v>
      </c>
    </row>
    <row r="14" spans="1:14" x14ac:dyDescent="0.25">
      <c r="A14" s="19">
        <f>Inventory!A11</f>
        <v>2011</v>
      </c>
      <c r="B14" s="22">
        <f>Inventory!G11</f>
        <v>5409320.0879567163</v>
      </c>
      <c r="C14" s="23">
        <f>Inventory!I11</f>
        <v>75.807942373961623</v>
      </c>
      <c r="D14" s="24">
        <f>Inventory!J11</f>
        <v>45996.446416815183</v>
      </c>
      <c r="E14" s="25">
        <f>Inventory!K11</f>
        <v>22.998223208407591</v>
      </c>
      <c r="H14" s="19">
        <f>'Inventory PM &amp; NOx+ROG'!A11</f>
        <v>2011</v>
      </c>
      <c r="I14" s="22">
        <f>'Inventory PM &amp; NOx+ROG'!G11</f>
        <v>2704660.0439783582</v>
      </c>
      <c r="J14" s="29">
        <f>'Inventory PM &amp; NOx+ROG'!O11</f>
        <v>117.8</v>
      </c>
      <c r="K14" s="29">
        <f>'Inventory PM &amp; NOx+ROG'!N11</f>
        <v>678.60800000000052</v>
      </c>
      <c r="L14" s="23">
        <f>'Inventory PM &amp; NOx+ROG'!M11</f>
        <v>796.40800000000092</v>
      </c>
      <c r="M14" s="24">
        <f>'Inventory PM &amp; NOx+ROG'!U11</f>
        <v>3396.0734246496204</v>
      </c>
      <c r="N14" s="25">
        <f>'Inventory PM &amp; NOx+ROG'!V11</f>
        <v>1.6980367123248101</v>
      </c>
    </row>
    <row r="15" spans="1:14" x14ac:dyDescent="0.25">
      <c r="A15" s="19">
        <f>Inventory!A12</f>
        <v>2012</v>
      </c>
      <c r="B15" s="22">
        <f>Inventory!G12</f>
        <v>5159407.3327708952</v>
      </c>
      <c r="C15" s="23">
        <f>Inventory!I12</f>
        <v>67.918144109094527</v>
      </c>
      <c r="D15" s="24">
        <f>Inventory!J12</f>
        <v>46635.970160134268</v>
      </c>
      <c r="E15" s="25">
        <f>Inventory!K12</f>
        <v>23.317985080067135</v>
      </c>
      <c r="H15" s="19">
        <f>'Inventory PM &amp; NOx+ROG'!A12</f>
        <v>2012</v>
      </c>
      <c r="I15" s="22">
        <f>'Inventory PM &amp; NOx+ROG'!G12</f>
        <v>2579703.6663854476</v>
      </c>
      <c r="J15" s="29">
        <f>'Inventory PM &amp; NOx+ROG'!O12</f>
        <v>110</v>
      </c>
      <c r="K15" s="29">
        <f>'Inventory PM &amp; NOx+ROG'!N12</f>
        <v>753.14100000000053</v>
      </c>
      <c r="L15" s="23">
        <f>'Inventory PM &amp; NOx+ROG'!M12</f>
        <v>863.14100000000099</v>
      </c>
      <c r="M15" s="24">
        <f>'Inventory PM &amp; NOx+ROG'!U12</f>
        <v>2988.7395760199606</v>
      </c>
      <c r="N15" s="25">
        <f>'Inventory PM &amp; NOx+ROG'!V12</f>
        <v>1.4943697880099802</v>
      </c>
    </row>
    <row r="16" spans="1:14" x14ac:dyDescent="0.25">
      <c r="A16" s="19">
        <f>Inventory!A13</f>
        <v>2013</v>
      </c>
      <c r="B16" s="22">
        <f>Inventory!G13</f>
        <v>4135495.0998288686</v>
      </c>
      <c r="C16" s="23">
        <f>Inventory!I13</f>
        <v>60.6078551067001</v>
      </c>
      <c r="D16" s="24">
        <f>Inventory!J13</f>
        <v>39894.801271742901</v>
      </c>
      <c r="E16" s="25">
        <f>Inventory!K13</f>
        <v>19.94740063587145</v>
      </c>
      <c r="H16" s="19">
        <f>'Inventory PM &amp; NOx+ROG'!A13</f>
        <v>2013</v>
      </c>
      <c r="I16" s="22">
        <f>'Inventory PM &amp; NOx+ROG'!G13</f>
        <v>2067747.5499144343</v>
      </c>
      <c r="J16" s="29">
        <f>'Inventory PM &amp; NOx+ROG'!O13</f>
        <v>102.2</v>
      </c>
      <c r="K16" s="29">
        <f>'Inventory PM &amp; NOx+ROG'!N13</f>
        <v>827.67399999999998</v>
      </c>
      <c r="L16" s="23">
        <f>'Inventory PM &amp; NOx+ROG'!M13</f>
        <v>929.87400000000002</v>
      </c>
      <c r="M16" s="24">
        <f>'Inventory PM &amp; NOx+ROG'!U13</f>
        <v>2223.6857358248903</v>
      </c>
      <c r="N16" s="25">
        <f>'Inventory PM &amp; NOx+ROG'!V13</f>
        <v>1.1118428679124452</v>
      </c>
    </row>
    <row r="17" spans="1:14" x14ac:dyDescent="0.25">
      <c r="A17" s="19">
        <f>Inventory!A14</f>
        <v>2014</v>
      </c>
      <c r="B17" s="22">
        <f>Inventory!G14</f>
        <v>3197398.9812877374</v>
      </c>
      <c r="C17" s="23">
        <f>Inventory!I14</f>
        <v>53.839774707460961</v>
      </c>
      <c r="D17" s="24">
        <f>Inventory!J14</f>
        <v>33069.072136683651</v>
      </c>
      <c r="E17" s="25">
        <f>Inventory!K14</f>
        <v>16.534536068341826</v>
      </c>
      <c r="H17" s="19">
        <f>'Inventory PM &amp; NOx+ROG'!A14</f>
        <v>2014</v>
      </c>
      <c r="I17" s="22">
        <f>'Inventory PM &amp; NOx+ROG'!G14</f>
        <v>1598699.4906438687</v>
      </c>
      <c r="J17" s="29">
        <f>'Inventory PM &amp; NOx+ROG'!O14</f>
        <v>94.4</v>
      </c>
      <c r="K17" s="29">
        <f>'Inventory PM &amp; NOx+ROG'!N14</f>
        <v>902.20699999999999</v>
      </c>
      <c r="L17" s="23">
        <f>'Inventory PM &amp; NOx+ROG'!M14</f>
        <v>996.60699999999997</v>
      </c>
      <c r="M17" s="24">
        <f>'Inventory PM &amp; NOx+ROG'!U14</f>
        <v>1604.1423456225662</v>
      </c>
      <c r="N17" s="25">
        <f>'Inventory PM &amp; NOx+ROG'!V14</f>
        <v>0.80207117281128304</v>
      </c>
    </row>
    <row r="18" spans="1:14" x14ac:dyDescent="0.25">
      <c r="A18" s="19">
        <f>Inventory!A15</f>
        <v>2015</v>
      </c>
      <c r="B18" s="22">
        <f>Inventory!G15</f>
        <v>2358752.2353449794</v>
      </c>
      <c r="C18" s="23">
        <f>Inventory!I15</f>
        <v>51.372759558360343</v>
      </c>
      <c r="D18" s="24">
        <f>Inventory!J15</f>
        <v>24349.415566526404</v>
      </c>
      <c r="E18" s="25">
        <f>Inventory!K15</f>
        <v>12.174707783263202</v>
      </c>
      <c r="H18" s="19">
        <f>'Inventory PM &amp; NOx+ROG'!A15</f>
        <v>2015</v>
      </c>
      <c r="I18" s="22">
        <f>'Inventory PM &amp; NOx+ROG'!G15</f>
        <v>1179376.1176724897</v>
      </c>
      <c r="J18" s="29">
        <f>'Inventory PM &amp; NOx+ROG'!O15</f>
        <v>86.6</v>
      </c>
      <c r="K18" s="29">
        <f>'Inventory PM &amp; NOx+ROG'!N15</f>
        <v>896.65899999999999</v>
      </c>
      <c r="L18" s="23">
        <f>'Inventory PM &amp; NOx+ROG'!M15</f>
        <v>983.25900000000001</v>
      </c>
      <c r="M18" s="24">
        <f>'Inventory PM &amp; NOx+ROG'!U15</f>
        <v>1199.4562141536358</v>
      </c>
      <c r="N18" s="25">
        <f>'Inventory PM &amp; NOx+ROG'!V15</f>
        <v>0.5997281070768179</v>
      </c>
    </row>
    <row r="19" spans="1:14" x14ac:dyDescent="0.25">
      <c r="A19" s="19">
        <f>Inventory!A16</f>
        <v>2016</v>
      </c>
      <c r="B19" s="22">
        <f>Inventory!G16</f>
        <v>1592726.2702373895</v>
      </c>
      <c r="C19" s="23">
        <f>Inventory!I16</f>
        <v>41.792100304590718</v>
      </c>
      <c r="D19" s="24">
        <f>Inventory!J16</f>
        <v>19248.494120373787</v>
      </c>
      <c r="E19" s="25">
        <f>Inventory!K16</f>
        <v>9.6242470601868941</v>
      </c>
      <c r="H19" s="19">
        <f>'Inventory PM &amp; NOx+ROG'!A16</f>
        <v>2016</v>
      </c>
      <c r="I19" s="22">
        <f>'Inventory PM &amp; NOx+ROG'!G16</f>
        <v>796363.13511869474</v>
      </c>
      <c r="J19" s="29">
        <f>'Inventory PM &amp; NOx+ROG'!O16</f>
        <v>78.8</v>
      </c>
      <c r="K19" s="29">
        <f>'Inventory PM &amp; NOx+ROG'!N16</f>
        <v>1051.2730000000001</v>
      </c>
      <c r="L19" s="23">
        <f>'Inventory PM &amp; NOx+ROG'!M16</f>
        <v>1130.0729999999999</v>
      </c>
      <c r="M19" s="24">
        <f>'Inventory PM &amp; NOx+ROG'!U16</f>
        <v>704.70061236636468</v>
      </c>
      <c r="N19" s="25">
        <f>'Inventory PM &amp; NOx+ROG'!V16</f>
        <v>0.35235030618318236</v>
      </c>
    </row>
    <row r="20" spans="1:14" x14ac:dyDescent="0.25">
      <c r="A20" s="19">
        <f>Inventory!A17</f>
        <v>2017</v>
      </c>
      <c r="B20" s="22">
        <f>Inventory!G17</f>
        <v>1336348.7489880568</v>
      </c>
      <c r="C20" s="23">
        <f>Inventory!I17</f>
        <v>36.448589590745193</v>
      </c>
      <c r="D20" s="24">
        <f>Inventory!J17</f>
        <v>17635.980006177004</v>
      </c>
      <c r="E20" s="25">
        <f>Inventory!K17</f>
        <v>8.8179900030885019</v>
      </c>
      <c r="H20" s="19">
        <f>'Inventory PM &amp; NOx+ROG'!A17</f>
        <v>2017</v>
      </c>
      <c r="I20" s="22">
        <f>'Inventory PM &amp; NOx+ROG'!G17</f>
        <v>668174.37449402839</v>
      </c>
      <c r="J20" s="29">
        <f>'Inventory PM &amp; NOx+ROG'!O17</f>
        <v>71</v>
      </c>
      <c r="K20" s="29">
        <f>'Inventory PM &amp; NOx+ROG'!N17</f>
        <v>1125.8060000000007</v>
      </c>
      <c r="L20" s="23">
        <f>'Inventory PM &amp; NOx+ROG'!M17</f>
        <v>1196.806</v>
      </c>
      <c r="M20" s="24">
        <f>'Inventory PM &amp; NOx+ROG'!U17</f>
        <v>558.2979818734434</v>
      </c>
      <c r="N20" s="25">
        <f>'Inventory PM &amp; NOx+ROG'!V17</f>
        <v>0.27914899093672169</v>
      </c>
    </row>
    <row r="21" spans="1:14" x14ac:dyDescent="0.25">
      <c r="A21" s="19">
        <f>Inventory!A18</f>
        <v>2018</v>
      </c>
      <c r="B21" s="22">
        <f>Inventory!G18</f>
        <v>1100776.510328826</v>
      </c>
      <c r="C21" s="23">
        <f>Inventory!I18</f>
        <v>31.51921799181331</v>
      </c>
      <c r="D21" s="24">
        <f>Inventory!J18</f>
        <v>15999.077218543311</v>
      </c>
      <c r="E21" s="25">
        <f>Inventory!K18</f>
        <v>7.9995386092716556</v>
      </c>
      <c r="H21" s="19">
        <f>'Inventory PM &amp; NOx+ROG'!A18</f>
        <v>2018</v>
      </c>
      <c r="I21" s="22">
        <f>'Inventory PM &amp; NOx+ROG'!G18</f>
        <v>550388.25516441301</v>
      </c>
      <c r="J21" s="29">
        <f>'Inventory PM &amp; NOx+ROG'!O18</f>
        <v>63.1</v>
      </c>
      <c r="K21" s="29">
        <f>'Inventory PM &amp; NOx+ROG'!N18</f>
        <v>1200.3390000000009</v>
      </c>
      <c r="L21" s="23">
        <f>'Inventory PM &amp; NOx+ROG'!M18</f>
        <v>1263.4389999999999</v>
      </c>
      <c r="M21" s="24">
        <f>'Inventory PM &amp; NOx+ROG'!U18</f>
        <v>435.62709015980437</v>
      </c>
      <c r="N21" s="25">
        <f>'Inventory PM &amp; NOx+ROG'!V18</f>
        <v>0.21781354507990219</v>
      </c>
    </row>
    <row r="22" spans="1:14" x14ac:dyDescent="0.25">
      <c r="A22" s="19">
        <f>Inventory!A19</f>
        <v>2019</v>
      </c>
      <c r="B22" s="22">
        <f>Inventory!G19</f>
        <v>900639.3383881473</v>
      </c>
      <c r="C22" s="23">
        <f>Inventory!I19</f>
        <v>26.976660491666912</v>
      </c>
      <c r="D22" s="24">
        <f>Inventory!J19</f>
        <v>14566.14543494602</v>
      </c>
      <c r="E22" s="25">
        <f>Inventory!K19</f>
        <v>7.2830727174730097</v>
      </c>
      <c r="H22" s="19">
        <f>'Inventory PM &amp; NOx+ROG'!A19</f>
        <v>2019</v>
      </c>
      <c r="I22" s="22">
        <f>'Inventory PM &amp; NOx+ROG'!G19</f>
        <v>450319.66919407365</v>
      </c>
      <c r="J22" s="29">
        <f>'Inventory PM &amp; NOx+ROG'!O19</f>
        <v>55.3</v>
      </c>
      <c r="K22" s="29">
        <f>'Inventory PM &amp; NOx+ROG'!N19</f>
        <v>1274.872000000001</v>
      </c>
      <c r="L22" s="23">
        <f>'Inventory PM &amp; NOx+ROG'!M19</f>
        <v>1330.172</v>
      </c>
      <c r="M22" s="24">
        <f>'Inventory PM &amp; NOx+ROG'!U19</f>
        <v>338.54243601133811</v>
      </c>
      <c r="N22" s="25">
        <f>'Inventory PM &amp; NOx+ROG'!V19</f>
        <v>0.16927121800566905</v>
      </c>
    </row>
    <row r="23" spans="1:14" x14ac:dyDescent="0.25">
      <c r="A23" s="19">
        <f>Inventory!A20</f>
        <v>2020</v>
      </c>
      <c r="B23" s="22">
        <f>Inventory!G20</f>
        <v>717066.75762928231</v>
      </c>
      <c r="C23" s="23">
        <f>Inventory!I20</f>
        <v>23.144084955463946</v>
      </c>
      <c r="D23" s="24">
        <f>Inventory!J20</f>
        <v>12873.961069844741</v>
      </c>
      <c r="E23" s="25">
        <f>Inventory!K20</f>
        <v>6.4369805349223705</v>
      </c>
      <c r="H23" s="19">
        <f>'Inventory PM &amp; NOx+ROG'!A20</f>
        <v>2020</v>
      </c>
      <c r="I23" s="22">
        <f>'Inventory PM &amp; NOx+ROG'!G20</f>
        <v>358533.37881464115</v>
      </c>
      <c r="J23" s="29">
        <f>'Inventory PM &amp; NOx+ROG'!O20</f>
        <v>47.5</v>
      </c>
      <c r="K23" s="29">
        <f>'Inventory PM &amp; NOx+ROG'!N20</f>
        <v>1484.8930000000003</v>
      </c>
      <c r="L23" s="23">
        <f>'Inventory PM &amp; NOx+ROG'!M20</f>
        <v>1532.393</v>
      </c>
      <c r="M23" s="24">
        <f>'Inventory PM &amp; NOx+ROG'!U20</f>
        <v>233.96960101921709</v>
      </c>
      <c r="N23" s="25">
        <f>'Inventory PM &amp; NOx+ROG'!V20</f>
        <v>0.11698480050960855</v>
      </c>
    </row>
    <row r="24" spans="1:14" x14ac:dyDescent="0.25">
      <c r="A24" s="31" t="s">
        <v>24</v>
      </c>
      <c r="B24" s="31"/>
      <c r="C24" s="31"/>
      <c r="D24" s="24">
        <f>SUMPRODUCT(D8:D23,$C$8:$C$23)/SUM($C$8:$C$23)</f>
        <v>30821.485524433429</v>
      </c>
      <c r="E24" s="25">
        <f>SUMPRODUCT(E8:E23,$C$8:$C$23)/SUM($C$8:$C$23)</f>
        <v>15.410742762216715</v>
      </c>
      <c r="H24" s="31" t="s">
        <v>24</v>
      </c>
      <c r="I24" s="31"/>
      <c r="J24" s="31"/>
      <c r="K24" s="31"/>
      <c r="L24" s="31"/>
      <c r="M24" s="24">
        <f>SUMPRODUCT(M8:M23,$L$8:$L$23)/SUM($L$8:$L$23)</f>
        <v>1833.8302264708836</v>
      </c>
      <c r="N24" s="25">
        <f>SUMPRODUCT(N8:N23,$L$8:$L$23)/SUM($L$8:$L$23)</f>
        <v>0.91691511323544184</v>
      </c>
    </row>
    <row r="25" spans="1:14" x14ac:dyDescent="0.25">
      <c r="E25" s="6"/>
      <c r="N25" s="6"/>
    </row>
  </sheetData>
  <mergeCells count="9">
    <mergeCell ref="H24:L24"/>
    <mergeCell ref="B6:B7"/>
    <mergeCell ref="A6:A7"/>
    <mergeCell ref="D6:E6"/>
    <mergeCell ref="A24:C24"/>
    <mergeCell ref="M6:N6"/>
    <mergeCell ref="J6:L6"/>
    <mergeCell ref="H6:H7"/>
    <mergeCell ref="I6:I7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Inventory</vt:lpstr>
      <vt:lpstr>Inventory PM &amp; NOx</vt:lpstr>
      <vt:lpstr>Inventory PM &amp; NOx+ROG</vt:lpstr>
      <vt:lpstr>Appendix</vt:lpstr>
    </vt:vector>
  </TitlesOfParts>
  <Company>ARB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Lee</dc:creator>
  <cp:lastModifiedBy>Aniket Gupta</cp:lastModifiedBy>
  <cp:lastPrinted>2003-09-23T16:31:21Z</cp:lastPrinted>
  <dcterms:created xsi:type="dcterms:W3CDTF">2003-09-19T17:48:16Z</dcterms:created>
  <dcterms:modified xsi:type="dcterms:W3CDTF">2024-02-03T22:30:39Z</dcterms:modified>
</cp:coreProperties>
</file>