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CFFB1413-E8E4-4B2B-902E-22751CE119C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P14" i="1" s="1"/>
  <c r="J11" i="1"/>
  <c r="K11" i="1"/>
  <c r="K25" i="1" s="1"/>
  <c r="L11" i="1"/>
  <c r="J12" i="1"/>
  <c r="K12" i="1"/>
  <c r="L12" i="1"/>
  <c r="P12" i="1"/>
  <c r="P10" i="1" s="1"/>
  <c r="P23" i="1" s="1"/>
  <c r="J13" i="1"/>
  <c r="K13" i="1"/>
  <c r="L13" i="1"/>
  <c r="J15" i="1"/>
  <c r="K15" i="1"/>
  <c r="L15" i="1"/>
  <c r="P13" i="1" s="1"/>
  <c r="J16" i="1"/>
  <c r="K16" i="1"/>
  <c r="L16" i="1"/>
  <c r="J17" i="1"/>
  <c r="P11" i="1" s="1"/>
  <c r="K17" i="1"/>
  <c r="L17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P24" i="1"/>
  <c r="P25" i="1" s="1"/>
  <c r="B25" i="1"/>
  <c r="C25" i="1"/>
  <c r="C39" i="1" s="1"/>
  <c r="C40" i="1" s="1"/>
  <c r="C41" i="1" s="1"/>
  <c r="J25" i="1"/>
  <c r="J27" i="1"/>
  <c r="K27" i="1"/>
  <c r="L27" i="1"/>
  <c r="J28" i="1"/>
  <c r="J35" i="1" s="1"/>
  <c r="K28" i="1"/>
  <c r="K35" i="1" s="1"/>
  <c r="L28" i="1"/>
  <c r="J29" i="1"/>
  <c r="K29" i="1"/>
  <c r="L29" i="1"/>
  <c r="J30" i="1"/>
  <c r="K30" i="1"/>
  <c r="L30" i="1"/>
  <c r="J31" i="1"/>
  <c r="K31" i="1"/>
  <c r="L31" i="1"/>
  <c r="L35" i="1" s="1"/>
  <c r="B35" i="1"/>
  <c r="C35" i="1"/>
  <c r="J36" i="1"/>
  <c r="J38" i="1" s="1"/>
  <c r="K36" i="1"/>
  <c r="L36" i="1"/>
  <c r="L38" i="1" s="1"/>
  <c r="J37" i="1"/>
  <c r="K37" i="1"/>
  <c r="L37" i="1"/>
  <c r="C38" i="1"/>
  <c r="K38" i="1"/>
  <c r="B39" i="1"/>
  <c r="B40" i="1" s="1"/>
  <c r="B41" i="1" s="1"/>
  <c r="Q13" i="1" l="1"/>
  <c r="P21" i="1"/>
  <c r="P15" i="1"/>
  <c r="Q21" i="1"/>
  <c r="R21" i="1" s="1"/>
  <c r="Q14" i="1"/>
  <c r="P16" i="1"/>
  <c r="Q16" i="1" s="1"/>
  <c r="P22" i="1"/>
  <c r="Q22" i="1"/>
  <c r="R22" i="1" s="1"/>
  <c r="K39" i="1"/>
  <c r="K40" i="1" s="1"/>
  <c r="K41" i="1" s="1"/>
  <c r="J39" i="1"/>
  <c r="J40" i="1" s="1"/>
  <c r="J41" i="1" s="1"/>
  <c r="L25" i="1"/>
  <c r="L39" i="1" s="1"/>
  <c r="L40" i="1" s="1"/>
  <c r="L41" i="1" s="1"/>
  <c r="P17" i="1" l="1"/>
  <c r="P18" i="1"/>
  <c r="Q15" i="1"/>
  <c r="Q17" i="1" l="1"/>
  <c r="Q18" i="1"/>
</calcChain>
</file>

<file path=xl/sharedStrings.xml><?xml version="1.0" encoding="utf-8"?>
<sst xmlns="http://schemas.openxmlformats.org/spreadsheetml/2006/main" count="105" uniqueCount="95">
  <si>
    <t>Item</t>
  </si>
  <si>
    <t xml:space="preserve">Fast-80 </t>
  </si>
  <si>
    <t>(Reference)</t>
  </si>
  <si>
    <t>Fast-160</t>
  </si>
  <si>
    <t>Comments</t>
  </si>
  <si>
    <t xml:space="preserve">Nominals: </t>
  </si>
  <si>
    <t>REQ(ACK) Period</t>
  </si>
  <si>
    <t>25 ns</t>
  </si>
  <si>
    <t>12,5 ns</t>
  </si>
  <si>
    <t>Data transfer period</t>
  </si>
  <si>
    <t>6,25 ns</t>
  </si>
  <si>
    <t>Ideal Setup/Hold</t>
  </si>
  <si>
    <t>3,125 ns</t>
  </si>
  <si>
    <t>Non-compensatable:</t>
  </si>
  <si>
    <t>Without PLL</t>
  </si>
  <si>
    <t xml:space="preserve">REQ(ACK) period </t>
  </si>
  <si>
    <t>tolerance / 2</t>
  </si>
  <si>
    <t>Tolerance of transmitter</t>
  </si>
  <si>
    <t>Note 1</t>
  </si>
  <si>
    <t>Crosstalk</t>
  </si>
  <si>
    <t xml:space="preserve">Crosstalk </t>
  </si>
  <si>
    <t>Chip noise</t>
  </si>
  <si>
    <t>Transmitter &amp; Receiver?</t>
  </si>
  <si>
    <t>Receiver amplitude skew</t>
  </si>
  <si>
    <t>Post compensation delta</t>
  </si>
  <si>
    <t>Clock jitter</t>
  </si>
  <si>
    <t>Strobe offset tolerance</t>
  </si>
  <si>
    <t>Data delay tolerance</t>
  </si>
  <si>
    <t>Non-compensatable total:</t>
  </si>
  <si>
    <t>Compensatable skew:</t>
  </si>
  <si>
    <t>Or partially</t>
  </si>
  <si>
    <t>Transmitter chip skew</t>
  </si>
  <si>
    <t>Fast 80 is 1,25 but judged to include asymmetry term</t>
  </si>
  <si>
    <t>Receiver chip skew</t>
  </si>
  <si>
    <t>Cable skew</t>
  </si>
  <si>
    <t>Two x trace skew</t>
  </si>
  <si>
    <t xml:space="preserve">ISI of data </t>
  </si>
  <si>
    <t>Worse case pattern</t>
  </si>
  <si>
    <t>(+2 / -1 ns)</t>
  </si>
  <si>
    <t>ISI of REQ(ACK)</t>
  </si>
  <si>
    <t>Post preamble</t>
  </si>
  <si>
    <t>May detect to shall detect ambiguity</t>
  </si>
  <si>
    <t>Assumed to be negligble in given chip</t>
  </si>
  <si>
    <t>Compensatable total:</t>
  </si>
  <si>
    <t>ISI Compensation</t>
  </si>
  <si>
    <t>Modeling/data needed (+1 / -0,5 ns)</t>
  </si>
  <si>
    <t>Skew compensation</t>
  </si>
  <si>
    <t>Compensation total:</t>
  </si>
  <si>
    <t>Total Error Inputs:</t>
  </si>
  <si>
    <t>Post compensation error:</t>
  </si>
  <si>
    <t>Minimum data valid window (data time-net error)</t>
  </si>
  <si>
    <t>Note 3 Note 4</t>
  </si>
  <si>
    <t>Notes:</t>
  </si>
  <si>
    <t>1) Tolerance adjusted for half cycle (data transfer period)</t>
  </si>
  <si>
    <t>2) With edges nominally transmitted at the same time +/- skew, will the noise and crosstalk shift REQ/ACK and data in opposite directions? (Noise acting on delayed strobe within receiving chip will.)</t>
  </si>
  <si>
    <t>3) Fast-80 budget in SPI-3 neglects asymmetry &amp; detection ambiguity and lumps chip noise, clock jitter, crosstalk, noise, ISI and receiver amplitude skew into other terms (e.g., signal distortion skew) and/or ignores the effects.</t>
  </si>
  <si>
    <t>4) Minimum compensated setup and hold half this value if ISI symetrical or if strobe set to split the ISI difference.</t>
  </si>
  <si>
    <t>ns</t>
  </si>
  <si>
    <t>Error in non-compensatable items ??</t>
  </si>
  <si>
    <t>Should be listed as 2</t>
  </si>
  <si>
    <t>Should be listed as 1</t>
  </si>
  <si>
    <t>Was 0.5</t>
  </si>
  <si>
    <t>New??</t>
  </si>
  <si>
    <t xml:space="preserve">Data Driver asymmetry </t>
  </si>
  <si>
    <t xml:space="preserve">REQ/ACK Driver asymmetry </t>
  </si>
  <si>
    <t>Data Receiver asymmetry</t>
  </si>
  <si>
    <t>REQ/ACK Receiver asymmetry</t>
  </si>
  <si>
    <t>Residual skew error</t>
  </si>
  <si>
    <t>Setup</t>
  </si>
  <si>
    <t>Minimum Setup time</t>
  </si>
  <si>
    <t>Assumes all terms can be divided by two except skew</t>
  </si>
  <si>
    <t>As transmitted</t>
  </si>
  <si>
    <t>Signal timing skew</t>
  </si>
  <si>
    <t>Trnsmt Asrtn prd</t>
  </si>
  <si>
    <t>Trnsmt Hld Time</t>
  </si>
  <si>
    <t>Trnsmt Set-up Time</t>
  </si>
  <si>
    <t>Rcv Hld time</t>
  </si>
  <si>
    <t>Rcv setup time</t>
  </si>
  <si>
    <t>Net hld time</t>
  </si>
  <si>
    <t>Net setup time</t>
  </si>
  <si>
    <t>Method 1</t>
  </si>
  <si>
    <t>Method 2</t>
  </si>
  <si>
    <t>Double counting</t>
  </si>
  <si>
    <t>System noise at launch</t>
  </si>
  <si>
    <t>System noise at receiver</t>
  </si>
  <si>
    <t>Time impact on data bus vs REQ(ACK)</t>
  </si>
  <si>
    <t>Time impact on data bus vs REQ (ACK)</t>
  </si>
  <si>
    <t>Negative jitter only</t>
  </si>
  <si>
    <t>Not applicable</t>
  </si>
  <si>
    <t>Hold</t>
  </si>
  <si>
    <t>Receive Asrtn prd</t>
  </si>
  <si>
    <t>Device</t>
  </si>
  <si>
    <t>Rcvr Out</t>
  </si>
  <si>
    <t>TR ATN Setup</t>
  </si>
  <si>
    <t>Rcv ATN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</si>
</sst>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A26" sqref="A26"/>
    </sheetView>
  </sheetViews>
  <sheetFormatPr defaultRowHeight="13.2" x14ac:dyDescent="0.25"/>
  <cols>
    <col min="1" max="1" width="22.6640625" customWidth="1"/>
  </cols>
  <sheetData>
    <row r="1" spans="1:17" x14ac:dyDescent="0.25">
      <c r="A1" s="1" t="s">
        <v>0</v>
      </c>
      <c r="B1" t="s">
        <v>1</v>
      </c>
      <c r="C1" t="s">
        <v>3</v>
      </c>
      <c r="D1" t="s">
        <v>4</v>
      </c>
      <c r="J1" t="s">
        <v>68</v>
      </c>
      <c r="K1" t="s">
        <v>68</v>
      </c>
      <c r="L1" t="s">
        <v>89</v>
      </c>
    </row>
    <row r="2" spans="1:17" x14ac:dyDescent="0.25">
      <c r="A2" t="s">
        <v>2</v>
      </c>
      <c r="H2" t="s">
        <v>70</v>
      </c>
    </row>
    <row r="3" spans="1:17" x14ac:dyDescent="0.25">
      <c r="A3" s="1" t="s">
        <v>5</v>
      </c>
    </row>
    <row r="4" spans="1:17" x14ac:dyDescent="0.25">
      <c r="A4" t="s">
        <v>6</v>
      </c>
      <c r="B4" t="s">
        <v>7</v>
      </c>
      <c r="C4" t="s">
        <v>8</v>
      </c>
    </row>
    <row r="5" spans="1:17" x14ac:dyDescent="0.25">
      <c r="A5" t="s">
        <v>9</v>
      </c>
      <c r="B5">
        <v>12.5</v>
      </c>
      <c r="C5">
        <v>6.25</v>
      </c>
      <c r="K5" t="s">
        <v>71</v>
      </c>
    </row>
    <row r="6" spans="1:17" x14ac:dyDescent="0.25">
      <c r="A6" t="s">
        <v>11</v>
      </c>
      <c r="B6" t="s">
        <v>10</v>
      </c>
      <c r="C6" t="s">
        <v>12</v>
      </c>
      <c r="J6">
        <v>3.125</v>
      </c>
      <c r="K6">
        <v>0</v>
      </c>
      <c r="L6">
        <v>6.25</v>
      </c>
      <c r="P6" t="s">
        <v>80</v>
      </c>
    </row>
    <row r="7" spans="1:17" x14ac:dyDescent="0.25">
      <c r="A7" s="1" t="s">
        <v>13</v>
      </c>
      <c r="C7" t="s">
        <v>57</v>
      </c>
      <c r="D7" t="s">
        <v>14</v>
      </c>
      <c r="Q7" t="s">
        <v>81</v>
      </c>
    </row>
    <row r="8" spans="1:17" x14ac:dyDescent="0.25">
      <c r="A8" t="s">
        <v>15</v>
      </c>
      <c r="P8" t="s">
        <v>91</v>
      </c>
      <c r="Q8" t="s">
        <v>91</v>
      </c>
    </row>
    <row r="9" spans="1:17" x14ac:dyDescent="0.25">
      <c r="A9" t="s">
        <v>16</v>
      </c>
      <c r="B9">
        <v>0.3</v>
      </c>
      <c r="C9">
        <v>0.06</v>
      </c>
      <c r="D9" t="s">
        <v>17</v>
      </c>
      <c r="G9" t="s">
        <v>18</v>
      </c>
      <c r="J9">
        <f>$C9/2</f>
        <v>0.03</v>
      </c>
      <c r="K9">
        <f>$C9/2</f>
        <v>0.03</v>
      </c>
      <c r="L9">
        <f>$C9/2</f>
        <v>0.03</v>
      </c>
    </row>
    <row r="10" spans="1:17" x14ac:dyDescent="0.25">
      <c r="N10" t="s">
        <v>90</v>
      </c>
      <c r="P10">
        <f>+P12-C16-C17</f>
        <v>4.74</v>
      </c>
    </row>
    <row r="11" spans="1:17" x14ac:dyDescent="0.25">
      <c r="A11" t="s">
        <v>63</v>
      </c>
      <c r="B11">
        <v>0.5</v>
      </c>
      <c r="C11">
        <v>0.5</v>
      </c>
      <c r="J11">
        <f t="shared" ref="J11:L13" si="0">$C11/2</f>
        <v>0.25</v>
      </c>
      <c r="K11">
        <f t="shared" si="0"/>
        <v>0.25</v>
      </c>
      <c r="L11">
        <f t="shared" si="0"/>
        <v>0.25</v>
      </c>
      <c r="N11" t="s">
        <v>72</v>
      </c>
      <c r="P11">
        <f>+J17+J29+J31</f>
        <v>4.8499999999999996</v>
      </c>
    </row>
    <row r="12" spans="1:17" x14ac:dyDescent="0.25">
      <c r="A12" t="s">
        <v>64</v>
      </c>
      <c r="B12">
        <v>0</v>
      </c>
      <c r="C12">
        <v>0</v>
      </c>
      <c r="D12" t="s">
        <v>82</v>
      </c>
      <c r="J12">
        <f t="shared" si="0"/>
        <v>0</v>
      </c>
      <c r="K12">
        <f t="shared" si="0"/>
        <v>0</v>
      </c>
      <c r="L12">
        <f t="shared" si="0"/>
        <v>0</v>
      </c>
      <c r="N12" t="s">
        <v>73</v>
      </c>
      <c r="P12">
        <f>+C5-C9-C12-C15-C21</f>
        <v>5.69</v>
      </c>
    </row>
    <row r="13" spans="1:17" x14ac:dyDescent="0.25">
      <c r="A13" t="s">
        <v>65</v>
      </c>
      <c r="B13">
        <v>0.5</v>
      </c>
      <c r="C13">
        <v>0.35</v>
      </c>
      <c r="J13">
        <f t="shared" si="0"/>
        <v>0.17499999999999999</v>
      </c>
      <c r="K13">
        <f t="shared" si="0"/>
        <v>0.17499999999999999</v>
      </c>
      <c r="L13">
        <f t="shared" si="0"/>
        <v>0.17499999999999999</v>
      </c>
      <c r="N13" t="s">
        <v>74</v>
      </c>
      <c r="P13">
        <f>+L6-$L9-$L11-$L12-$L15-$L21-$L27-($L30/2)</f>
        <v>4.7699999999999996</v>
      </c>
      <c r="Q13">
        <f>+P13-3.125-K15</f>
        <v>1.5199999999999996</v>
      </c>
    </row>
    <row r="14" spans="1:17" x14ac:dyDescent="0.25">
      <c r="A14" t="s">
        <v>66</v>
      </c>
      <c r="B14">
        <v>0</v>
      </c>
      <c r="C14">
        <v>0</v>
      </c>
      <c r="D14" t="s">
        <v>82</v>
      </c>
      <c r="N14" t="s">
        <v>75</v>
      </c>
      <c r="P14">
        <f>+K6-$L9-$L11-$L12-$L15-$L21-$L27-($L30/2)</f>
        <v>-1.48</v>
      </c>
      <c r="Q14">
        <f>+P14+3.125-K15</f>
        <v>1.52</v>
      </c>
    </row>
    <row r="15" spans="1:17" x14ac:dyDescent="0.25">
      <c r="A15" t="s">
        <v>83</v>
      </c>
      <c r="B15">
        <v>0.25</v>
      </c>
      <c r="C15">
        <v>0.25</v>
      </c>
      <c r="D15" t="s">
        <v>85</v>
      </c>
      <c r="J15">
        <f t="shared" ref="J15:L17" si="1">$C15/2</f>
        <v>0.125</v>
      </c>
      <c r="K15">
        <f t="shared" si="1"/>
        <v>0.125</v>
      </c>
      <c r="L15">
        <f t="shared" si="1"/>
        <v>0.125</v>
      </c>
      <c r="N15" t="s">
        <v>76</v>
      </c>
      <c r="P15">
        <f>+$P$13-$P$11</f>
        <v>-8.0000000000000071E-2</v>
      </c>
      <c r="Q15">
        <f>+P15-3.125</f>
        <v>-3.2050000000000001</v>
      </c>
    </row>
    <row r="16" spans="1:17" x14ac:dyDescent="0.25">
      <c r="A16" t="s">
        <v>84</v>
      </c>
      <c r="B16">
        <v>0.25</v>
      </c>
      <c r="C16">
        <v>0.25</v>
      </c>
      <c r="D16" t="s">
        <v>85</v>
      </c>
      <c r="J16">
        <f t="shared" si="1"/>
        <v>0.125</v>
      </c>
      <c r="K16">
        <f t="shared" si="1"/>
        <v>0.125</v>
      </c>
      <c r="L16">
        <f t="shared" si="1"/>
        <v>0.125</v>
      </c>
      <c r="N16" t="s">
        <v>77</v>
      </c>
      <c r="P16">
        <f>+$P$14-$P$11</f>
        <v>-6.33</v>
      </c>
      <c r="Q16">
        <f>+P16+3.125</f>
        <v>-3.2050000000000001</v>
      </c>
    </row>
    <row r="17" spans="1:18" x14ac:dyDescent="0.25">
      <c r="A17" t="s">
        <v>19</v>
      </c>
      <c r="B17">
        <v>0.25</v>
      </c>
      <c r="C17">
        <v>0.7</v>
      </c>
      <c r="D17" t="s">
        <v>86</v>
      </c>
      <c r="J17">
        <f t="shared" si="1"/>
        <v>0.35</v>
      </c>
      <c r="K17">
        <f t="shared" si="1"/>
        <v>0.35</v>
      </c>
      <c r="L17">
        <f t="shared" si="1"/>
        <v>0.35</v>
      </c>
      <c r="N17" t="s">
        <v>78</v>
      </c>
      <c r="P17">
        <f>+P$15-3.125+$J$36+$J$37-J16-J19-J22-$J$23-$J$20-$J$28-$J13-(J30/2)</f>
        <v>0.5950000000000002</v>
      </c>
      <c r="Q17">
        <f>+Q$15+$J$36+$J$37-J16-J19-J22-$J$23-$J$20-$J$28-$J13-(J30/2)</f>
        <v>0.5950000000000002</v>
      </c>
    </row>
    <row r="18" spans="1:18" x14ac:dyDescent="0.25">
      <c r="A18" t="s">
        <v>20</v>
      </c>
      <c r="B18">
        <v>0</v>
      </c>
      <c r="C18">
        <v>0</v>
      </c>
      <c r="D18" t="s">
        <v>82</v>
      </c>
      <c r="N18" t="s">
        <v>79</v>
      </c>
      <c r="P18">
        <f>+P$15-3.125+$J$36+$J$37-J16-J19-J22-$J$23-$J$20-$J$28-$J13-(J30/2)</f>
        <v>0.5950000000000002</v>
      </c>
      <c r="Q18">
        <f>+Q$15+$J$36+$J$37-J16-J19-J22-$J$23-$J$20-$J$28-$J13-(J30/2)</f>
        <v>0.5950000000000002</v>
      </c>
    </row>
    <row r="19" spans="1:18" x14ac:dyDescent="0.25">
      <c r="A19" t="s">
        <v>21</v>
      </c>
      <c r="B19">
        <v>0.1</v>
      </c>
      <c r="C19">
        <v>0.2</v>
      </c>
      <c r="D19" t="s">
        <v>22</v>
      </c>
      <c r="J19">
        <f t="shared" ref="J19:L21" si="2">$C19/2</f>
        <v>0.1</v>
      </c>
      <c r="K19">
        <f t="shared" si="2"/>
        <v>0.1</v>
      </c>
      <c r="L19">
        <f t="shared" si="2"/>
        <v>0.1</v>
      </c>
    </row>
    <row r="20" spans="1:18" x14ac:dyDescent="0.25">
      <c r="A20" t="s">
        <v>23</v>
      </c>
      <c r="B20">
        <v>0.2</v>
      </c>
      <c r="C20">
        <v>0.2</v>
      </c>
      <c r="D20" t="s">
        <v>24</v>
      </c>
      <c r="J20">
        <f t="shared" si="2"/>
        <v>0.1</v>
      </c>
      <c r="K20">
        <f t="shared" si="2"/>
        <v>0.1</v>
      </c>
      <c r="L20">
        <f t="shared" si="2"/>
        <v>0.1</v>
      </c>
      <c r="P20" t="s">
        <v>92</v>
      </c>
      <c r="Q20" t="s">
        <v>92</v>
      </c>
    </row>
    <row r="21" spans="1:18" x14ac:dyDescent="0.25">
      <c r="A21" t="s">
        <v>25</v>
      </c>
      <c r="B21">
        <v>0.5</v>
      </c>
      <c r="C21">
        <v>0.25</v>
      </c>
      <c r="D21" t="s">
        <v>87</v>
      </c>
      <c r="J21">
        <f t="shared" si="2"/>
        <v>0.125</v>
      </c>
      <c r="K21">
        <f t="shared" si="2"/>
        <v>0.125</v>
      </c>
      <c r="L21">
        <f t="shared" si="2"/>
        <v>0.125</v>
      </c>
      <c r="N21" t="s">
        <v>76</v>
      </c>
      <c r="P21">
        <f>+$P$13-$P$11-$K$13-$K$16-$K$19-$K$20-$K$28-($K$30/2)</f>
        <v>-1.53</v>
      </c>
      <c r="Q21">
        <f>+$P$13-$P$11-$K$13-$K$16-$K$19-$K$20-$K$28-($K$30/2)-3.125</f>
        <v>-4.6550000000000002</v>
      </c>
      <c r="R21">
        <f>+Q21+5.4-0.4</f>
        <v>0.34500000000000008</v>
      </c>
    </row>
    <row r="22" spans="1:18" x14ac:dyDescent="0.25">
      <c r="A22" t="s">
        <v>26</v>
      </c>
      <c r="B22">
        <v>0</v>
      </c>
      <c r="C22">
        <v>0.5</v>
      </c>
      <c r="J22">
        <f>$C2244/244</f>
        <v>0</v>
      </c>
      <c r="K22">
        <f>$C22/2</f>
        <v>0.25</v>
      </c>
      <c r="L22">
        <f>$C22/2</f>
        <v>0.25</v>
      </c>
      <c r="N22" t="s">
        <v>77</v>
      </c>
      <c r="P22">
        <f>+$P$14-$P$11-$K$13-$K16-$K$19-$K$20-$K$28-($K$30/2)</f>
        <v>-7.7799999999999994</v>
      </c>
      <c r="Q22">
        <f>+$P$14-$P$11-$K$13-$K16-$K$19-$K$20-$K$28-($K$30/2)+3.125</f>
        <v>-4.6549999999999994</v>
      </c>
      <c r="R22">
        <f>+Q22+5.4-0.4</f>
        <v>0.34500000000000097</v>
      </c>
    </row>
    <row r="23" spans="1:18" x14ac:dyDescent="0.25">
      <c r="A23" t="s">
        <v>67</v>
      </c>
      <c r="B23">
        <v>0</v>
      </c>
      <c r="C23">
        <v>0.3</v>
      </c>
      <c r="H23" t="s">
        <v>62</v>
      </c>
      <c r="J23">
        <f>$C23/2</f>
        <v>0.15</v>
      </c>
      <c r="K23">
        <f>$C23/2</f>
        <v>0.15</v>
      </c>
      <c r="L23">
        <f>$C23/2</f>
        <v>0.15</v>
      </c>
      <c r="N23" t="s">
        <v>90</v>
      </c>
      <c r="P23">
        <f>+P10-C13-C19</f>
        <v>4.1900000000000004</v>
      </c>
    </row>
    <row r="24" spans="1:18" x14ac:dyDescent="0.25">
      <c r="A24" t="s">
        <v>27</v>
      </c>
      <c r="B24">
        <v>0</v>
      </c>
      <c r="C24">
        <v>0</v>
      </c>
      <c r="D24" t="s">
        <v>88</v>
      </c>
      <c r="H24" t="s">
        <v>61</v>
      </c>
      <c r="N24" t="s">
        <v>93</v>
      </c>
      <c r="P24">
        <f>14.8-3.125</f>
        <v>11.675000000000001</v>
      </c>
    </row>
    <row r="25" spans="1:18" x14ac:dyDescent="0.25">
      <c r="A25" t="s">
        <v>28</v>
      </c>
      <c r="B25">
        <f>SUM(B9:B24)</f>
        <v>2.85</v>
      </c>
      <c r="C25">
        <f>SUM(C9:C24)</f>
        <v>3.5600000000000005</v>
      </c>
      <c r="J25">
        <f>SUM(J9:J24)</f>
        <v>1.5300000000000002</v>
      </c>
      <c r="K25">
        <f>SUM(K9:K24)</f>
        <v>1.7800000000000002</v>
      </c>
      <c r="L25">
        <f>SUM(L9:L24)</f>
        <v>1.7800000000000002</v>
      </c>
      <c r="N25" t="s">
        <v>94</v>
      </c>
      <c r="P25">
        <f>+P24-P11-2</f>
        <v>4.8250000000000011</v>
      </c>
    </row>
    <row r="26" spans="1:18" x14ac:dyDescent="0.25">
      <c r="A26" t="s">
        <v>29</v>
      </c>
      <c r="D26" t="s">
        <v>30</v>
      </c>
    </row>
    <row r="27" spans="1:18" x14ac:dyDescent="0.25">
      <c r="A27" t="s">
        <v>31</v>
      </c>
      <c r="B27">
        <v>0.75</v>
      </c>
      <c r="C27">
        <v>0.75</v>
      </c>
      <c r="D27" t="s">
        <v>32</v>
      </c>
      <c r="J27">
        <f t="shared" ref="J27:L30" si="3">$C27</f>
        <v>0.75</v>
      </c>
      <c r="K27">
        <f t="shared" si="3"/>
        <v>0.75</v>
      </c>
      <c r="L27">
        <f t="shared" si="3"/>
        <v>0.75</v>
      </c>
    </row>
    <row r="28" spans="1:18" x14ac:dyDescent="0.25">
      <c r="A28" t="s">
        <v>33</v>
      </c>
      <c r="B28">
        <v>0.75</v>
      </c>
      <c r="C28">
        <v>0.75</v>
      </c>
      <c r="D28" t="s">
        <v>32</v>
      </c>
      <c r="J28">
        <f t="shared" si="3"/>
        <v>0.75</v>
      </c>
      <c r="K28">
        <f t="shared" si="3"/>
        <v>0.75</v>
      </c>
      <c r="L28">
        <f t="shared" si="3"/>
        <v>0.75</v>
      </c>
    </row>
    <row r="29" spans="1:18" x14ac:dyDescent="0.25">
      <c r="A29" t="s">
        <v>34</v>
      </c>
      <c r="B29">
        <v>2.5</v>
      </c>
      <c r="C29">
        <v>2.5</v>
      </c>
      <c r="J29">
        <f t="shared" si="3"/>
        <v>2.5</v>
      </c>
      <c r="K29">
        <f t="shared" si="3"/>
        <v>2.5</v>
      </c>
      <c r="L29">
        <f t="shared" si="3"/>
        <v>2.5</v>
      </c>
    </row>
    <row r="30" spans="1:18" x14ac:dyDescent="0.25">
      <c r="A30" t="s">
        <v>35</v>
      </c>
      <c r="B30">
        <v>0.4</v>
      </c>
      <c r="C30">
        <v>0.4</v>
      </c>
      <c r="J30">
        <f t="shared" si="3"/>
        <v>0.4</v>
      </c>
      <c r="K30">
        <f t="shared" si="3"/>
        <v>0.4</v>
      </c>
      <c r="L30">
        <f t="shared" si="3"/>
        <v>0.4</v>
      </c>
    </row>
    <row r="31" spans="1:18" x14ac:dyDescent="0.25">
      <c r="A31" t="s">
        <v>36</v>
      </c>
      <c r="B31">
        <v>0.42499999999999999</v>
      </c>
      <c r="C31">
        <v>4</v>
      </c>
      <c r="D31" t="s">
        <v>37</v>
      </c>
      <c r="F31" t="s">
        <v>38</v>
      </c>
      <c r="H31" t="s">
        <v>59</v>
      </c>
      <c r="J31">
        <f>$C31/2</f>
        <v>2</v>
      </c>
      <c r="K31">
        <f>$C31/2</f>
        <v>2</v>
      </c>
      <c r="L31">
        <f>$C31/2</f>
        <v>2</v>
      </c>
    </row>
    <row r="33" spans="1:12" x14ac:dyDescent="0.25">
      <c r="A33" t="s">
        <v>39</v>
      </c>
      <c r="B33">
        <v>0.42499999999999999</v>
      </c>
      <c r="C33">
        <v>0</v>
      </c>
      <c r="D33" t="s">
        <v>40</v>
      </c>
    </row>
    <row r="34" spans="1:12" x14ac:dyDescent="0.25">
      <c r="A34" t="s">
        <v>41</v>
      </c>
      <c r="B34">
        <v>1.5</v>
      </c>
      <c r="C34">
        <v>0</v>
      </c>
      <c r="D34" t="s">
        <v>42</v>
      </c>
    </row>
    <row r="35" spans="1:12" x14ac:dyDescent="0.25">
      <c r="A35" t="s">
        <v>43</v>
      </c>
      <c r="B35">
        <f>SUM(B27:B34)</f>
        <v>6.75</v>
      </c>
      <c r="C35">
        <f>SUM(C27:C34)</f>
        <v>8.4</v>
      </c>
      <c r="J35">
        <f>SUM(J27:J34)</f>
        <v>6.4</v>
      </c>
      <c r="K35">
        <f>SUM(K27:K34)</f>
        <v>6.4</v>
      </c>
      <c r="L35">
        <f>SUM(L27:L34)</f>
        <v>6.4</v>
      </c>
    </row>
    <row r="36" spans="1:12" x14ac:dyDescent="0.25">
      <c r="A36" t="s">
        <v>44</v>
      </c>
      <c r="B36">
        <v>0</v>
      </c>
      <c r="C36">
        <v>2</v>
      </c>
      <c r="D36" t="s">
        <v>45</v>
      </c>
      <c r="H36" t="s">
        <v>60</v>
      </c>
      <c r="J36">
        <f>+$C36/2</f>
        <v>1</v>
      </c>
      <c r="K36">
        <f>+$C36/2</f>
        <v>1</v>
      </c>
      <c r="L36">
        <f>+$C36/2</f>
        <v>1</v>
      </c>
    </row>
    <row r="37" spans="1:12" x14ac:dyDescent="0.25">
      <c r="A37" t="s">
        <v>46</v>
      </c>
      <c r="B37">
        <v>0</v>
      </c>
      <c r="C37">
        <v>4.4000000000000004</v>
      </c>
      <c r="D37" t="s">
        <v>58</v>
      </c>
      <c r="J37">
        <f>+$C37</f>
        <v>4.4000000000000004</v>
      </c>
      <c r="K37">
        <f>+$C37</f>
        <v>4.4000000000000004</v>
      </c>
      <c r="L37">
        <f>+$C37</f>
        <v>4.4000000000000004</v>
      </c>
    </row>
    <row r="38" spans="1:12" x14ac:dyDescent="0.25">
      <c r="A38" t="s">
        <v>47</v>
      </c>
      <c r="B38">
        <v>0</v>
      </c>
      <c r="C38">
        <f>SUM(C36:C37)</f>
        <v>6.4</v>
      </c>
      <c r="J38">
        <f>SUM(J36:J37)</f>
        <v>5.4</v>
      </c>
      <c r="K38">
        <f>SUM(K36:K37)</f>
        <v>5.4</v>
      </c>
      <c r="L38">
        <f>SUM(L36:L37)</f>
        <v>5.4</v>
      </c>
    </row>
    <row r="39" spans="1:12" x14ac:dyDescent="0.25">
      <c r="A39" t="s">
        <v>48</v>
      </c>
      <c r="B39">
        <f>+B25+B35</f>
        <v>9.6</v>
      </c>
      <c r="C39">
        <f>+C25+C35</f>
        <v>11.96</v>
      </c>
      <c r="J39">
        <f>+J25+J35</f>
        <v>7.9300000000000006</v>
      </c>
      <c r="K39">
        <f>+K25+K35</f>
        <v>8.18</v>
      </c>
      <c r="L39">
        <f>+L25+L35</f>
        <v>8.18</v>
      </c>
    </row>
    <row r="40" spans="1:12" x14ac:dyDescent="0.25">
      <c r="A40" t="s">
        <v>49</v>
      </c>
      <c r="B40">
        <f>+B39-B38</f>
        <v>9.6</v>
      </c>
      <c r="C40">
        <f>+C39-C38</f>
        <v>5.5600000000000005</v>
      </c>
      <c r="J40">
        <f>+J39-J38</f>
        <v>2.5300000000000002</v>
      </c>
      <c r="K40">
        <f>+K39-K38</f>
        <v>2.7799999999999994</v>
      </c>
      <c r="L40">
        <f>+L39-L38</f>
        <v>2.7799999999999994</v>
      </c>
    </row>
    <row r="41" spans="1:12" x14ac:dyDescent="0.25">
      <c r="A41" t="s">
        <v>50</v>
      </c>
      <c r="B41">
        <f>+B5-B40</f>
        <v>2.9000000000000004</v>
      </c>
      <c r="C41">
        <f>+C5-C40</f>
        <v>0.6899999999999995</v>
      </c>
      <c r="D41" t="s">
        <v>51</v>
      </c>
      <c r="H41" t="s">
        <v>69</v>
      </c>
      <c r="J41">
        <f>+J6-J40</f>
        <v>0.59499999999999975</v>
      </c>
      <c r="K41">
        <f>+K6-K40+3.125</f>
        <v>0.34500000000000064</v>
      </c>
      <c r="L41">
        <f>+L6-L40-3.125</f>
        <v>0.34500000000000064</v>
      </c>
    </row>
    <row r="42" spans="1:12" x14ac:dyDescent="0.25">
      <c r="A42" t="s">
        <v>52</v>
      </c>
    </row>
    <row r="43" spans="1:12" x14ac:dyDescent="0.25">
      <c r="A43" t="s">
        <v>53</v>
      </c>
    </row>
    <row r="44" spans="1:12" x14ac:dyDescent="0.25">
      <c r="A44" t="s">
        <v>54</v>
      </c>
    </row>
    <row r="45" spans="1:12" x14ac:dyDescent="0.25">
      <c r="A45" t="s">
        <v>55</v>
      </c>
    </row>
    <row r="46" spans="1:12" x14ac:dyDescent="0.25">
      <c r="A46" t="s">
        <v>56</v>
      </c>
    </row>
  </sheetData>
  <pageMargins left="0.75" right="0.75" top="1" bottom="1" header="0.5" footer="0.5"/>
  <pageSetup paperSize="9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Milligan</dc:creator>
  <cp:lastModifiedBy>Aniket Gupta</cp:lastModifiedBy>
  <cp:lastPrinted>2000-08-21T21:00:59Z</cp:lastPrinted>
  <dcterms:created xsi:type="dcterms:W3CDTF">2000-03-27T15:43:36Z</dcterms:created>
  <dcterms:modified xsi:type="dcterms:W3CDTF">2024-02-03T22:32:28Z</dcterms:modified>
</cp:coreProperties>
</file>