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6B3AD026-CE6A-4695-AFFC-C45C1A78A96C}" xr6:coauthVersionLast="47" xr6:coauthVersionMax="47" xr10:uidLastSave="{00000000-0000-0000-0000-000000000000}"/>
  <bookViews>
    <workbookView xWindow="768" yWindow="768" windowWidth="17280" windowHeight="8880"/>
  </bookViews>
  <sheets>
    <sheet name="DRAM cost side" sheetId="3" r:id="rId1"/>
    <sheet name="LEM cost side" sheetId="4" r:id="rId2"/>
    <sheet name="LEM Demand Calibration" sheetId="5" r:id="rId3"/>
    <sheet name="Capacity&amp;Price Calculation" sheetId="6" r:id="rId4"/>
    <sheet name="Static RoI calc '02" sheetId="7" r:id="rId5"/>
    <sheet name="fisher" sheetId="2" r:id="rId6"/>
    <sheet name="$ per bit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F11" i="1" s="1"/>
  <c r="D10" i="1"/>
  <c r="D26" i="1" s="1"/>
  <c r="D27" i="1" s="1"/>
  <c r="E10" i="1"/>
  <c r="F10" i="1"/>
  <c r="G10" i="1"/>
  <c r="G11" i="1" s="1"/>
  <c r="H10" i="1"/>
  <c r="H26" i="1" s="1"/>
  <c r="H27" i="1" s="1"/>
  <c r="D11" i="1"/>
  <c r="E11" i="1"/>
  <c r="C18" i="1"/>
  <c r="C19" i="1" s="1"/>
  <c r="C20" i="1" s="1"/>
  <c r="D18" i="1"/>
  <c r="D19" i="1" s="1"/>
  <c r="D20" i="1" s="1"/>
  <c r="D21" i="1" s="1"/>
  <c r="E18" i="1"/>
  <c r="F18" i="1"/>
  <c r="G18" i="1"/>
  <c r="H18" i="1"/>
  <c r="E19" i="1"/>
  <c r="E20" i="1" s="1"/>
  <c r="E21" i="1" s="1"/>
  <c r="H19" i="1"/>
  <c r="H20" i="1" s="1"/>
  <c r="C26" i="1"/>
  <c r="C27" i="1" s="1"/>
  <c r="E26" i="1"/>
  <c r="E27" i="1" s="1"/>
  <c r="F26" i="1"/>
  <c r="F27" i="1" s="1"/>
  <c r="G26" i="1"/>
  <c r="G27" i="1"/>
  <c r="C30" i="1"/>
  <c r="D30" i="1"/>
  <c r="E30" i="1"/>
  <c r="F30" i="1"/>
  <c r="G30" i="1"/>
  <c r="H30" i="1"/>
  <c r="E33" i="1"/>
  <c r="C38" i="1"/>
  <c r="D38" i="1"/>
  <c r="D40" i="1" s="1"/>
  <c r="D43" i="1" s="1"/>
  <c r="E38" i="1"/>
  <c r="E40" i="1" s="1"/>
  <c r="E43" i="1" s="1"/>
  <c r="F38" i="1"/>
  <c r="G38" i="1"/>
  <c r="G40" i="1" s="1"/>
  <c r="G43" i="1" s="1"/>
  <c r="G62" i="1" s="1"/>
  <c r="H38" i="1"/>
  <c r="J39" i="1"/>
  <c r="C40" i="1"/>
  <c r="F40" i="1"/>
  <c r="F43" i="1" s="1"/>
  <c r="H40" i="1"/>
  <c r="H43" i="1" s="1"/>
  <c r="H78" i="1" s="1"/>
  <c r="F44" i="1"/>
  <c r="D48" i="1"/>
  <c r="E48" i="1"/>
  <c r="F48" i="1"/>
  <c r="G48" i="1"/>
  <c r="G69" i="1" s="1"/>
  <c r="H48" i="1"/>
  <c r="D49" i="1"/>
  <c r="D69" i="1" s="1"/>
  <c r="E49" i="1"/>
  <c r="F49" i="1"/>
  <c r="G49" i="1"/>
  <c r="H49" i="1"/>
  <c r="H69" i="1" s="1"/>
  <c r="D50" i="1"/>
  <c r="D54" i="1"/>
  <c r="E54" i="1"/>
  <c r="F54" i="1"/>
  <c r="G54" i="1"/>
  <c r="H54" i="1"/>
  <c r="D58" i="1"/>
  <c r="E58" i="1"/>
  <c r="F58" i="1"/>
  <c r="G58" i="1"/>
  <c r="H58" i="1"/>
  <c r="E62" i="1"/>
  <c r="J62" i="1"/>
  <c r="C68" i="1"/>
  <c r="C71" i="1" s="1"/>
  <c r="E69" i="1"/>
  <c r="F69" i="1"/>
  <c r="D78" i="1"/>
  <c r="C3" i="6"/>
  <c r="D3" i="6"/>
  <c r="E3" i="6"/>
  <c r="F3" i="6"/>
  <c r="G3" i="6"/>
  <c r="H3" i="6"/>
  <c r="C4" i="6"/>
  <c r="D4" i="6"/>
  <c r="E4" i="6"/>
  <c r="F4" i="6"/>
  <c r="G4" i="6"/>
  <c r="G13" i="6" s="1"/>
  <c r="H4" i="6"/>
  <c r="C5" i="6"/>
  <c r="D5" i="6"/>
  <c r="E5" i="6"/>
  <c r="F5" i="6"/>
  <c r="G5" i="6"/>
  <c r="H5" i="6"/>
  <c r="C6" i="6"/>
  <c r="D6" i="6"/>
  <c r="E6" i="6"/>
  <c r="F6" i="6"/>
  <c r="G6" i="6"/>
  <c r="H6" i="6"/>
  <c r="C7" i="6"/>
  <c r="D7" i="6"/>
  <c r="E7" i="6"/>
  <c r="F7" i="6"/>
  <c r="G7" i="6"/>
  <c r="H7" i="6"/>
  <c r="C8" i="6"/>
  <c r="D8" i="6"/>
  <c r="E8" i="6"/>
  <c r="F8" i="6"/>
  <c r="G8" i="6"/>
  <c r="H8" i="6"/>
  <c r="C9" i="6"/>
  <c r="D9" i="6"/>
  <c r="E9" i="6"/>
  <c r="F9" i="6"/>
  <c r="G9" i="6"/>
  <c r="H9" i="6"/>
  <c r="C10" i="6"/>
  <c r="D10" i="6"/>
  <c r="E10" i="6"/>
  <c r="F10" i="6"/>
  <c r="G10" i="6"/>
  <c r="H10" i="6"/>
  <c r="C11" i="6"/>
  <c r="D11" i="6"/>
  <c r="E11" i="6"/>
  <c r="F11" i="6"/>
  <c r="G11" i="6"/>
  <c r="H11" i="6"/>
  <c r="C12" i="6"/>
  <c r="D12" i="6"/>
  <c r="E12" i="6"/>
  <c r="F12" i="6"/>
  <c r="G12" i="6"/>
  <c r="H12" i="6"/>
  <c r="H13" i="6"/>
  <c r="C44" i="6"/>
  <c r="D44" i="6"/>
  <c r="E44" i="6"/>
  <c r="F44" i="6"/>
  <c r="G44" i="6"/>
  <c r="H44" i="6"/>
  <c r="C46" i="6"/>
  <c r="D46" i="6"/>
  <c r="E46" i="6"/>
  <c r="F46" i="6"/>
  <c r="G46" i="6"/>
  <c r="H46" i="6"/>
  <c r="C49" i="6"/>
  <c r="D49" i="6"/>
  <c r="C50" i="6"/>
  <c r="D50" i="6"/>
  <c r="C51" i="6"/>
  <c r="D51" i="6"/>
  <c r="E51" i="6"/>
  <c r="F51" i="6"/>
  <c r="G51" i="6"/>
  <c r="H51" i="6"/>
  <c r="C52" i="6"/>
  <c r="D52" i="6"/>
  <c r="E52" i="6"/>
  <c r="F52" i="6"/>
  <c r="G52" i="6"/>
  <c r="G81" i="6"/>
  <c r="C5" i="3"/>
  <c r="D5" i="3"/>
  <c r="E5" i="3"/>
  <c r="F5" i="3"/>
  <c r="G5" i="3"/>
  <c r="H5" i="3"/>
  <c r="C6" i="3"/>
  <c r="C8" i="3" s="1"/>
  <c r="D6" i="3"/>
  <c r="E6" i="3"/>
  <c r="E8" i="3" s="1"/>
  <c r="F6" i="3"/>
  <c r="F8" i="3" s="1"/>
  <c r="F11" i="3" s="1"/>
  <c r="G6" i="3"/>
  <c r="H6" i="3"/>
  <c r="J7" i="3"/>
  <c r="D8" i="3"/>
  <c r="D11" i="3" s="1"/>
  <c r="G8" i="3"/>
  <c r="H8" i="3"/>
  <c r="H11" i="3" s="1"/>
  <c r="E11" i="3"/>
  <c r="G11" i="3"/>
  <c r="H12" i="3"/>
  <c r="D16" i="3"/>
  <c r="E16" i="3"/>
  <c r="F16" i="3"/>
  <c r="F37" i="3" s="1"/>
  <c r="G16" i="3"/>
  <c r="H16" i="3"/>
  <c r="H37" i="3" s="1"/>
  <c r="D17" i="3"/>
  <c r="D37" i="3" s="1"/>
  <c r="E17" i="3"/>
  <c r="F17" i="3"/>
  <c r="G17" i="3"/>
  <c r="H17" i="3"/>
  <c r="D18" i="3"/>
  <c r="D22" i="3" s="1"/>
  <c r="F22" i="3"/>
  <c r="F26" i="3"/>
  <c r="G26" i="3"/>
  <c r="J30" i="3"/>
  <c r="C36" i="3"/>
  <c r="C39" i="3" s="1"/>
  <c r="E37" i="3"/>
  <c r="G37" i="3"/>
  <c r="D46" i="3"/>
  <c r="F46" i="3"/>
  <c r="C10" i="2"/>
  <c r="C11" i="2" s="1"/>
  <c r="F12" i="2" s="1"/>
  <c r="D10" i="2"/>
  <c r="E10" i="2"/>
  <c r="F10" i="2"/>
  <c r="G10" i="2"/>
  <c r="G21" i="2" s="1"/>
  <c r="H10" i="2"/>
  <c r="H11" i="2" s="1"/>
  <c r="H12" i="2" s="1"/>
  <c r="D11" i="2"/>
  <c r="D12" i="2" s="1"/>
  <c r="F11" i="2"/>
  <c r="C12" i="2"/>
  <c r="D13" i="2" s="1"/>
  <c r="C20" i="2"/>
  <c r="C21" i="2" s="1"/>
  <c r="C22" i="2" s="1"/>
  <c r="D20" i="2"/>
  <c r="D21" i="2" s="1"/>
  <c r="D22" i="2" s="1"/>
  <c r="E20" i="2"/>
  <c r="F20" i="2"/>
  <c r="F21" i="2" s="1"/>
  <c r="F22" i="2" s="1"/>
  <c r="G20" i="2"/>
  <c r="H20" i="2"/>
  <c r="H21" i="2" s="1"/>
  <c r="C24" i="2"/>
  <c r="D24" i="2"/>
  <c r="E24" i="2"/>
  <c r="F24" i="2"/>
  <c r="G37" i="2" s="1"/>
  <c r="G24" i="2"/>
  <c r="H24" i="2"/>
  <c r="C25" i="2"/>
  <c r="D25" i="2"/>
  <c r="E25" i="2"/>
  <c r="F25" i="2"/>
  <c r="G25" i="2"/>
  <c r="H25" i="2"/>
  <c r="C26" i="2"/>
  <c r="D26" i="2"/>
  <c r="E26" i="2"/>
  <c r="E29" i="2" s="1"/>
  <c r="F26" i="2"/>
  <c r="G26" i="2"/>
  <c r="G29" i="2" s="1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H29" i="2"/>
  <c r="D31" i="2"/>
  <c r="E31" i="2"/>
  <c r="E38" i="2" s="1"/>
  <c r="F31" i="2"/>
  <c r="G31" i="2"/>
  <c r="H31" i="2"/>
  <c r="D32" i="2"/>
  <c r="E32" i="2"/>
  <c r="F32" i="2"/>
  <c r="F37" i="2" s="1"/>
  <c r="G32" i="2"/>
  <c r="H32" i="2"/>
  <c r="D33" i="2"/>
  <c r="E33" i="2"/>
  <c r="F33" i="2"/>
  <c r="G33" i="2"/>
  <c r="H33" i="2"/>
  <c r="D34" i="2"/>
  <c r="E34" i="2"/>
  <c r="F34" i="2"/>
  <c r="G34" i="2"/>
  <c r="H34" i="2"/>
  <c r="E35" i="2"/>
  <c r="F35" i="2"/>
  <c r="G35" i="2"/>
  <c r="H35" i="2"/>
  <c r="C41" i="2"/>
  <c r="C42" i="2"/>
  <c r="C43" i="2" s="1"/>
  <c r="C47" i="2"/>
  <c r="C50" i="2" s="1"/>
  <c r="C49" i="2" s="1"/>
  <c r="D47" i="2"/>
  <c r="E47" i="2"/>
  <c r="F47" i="2"/>
  <c r="G47" i="2"/>
  <c r="G50" i="2" s="1"/>
  <c r="G49" i="2" s="1"/>
  <c r="H47" i="2"/>
  <c r="F50" i="2"/>
  <c r="F49" i="2" s="1"/>
  <c r="D15" i="4"/>
  <c r="E15" i="4"/>
  <c r="F15" i="4"/>
  <c r="G15" i="4"/>
  <c r="H15" i="4"/>
  <c r="I15" i="4"/>
  <c r="D18" i="4"/>
  <c r="E18" i="4"/>
  <c r="F18" i="4"/>
  <c r="F28" i="4" s="1"/>
  <c r="G18" i="4"/>
  <c r="H18" i="4"/>
  <c r="O18" i="4" s="1"/>
  <c r="O28" i="4" s="1"/>
  <c r="I18" i="4"/>
  <c r="L18" i="4"/>
  <c r="N18" i="4"/>
  <c r="P18" i="4"/>
  <c r="D19" i="4"/>
  <c r="E19" i="4"/>
  <c r="F19" i="4"/>
  <c r="G19" i="4"/>
  <c r="H19" i="4"/>
  <c r="O19" i="4" s="1"/>
  <c r="I19" i="4"/>
  <c r="I28" i="4" s="1"/>
  <c r="K19" i="4"/>
  <c r="L19" i="4"/>
  <c r="M19" i="4"/>
  <c r="P19" i="4"/>
  <c r="D20" i="4"/>
  <c r="K20" i="4" s="1"/>
  <c r="E20" i="4"/>
  <c r="F20" i="4"/>
  <c r="G20" i="4"/>
  <c r="H20" i="4"/>
  <c r="I20" i="4"/>
  <c r="L20" i="4"/>
  <c r="M20" i="4"/>
  <c r="N20" i="4"/>
  <c r="O20" i="4"/>
  <c r="P20" i="4"/>
  <c r="D21" i="4"/>
  <c r="K21" i="4" s="1"/>
  <c r="E21" i="4"/>
  <c r="F21" i="4"/>
  <c r="G21" i="4"/>
  <c r="N21" i="4" s="1"/>
  <c r="H21" i="4"/>
  <c r="O21" i="4" s="1"/>
  <c r="I21" i="4"/>
  <c r="L21" i="4"/>
  <c r="M21" i="4"/>
  <c r="P21" i="4"/>
  <c r="D22" i="4"/>
  <c r="K22" i="4" s="1"/>
  <c r="E22" i="4"/>
  <c r="F22" i="4"/>
  <c r="M22" i="4" s="1"/>
  <c r="G22" i="4"/>
  <c r="H22" i="4"/>
  <c r="O22" i="4" s="1"/>
  <c r="I22" i="4"/>
  <c r="L22" i="4"/>
  <c r="N22" i="4"/>
  <c r="P22" i="4"/>
  <c r="D23" i="4"/>
  <c r="K23" i="4" s="1"/>
  <c r="E23" i="4"/>
  <c r="F23" i="4"/>
  <c r="G23" i="4"/>
  <c r="N23" i="4" s="1"/>
  <c r="H23" i="4"/>
  <c r="O23" i="4" s="1"/>
  <c r="I23" i="4"/>
  <c r="P23" i="4" s="1"/>
  <c r="L23" i="4"/>
  <c r="M23" i="4"/>
  <c r="D24" i="4"/>
  <c r="K24" i="4" s="1"/>
  <c r="E24" i="4"/>
  <c r="F24" i="4"/>
  <c r="G24" i="4"/>
  <c r="H24" i="4"/>
  <c r="I24" i="4"/>
  <c r="M24" i="4"/>
  <c r="N24" i="4"/>
  <c r="O24" i="4"/>
  <c r="P24" i="4"/>
  <c r="D25" i="4"/>
  <c r="E25" i="4"/>
  <c r="F25" i="4"/>
  <c r="G25" i="4"/>
  <c r="N25" i="4" s="1"/>
  <c r="H25" i="4"/>
  <c r="O25" i="4" s="1"/>
  <c r="I25" i="4"/>
  <c r="K25" i="4"/>
  <c r="L25" i="4"/>
  <c r="M25" i="4"/>
  <c r="P25" i="4"/>
  <c r="D26" i="4"/>
  <c r="K26" i="4" s="1"/>
  <c r="E26" i="4"/>
  <c r="L26" i="4" s="1"/>
  <c r="F26" i="4"/>
  <c r="G26" i="4"/>
  <c r="H26" i="4"/>
  <c r="I26" i="4"/>
  <c r="M26" i="4"/>
  <c r="N26" i="4"/>
  <c r="O26" i="4"/>
  <c r="P26" i="4"/>
  <c r="D27" i="4"/>
  <c r="E27" i="4"/>
  <c r="F27" i="4"/>
  <c r="G27" i="4"/>
  <c r="N27" i="4" s="1"/>
  <c r="H27" i="4"/>
  <c r="I27" i="4"/>
  <c r="P27" i="4" s="1"/>
  <c r="K27" i="4"/>
  <c r="L27" i="4"/>
  <c r="M27" i="4"/>
  <c r="O27" i="4"/>
  <c r="D52" i="4"/>
  <c r="D76" i="4" s="1"/>
  <c r="D100" i="4" s="1"/>
  <c r="C43" i="6" s="1"/>
  <c r="E52" i="4"/>
  <c r="F52" i="4"/>
  <c r="G52" i="4"/>
  <c r="G76" i="4" s="1"/>
  <c r="H52" i="4"/>
  <c r="I52" i="4"/>
  <c r="I76" i="4" s="1"/>
  <c r="D53" i="4"/>
  <c r="E53" i="4"/>
  <c r="F53" i="4"/>
  <c r="F77" i="4" s="1"/>
  <c r="E82" i="6" s="1"/>
  <c r="F27" i="7" s="1"/>
  <c r="G53" i="4"/>
  <c r="H53" i="4"/>
  <c r="I53" i="4"/>
  <c r="I77" i="4" s="1"/>
  <c r="D54" i="4"/>
  <c r="E54" i="4"/>
  <c r="E78" i="4" s="1"/>
  <c r="F54" i="4"/>
  <c r="G54" i="4"/>
  <c r="H54" i="4"/>
  <c r="H78" i="4" s="1"/>
  <c r="I54" i="4"/>
  <c r="D55" i="4"/>
  <c r="E55" i="4"/>
  <c r="E79" i="4" s="1"/>
  <c r="F55" i="4"/>
  <c r="G55" i="4"/>
  <c r="H55" i="4"/>
  <c r="I55" i="4"/>
  <c r="D56" i="4"/>
  <c r="D80" i="4" s="1"/>
  <c r="D104" i="4" s="1"/>
  <c r="C47" i="6" s="1"/>
  <c r="E56" i="4"/>
  <c r="F56" i="4"/>
  <c r="G56" i="4"/>
  <c r="G80" i="4" s="1"/>
  <c r="H56" i="4"/>
  <c r="I56" i="4"/>
  <c r="D57" i="4"/>
  <c r="E57" i="4"/>
  <c r="F57" i="4"/>
  <c r="F81" i="4" s="1"/>
  <c r="G57" i="4"/>
  <c r="H57" i="4"/>
  <c r="I57" i="4"/>
  <c r="I81" i="4" s="1"/>
  <c r="F58" i="4"/>
  <c r="G58" i="4"/>
  <c r="H58" i="4"/>
  <c r="I58" i="4"/>
  <c r="F59" i="4"/>
  <c r="G59" i="4"/>
  <c r="H59" i="4"/>
  <c r="H83" i="4" s="1"/>
  <c r="I59" i="4"/>
  <c r="I83" i="4" s="1"/>
  <c r="I60" i="4"/>
  <c r="I61" i="4"/>
  <c r="I85" i="4" s="1"/>
  <c r="E76" i="4"/>
  <c r="D81" i="6" s="1"/>
  <c r="F76" i="4"/>
  <c r="E81" i="6" s="1"/>
  <c r="H76" i="4"/>
  <c r="G15" i="6" s="1"/>
  <c r="D77" i="4"/>
  <c r="E77" i="4"/>
  <c r="G77" i="4"/>
  <c r="F82" i="6" s="1"/>
  <c r="H77" i="4"/>
  <c r="G82" i="6" s="1"/>
  <c r="D78" i="4"/>
  <c r="C17" i="6" s="1"/>
  <c r="F78" i="4"/>
  <c r="E83" i="6" s="1"/>
  <c r="E130" i="6" s="1"/>
  <c r="G78" i="4"/>
  <c r="I78" i="4"/>
  <c r="H83" i="6" s="1"/>
  <c r="D79" i="4"/>
  <c r="F79" i="4"/>
  <c r="E84" i="6" s="1"/>
  <c r="G79" i="4"/>
  <c r="F84" i="6" s="1"/>
  <c r="G29" i="7" s="1"/>
  <c r="R29" i="7" s="1"/>
  <c r="H79" i="4"/>
  <c r="G84" i="6" s="1"/>
  <c r="I79" i="4"/>
  <c r="E80" i="4"/>
  <c r="D85" i="6" s="1"/>
  <c r="F80" i="4"/>
  <c r="E85" i="6" s="1"/>
  <c r="H80" i="4"/>
  <c r="I80" i="4"/>
  <c r="D81" i="4"/>
  <c r="E81" i="4"/>
  <c r="E105" i="4" s="1"/>
  <c r="D48" i="6" s="1"/>
  <c r="G81" i="4"/>
  <c r="F86" i="6" s="1"/>
  <c r="H81" i="4"/>
  <c r="G86" i="6" s="1"/>
  <c r="D82" i="4"/>
  <c r="C21" i="6" s="1"/>
  <c r="E82" i="4"/>
  <c r="D87" i="6" s="1"/>
  <c r="E32" i="7" s="1"/>
  <c r="P32" i="7" s="1"/>
  <c r="F82" i="4"/>
  <c r="E87" i="6" s="1"/>
  <c r="G82" i="4"/>
  <c r="H82" i="4"/>
  <c r="G87" i="6" s="1"/>
  <c r="I82" i="4"/>
  <c r="H87" i="6" s="1"/>
  <c r="D83" i="4"/>
  <c r="E83" i="4"/>
  <c r="F83" i="4"/>
  <c r="G83" i="4"/>
  <c r="D84" i="4"/>
  <c r="E84" i="4"/>
  <c r="D89" i="6" s="1"/>
  <c r="F84" i="4"/>
  <c r="E89" i="6" s="1"/>
  <c r="G84" i="4"/>
  <c r="H84" i="4"/>
  <c r="I84" i="4"/>
  <c r="H89" i="6" s="1"/>
  <c r="I34" i="7" s="1"/>
  <c r="D85" i="4"/>
  <c r="E85" i="4"/>
  <c r="F85" i="4"/>
  <c r="E90" i="6" s="1"/>
  <c r="G85" i="4"/>
  <c r="F90" i="6" s="1"/>
  <c r="G35" i="7" s="1"/>
  <c r="H85" i="4"/>
  <c r="G90" i="6" s="1"/>
  <c r="E100" i="4"/>
  <c r="D43" i="6" s="1"/>
  <c r="D102" i="4"/>
  <c r="C45" i="6" s="1"/>
  <c r="F102" i="4"/>
  <c r="E45" i="6" s="1"/>
  <c r="G102" i="4"/>
  <c r="F45" i="6" s="1"/>
  <c r="I102" i="4"/>
  <c r="H45" i="6" s="1"/>
  <c r="E104" i="4"/>
  <c r="D47" i="6" s="1"/>
  <c r="F104" i="4"/>
  <c r="E47" i="6" s="1"/>
  <c r="H104" i="4"/>
  <c r="G47" i="6" s="1"/>
  <c r="D105" i="4"/>
  <c r="C48" i="6" s="1"/>
  <c r="G105" i="4"/>
  <c r="F48" i="6" s="1"/>
  <c r="G31" i="7" s="1"/>
  <c r="H105" i="4"/>
  <c r="G48" i="6" s="1"/>
  <c r="F106" i="4"/>
  <c r="E49" i="6" s="1"/>
  <c r="H106" i="4"/>
  <c r="G49" i="6" s="1"/>
  <c r="I106" i="4"/>
  <c r="H49" i="6" s="1"/>
  <c r="D136" i="4"/>
  <c r="D15" i="7" s="1"/>
  <c r="E136" i="4"/>
  <c r="F136" i="4"/>
  <c r="G136" i="4"/>
  <c r="H136" i="4"/>
  <c r="I136" i="4"/>
  <c r="D137" i="4"/>
  <c r="E137" i="4"/>
  <c r="F137" i="4"/>
  <c r="G137" i="4"/>
  <c r="H137" i="4"/>
  <c r="I137" i="4"/>
  <c r="D138" i="4"/>
  <c r="D17" i="7" s="1"/>
  <c r="E138" i="4"/>
  <c r="F138" i="4"/>
  <c r="G138" i="4"/>
  <c r="H138" i="4"/>
  <c r="I138" i="4"/>
  <c r="D139" i="4"/>
  <c r="D18" i="7" s="1"/>
  <c r="E139" i="4"/>
  <c r="F139" i="4"/>
  <c r="G139" i="4"/>
  <c r="H139" i="4"/>
  <c r="I139" i="4"/>
  <c r="D140" i="4"/>
  <c r="D19" i="7" s="1"/>
  <c r="E140" i="4"/>
  <c r="F140" i="4"/>
  <c r="G140" i="4"/>
  <c r="H140" i="4"/>
  <c r="I140" i="4"/>
  <c r="D141" i="4"/>
  <c r="E141" i="4"/>
  <c r="F141" i="4"/>
  <c r="G141" i="4"/>
  <c r="H141" i="4"/>
  <c r="I141" i="4"/>
  <c r="F142" i="4"/>
  <c r="G142" i="4"/>
  <c r="H142" i="4"/>
  <c r="I142" i="4"/>
  <c r="F143" i="4"/>
  <c r="G143" i="4"/>
  <c r="H143" i="4"/>
  <c r="I143" i="4"/>
  <c r="I144" i="4"/>
  <c r="I145" i="4"/>
  <c r="D160" i="4"/>
  <c r="E160" i="4"/>
  <c r="F160" i="4"/>
  <c r="G160" i="4"/>
  <c r="H160" i="4"/>
  <c r="I160" i="4"/>
  <c r="D162" i="4"/>
  <c r="E162" i="4"/>
  <c r="F162" i="4"/>
  <c r="G162" i="4"/>
  <c r="H162" i="4"/>
  <c r="I162" i="4"/>
  <c r="D163" i="4"/>
  <c r="D86" i="7" s="1"/>
  <c r="E163" i="4"/>
  <c r="F163" i="4"/>
  <c r="G163" i="4"/>
  <c r="H163" i="4"/>
  <c r="I163" i="4"/>
  <c r="D164" i="4"/>
  <c r="E164" i="4"/>
  <c r="F164" i="4"/>
  <c r="G164" i="4"/>
  <c r="H164" i="4"/>
  <c r="I164" i="4"/>
  <c r="D165" i="4"/>
  <c r="E165" i="4"/>
  <c r="F165" i="4"/>
  <c r="G165" i="4"/>
  <c r="H165" i="4"/>
  <c r="I165" i="4"/>
  <c r="F166" i="4"/>
  <c r="G166" i="4"/>
  <c r="H166" i="4"/>
  <c r="I166" i="4"/>
  <c r="F167" i="4"/>
  <c r="G167" i="4"/>
  <c r="H167" i="4"/>
  <c r="I167" i="4"/>
  <c r="I168" i="4"/>
  <c r="I169" i="4"/>
  <c r="D185" i="4"/>
  <c r="E185" i="4"/>
  <c r="F185" i="4"/>
  <c r="G185" i="4"/>
  <c r="H185" i="4"/>
  <c r="I185" i="4"/>
  <c r="D187" i="4"/>
  <c r="E187" i="4"/>
  <c r="F187" i="4"/>
  <c r="G187" i="4"/>
  <c r="H187" i="4"/>
  <c r="I187" i="4"/>
  <c r="D189" i="4"/>
  <c r="E189" i="4"/>
  <c r="F189" i="4"/>
  <c r="G189" i="4"/>
  <c r="H189" i="4"/>
  <c r="I189" i="4"/>
  <c r="D190" i="4"/>
  <c r="E190" i="4"/>
  <c r="F190" i="4"/>
  <c r="G190" i="4"/>
  <c r="H190" i="4"/>
  <c r="I190" i="4"/>
  <c r="F191" i="4"/>
  <c r="G191" i="4"/>
  <c r="H191" i="4"/>
  <c r="I191" i="4"/>
  <c r="F192" i="4"/>
  <c r="G192" i="4"/>
  <c r="H192" i="4"/>
  <c r="I192" i="4"/>
  <c r="I193" i="4"/>
  <c r="I194" i="4"/>
  <c r="D229" i="4"/>
  <c r="E229" i="4"/>
  <c r="F229" i="4"/>
  <c r="G229" i="4"/>
  <c r="H229" i="4"/>
  <c r="I229" i="4"/>
  <c r="D230" i="4"/>
  <c r="E230" i="4"/>
  <c r="F230" i="4"/>
  <c r="G230" i="4"/>
  <c r="H230" i="4"/>
  <c r="I230" i="4"/>
  <c r="D231" i="4"/>
  <c r="E231" i="4"/>
  <c r="F231" i="4"/>
  <c r="G231" i="4"/>
  <c r="H231" i="4"/>
  <c r="I231" i="4"/>
  <c r="D232" i="4"/>
  <c r="E232" i="4"/>
  <c r="F232" i="4"/>
  <c r="G232" i="4"/>
  <c r="H232" i="4"/>
  <c r="I232" i="4"/>
  <c r="D233" i="4"/>
  <c r="E233" i="4"/>
  <c r="F233" i="4"/>
  <c r="G233" i="4"/>
  <c r="H233" i="4"/>
  <c r="I233" i="4"/>
  <c r="D234" i="4"/>
  <c r="E234" i="4"/>
  <c r="F234" i="4"/>
  <c r="G234" i="4"/>
  <c r="H234" i="4"/>
  <c r="I234" i="4"/>
  <c r="F235" i="4"/>
  <c r="G235" i="4"/>
  <c r="H235" i="4"/>
  <c r="I235" i="4"/>
  <c r="F236" i="4"/>
  <c r="G236" i="4"/>
  <c r="H236" i="4"/>
  <c r="I236" i="4"/>
  <c r="I237" i="4"/>
  <c r="I238" i="4"/>
  <c r="D240" i="4"/>
  <c r="E240" i="4"/>
  <c r="F240" i="4"/>
  <c r="G240" i="4"/>
  <c r="H240" i="4"/>
  <c r="I240" i="4"/>
  <c r="D242" i="4"/>
  <c r="E242" i="4"/>
  <c r="F242" i="4"/>
  <c r="G242" i="4"/>
  <c r="H242" i="4"/>
  <c r="I242" i="4"/>
  <c r="D243" i="4"/>
  <c r="D75" i="7" s="1"/>
  <c r="E243" i="4"/>
  <c r="F243" i="4"/>
  <c r="G243" i="4"/>
  <c r="H243" i="4"/>
  <c r="I243" i="4"/>
  <c r="D244" i="4"/>
  <c r="D76" i="7" s="1"/>
  <c r="D120" i="7" s="1"/>
  <c r="E244" i="4"/>
  <c r="F244" i="4"/>
  <c r="G244" i="4"/>
  <c r="H244" i="4"/>
  <c r="I244" i="4"/>
  <c r="D245" i="4"/>
  <c r="E245" i="4"/>
  <c r="F245" i="4"/>
  <c r="G245" i="4"/>
  <c r="H245" i="4"/>
  <c r="I245" i="4"/>
  <c r="F246" i="4"/>
  <c r="G246" i="4"/>
  <c r="H246" i="4"/>
  <c r="I246" i="4"/>
  <c r="F247" i="4"/>
  <c r="G247" i="4"/>
  <c r="H247" i="4"/>
  <c r="I247" i="4"/>
  <c r="I248" i="4"/>
  <c r="I249" i="4"/>
  <c r="C6" i="5"/>
  <c r="C9" i="5"/>
  <c r="C15" i="5" s="1"/>
  <c r="C10" i="5"/>
  <c r="J10" i="5"/>
  <c r="C16" i="5"/>
  <c r="D4" i="7"/>
  <c r="D5" i="7"/>
  <c r="D6" i="7"/>
  <c r="D7" i="7"/>
  <c r="D8" i="7"/>
  <c r="D9" i="7"/>
  <c r="D16" i="7"/>
  <c r="D20" i="7"/>
  <c r="E26" i="7"/>
  <c r="P26" i="7" s="1"/>
  <c r="G27" i="7"/>
  <c r="H27" i="7"/>
  <c r="Q27" i="7"/>
  <c r="R27" i="7"/>
  <c r="S27" i="7"/>
  <c r="F28" i="7"/>
  <c r="I28" i="7"/>
  <c r="T28" i="7" s="1"/>
  <c r="Q28" i="7"/>
  <c r="F29" i="7"/>
  <c r="H29" i="7"/>
  <c r="S29" i="7" s="1"/>
  <c r="Q29" i="7"/>
  <c r="E30" i="7"/>
  <c r="P30" i="7" s="1"/>
  <c r="F30" i="7"/>
  <c r="Q30" i="7" s="1"/>
  <c r="R31" i="7"/>
  <c r="I32" i="7"/>
  <c r="T32" i="7" s="1"/>
  <c r="E34" i="7"/>
  <c r="P34" i="7" s="1"/>
  <c r="F34" i="7"/>
  <c r="Q34" i="7" s="1"/>
  <c r="T34" i="7"/>
  <c r="F35" i="7"/>
  <c r="H35" i="7"/>
  <c r="Q35" i="7"/>
  <c r="R35" i="7"/>
  <c r="S35" i="7"/>
  <c r="D50" i="7"/>
  <c r="D53" i="7"/>
  <c r="O53" i="7" s="1"/>
  <c r="D72" i="7"/>
  <c r="D73" i="7"/>
  <c r="D74" i="7"/>
  <c r="D77" i="7"/>
  <c r="D78" i="7"/>
  <c r="D122" i="7" s="1"/>
  <c r="D79" i="7"/>
  <c r="D80" i="7"/>
  <c r="D81" i="7"/>
  <c r="D83" i="7"/>
  <c r="D116" i="7" s="1"/>
  <c r="D84" i="7"/>
  <c r="D85" i="7"/>
  <c r="D118" i="7" s="1"/>
  <c r="D87" i="7"/>
  <c r="D88" i="7"/>
  <c r="D89" i="7"/>
  <c r="D90" i="7"/>
  <c r="D123" i="7" s="1"/>
  <c r="D91" i="7"/>
  <c r="D92" i="7"/>
  <c r="D125" i="7" s="1"/>
  <c r="F109" i="7"/>
  <c r="D117" i="7"/>
  <c r="D121" i="7"/>
  <c r="D124" i="7"/>
  <c r="D83" i="6" l="1"/>
  <c r="E102" i="4"/>
  <c r="D45" i="6" s="1"/>
  <c r="H22" i="6"/>
  <c r="H88" i="6"/>
  <c r="I107" i="4"/>
  <c r="H50" i="6" s="1"/>
  <c r="H81" i="6"/>
  <c r="I100" i="4"/>
  <c r="H43" i="6" s="1"/>
  <c r="C123" i="6"/>
  <c r="C121" i="6"/>
  <c r="C122" i="6"/>
  <c r="C124" i="6"/>
  <c r="C118" i="6"/>
  <c r="C116" i="6"/>
  <c r="H82" i="6"/>
  <c r="I27" i="7" s="1"/>
  <c r="T27" i="7" s="1"/>
  <c r="H16" i="6"/>
  <c r="D119" i="7"/>
  <c r="D24" i="6"/>
  <c r="D90" i="6"/>
  <c r="E35" i="7" s="1"/>
  <c r="P35" i="7" s="1"/>
  <c r="G88" i="6"/>
  <c r="H107" i="4"/>
  <c r="G50" i="6" s="1"/>
  <c r="G22" i="6"/>
  <c r="D16" i="6"/>
  <c r="D82" i="6"/>
  <c r="E27" i="7" s="1"/>
  <c r="P27" i="7" s="1"/>
  <c r="F88" i="6"/>
  <c r="G107" i="4"/>
  <c r="F50" i="6" s="1"/>
  <c r="F17" i="6"/>
  <c r="F83" i="6"/>
  <c r="C51" i="3"/>
  <c r="F21" i="6"/>
  <c r="F87" i="6"/>
  <c r="F19" i="6"/>
  <c r="F85" i="6"/>
  <c r="G104" i="4"/>
  <c r="F47" i="6" s="1"/>
  <c r="O50" i="7"/>
  <c r="D52" i="7"/>
  <c r="E86" i="6"/>
  <c r="F105" i="4"/>
  <c r="E48" i="6" s="1"/>
  <c r="G83" i="6"/>
  <c r="H102" i="4"/>
  <c r="G45" i="6" s="1"/>
  <c r="L24" i="4"/>
  <c r="L28" i="4" s="1"/>
  <c r="E28" i="4"/>
  <c r="H85" i="6"/>
  <c r="H20" i="6"/>
  <c r="H86" i="6"/>
  <c r="I105" i="4"/>
  <c r="H48" i="6" s="1"/>
  <c r="D18" i="6"/>
  <c r="D84" i="6"/>
  <c r="E29" i="7" s="1"/>
  <c r="P29" i="7" s="1"/>
  <c r="F81" i="6"/>
  <c r="F15" i="6"/>
  <c r="I104" i="4"/>
  <c r="H47" i="6" s="1"/>
  <c r="G100" i="4"/>
  <c r="F43" i="6" s="1"/>
  <c r="H31" i="7"/>
  <c r="S31" i="7" s="1"/>
  <c r="H18" i="6"/>
  <c r="H84" i="6"/>
  <c r="I29" i="7" s="1"/>
  <c r="T29" i="7" s="1"/>
  <c r="K18" i="4"/>
  <c r="K28" i="4" s="1"/>
  <c r="D28" i="4"/>
  <c r="E37" i="2"/>
  <c r="E39" i="2" s="1"/>
  <c r="D38" i="2"/>
  <c r="D29" i="2"/>
  <c r="E46" i="3"/>
  <c r="E30" i="3"/>
  <c r="E12" i="3"/>
  <c r="H32" i="7"/>
  <c r="S32" i="7" s="1"/>
  <c r="C29" i="6"/>
  <c r="D20" i="6"/>
  <c r="D86" i="6"/>
  <c r="G106" i="4"/>
  <c r="F49" i="6" s="1"/>
  <c r="H90" i="6"/>
  <c r="H24" i="6"/>
  <c r="I109" i="4"/>
  <c r="H52" i="6" s="1"/>
  <c r="F39" i="2"/>
  <c r="H22" i="2"/>
  <c r="H50" i="2"/>
  <c r="H49" i="2" s="1"/>
  <c r="H13" i="3" s="1"/>
  <c r="D48" i="7"/>
  <c r="F32" i="7"/>
  <c r="Q32" i="7" s="1"/>
  <c r="G89" i="6"/>
  <c r="H34" i="7" s="1"/>
  <c r="S34" i="7" s="1"/>
  <c r="G23" i="6"/>
  <c r="E22" i="6"/>
  <c r="E88" i="6"/>
  <c r="C33" i="6"/>
  <c r="G19" i="6"/>
  <c r="G85" i="6"/>
  <c r="H28" i="4"/>
  <c r="M18" i="4"/>
  <c r="M28" i="4" s="1"/>
  <c r="D50" i="2"/>
  <c r="D49" i="2" s="1"/>
  <c r="F29" i="2"/>
  <c r="G22" i="2"/>
  <c r="H46" i="3"/>
  <c r="H30" i="3"/>
  <c r="H31" i="3" s="1"/>
  <c r="F89" i="6"/>
  <c r="G34" i="7" s="1"/>
  <c r="R34" i="7" s="1"/>
  <c r="F23" i="6"/>
  <c r="D22" i="6"/>
  <c r="D88" i="6"/>
  <c r="E33" i="7" s="1"/>
  <c r="P33" i="7" s="1"/>
  <c r="G28" i="4"/>
  <c r="N19" i="4"/>
  <c r="N28" i="4" s="1"/>
  <c r="G21" i="6"/>
  <c r="E24" i="6"/>
  <c r="C23" i="6"/>
  <c r="C35" i="6" s="1"/>
  <c r="E20" i="6"/>
  <c r="G17" i="6"/>
  <c r="E16" i="6"/>
  <c r="E13" i="6"/>
  <c r="C13" i="6"/>
  <c r="E132" i="6"/>
  <c r="H37" i="2"/>
  <c r="D37" i="2"/>
  <c r="D39" i="2" s="1"/>
  <c r="D40" i="2" s="1"/>
  <c r="E21" i="2"/>
  <c r="E22" i="2" s="1"/>
  <c r="E11" i="2"/>
  <c r="E12" i="2" s="1"/>
  <c r="D13" i="3"/>
  <c r="D30" i="3"/>
  <c r="D12" i="3"/>
  <c r="C19" i="6"/>
  <c r="C31" i="6" s="1"/>
  <c r="D132" i="6"/>
  <c r="H130" i="6"/>
  <c r="P28" i="4"/>
  <c r="G38" i="2"/>
  <c r="G39" i="2" s="1"/>
  <c r="E18" i="6"/>
  <c r="C24" i="6"/>
  <c r="C36" i="6" s="1"/>
  <c r="E21" i="6"/>
  <c r="C20" i="6"/>
  <c r="C32" i="6" s="1"/>
  <c r="G18" i="6"/>
  <c r="E17" i="6"/>
  <c r="C16" i="6"/>
  <c r="C28" i="6" s="1"/>
  <c r="F107" i="4"/>
  <c r="E50" i="6" s="1"/>
  <c r="H100" i="4"/>
  <c r="G43" i="6" s="1"/>
  <c r="F38" i="2"/>
  <c r="G11" i="2"/>
  <c r="G12" i="2" s="1"/>
  <c r="G13" i="2" s="1"/>
  <c r="D32" i="1"/>
  <c r="D45" i="1" s="1"/>
  <c r="D22" i="1"/>
  <c r="D33" i="1"/>
  <c r="H38" i="2"/>
  <c r="F100" i="4"/>
  <c r="E43" i="6" s="1"/>
  <c r="G46" i="3"/>
  <c r="G13" i="3"/>
  <c r="G30" i="3"/>
  <c r="G31" i="3" s="1"/>
  <c r="G12" i="3"/>
  <c r="F13" i="3"/>
  <c r="F30" i="3"/>
  <c r="F31" i="3" s="1"/>
  <c r="F12" i="3"/>
  <c r="H26" i="3"/>
  <c r="H22" i="3"/>
  <c r="H23" i="6"/>
  <c r="F22" i="6"/>
  <c r="D21" i="6"/>
  <c r="H19" i="6"/>
  <c r="F18" i="6"/>
  <c r="D17" i="6"/>
  <c r="H15" i="6"/>
  <c r="E32" i="1"/>
  <c r="E22" i="1"/>
  <c r="G22" i="3"/>
  <c r="E63" i="1"/>
  <c r="H21" i="1"/>
  <c r="G44" i="1"/>
  <c r="G78" i="1"/>
  <c r="E26" i="3"/>
  <c r="E22" i="3"/>
  <c r="G24" i="6"/>
  <c r="E23" i="6"/>
  <c r="C22" i="6"/>
  <c r="C34" i="6" s="1"/>
  <c r="G20" i="6"/>
  <c r="E19" i="6"/>
  <c r="C18" i="6"/>
  <c r="C30" i="6" s="1"/>
  <c r="G16" i="6"/>
  <c r="G25" i="6" s="1"/>
  <c r="E15" i="6"/>
  <c r="F19" i="1"/>
  <c r="F20" i="1" s="1"/>
  <c r="F21" i="1" s="1"/>
  <c r="D26" i="3"/>
  <c r="F24" i="6"/>
  <c r="D23" i="6"/>
  <c r="H21" i="6"/>
  <c r="F20" i="6"/>
  <c r="D19" i="6"/>
  <c r="H17" i="6"/>
  <c r="F16" i="6"/>
  <c r="D15" i="6"/>
  <c r="E78" i="1"/>
  <c r="E45" i="1"/>
  <c r="E44" i="1"/>
  <c r="C83" i="1"/>
  <c r="H62" i="1"/>
  <c r="H44" i="1"/>
  <c r="D62" i="1"/>
  <c r="D44" i="1"/>
  <c r="C15" i="6"/>
  <c r="F78" i="1"/>
  <c r="F62" i="1"/>
  <c r="F13" i="6"/>
  <c r="C21" i="1"/>
  <c r="G19" i="1"/>
  <c r="G20" i="1" s="1"/>
  <c r="G21" i="1" s="1"/>
  <c r="C11" i="1"/>
  <c r="D13" i="6"/>
  <c r="H11" i="1"/>
  <c r="F33" i="1" l="1"/>
  <c r="F32" i="1"/>
  <c r="F45" i="1" s="1"/>
  <c r="F22" i="1"/>
  <c r="G22" i="1"/>
  <c r="G33" i="1"/>
  <c r="G32" i="1"/>
  <c r="D46" i="1"/>
  <c r="D57" i="1"/>
  <c r="H21" i="3"/>
  <c r="H23" i="3" s="1"/>
  <c r="H14" i="3"/>
  <c r="H25" i="3"/>
  <c r="H47" i="3"/>
  <c r="H48" i="3" s="1"/>
  <c r="H38" i="3"/>
  <c r="H39" i="3" s="1"/>
  <c r="H51" i="3" s="1"/>
  <c r="G132" i="6"/>
  <c r="H30" i="7"/>
  <c r="F25" i="6"/>
  <c r="H132" i="6"/>
  <c r="G33" i="7"/>
  <c r="R33" i="7" s="1"/>
  <c r="D31" i="3"/>
  <c r="E31" i="7"/>
  <c r="P31" i="7" s="1"/>
  <c r="C27" i="6"/>
  <c r="C37" i="6" s="1"/>
  <c r="C25" i="6"/>
  <c r="F21" i="3"/>
  <c r="F23" i="3" s="1"/>
  <c r="F14" i="3"/>
  <c r="F25" i="3"/>
  <c r="E25" i="6"/>
  <c r="H22" i="1"/>
  <c r="H33" i="1"/>
  <c r="H32" i="1"/>
  <c r="H45" i="1" s="1"/>
  <c r="D23" i="1"/>
  <c r="D24" i="1" s="1"/>
  <c r="D14" i="3"/>
  <c r="D25" i="3"/>
  <c r="E13" i="2"/>
  <c r="F13" i="2"/>
  <c r="H13" i="2"/>
  <c r="H26" i="7"/>
  <c r="S26" i="7" s="1"/>
  <c r="E46" i="1"/>
  <c r="E53" i="1"/>
  <c r="E55" i="1" s="1"/>
  <c r="E57" i="1"/>
  <c r="F33" i="7"/>
  <c r="Q33" i="7" s="1"/>
  <c r="E50" i="2"/>
  <c r="E49" i="2" s="1"/>
  <c r="E13" i="3" s="1"/>
  <c r="I35" i="7"/>
  <c r="T35" i="7" s="1"/>
  <c r="G26" i="7"/>
  <c r="R26" i="7" s="1"/>
  <c r="I31" i="7"/>
  <c r="T31" i="7" s="1"/>
  <c r="H28" i="7"/>
  <c r="O52" i="7"/>
  <c r="I26" i="7"/>
  <c r="H25" i="6"/>
  <c r="D63" i="1"/>
  <c r="E70" i="1"/>
  <c r="E71" i="1" s="1"/>
  <c r="E79" i="1"/>
  <c r="E80" i="1" s="1"/>
  <c r="G14" i="3"/>
  <c r="G21" i="3"/>
  <c r="G23" i="3" s="1"/>
  <c r="G25" i="3"/>
  <c r="F63" i="1"/>
  <c r="D41" i="2"/>
  <c r="D42" i="2" s="1"/>
  <c r="D43" i="2" s="1"/>
  <c r="D44" i="2" s="1"/>
  <c r="D6" i="5"/>
  <c r="D9" i="5" s="1"/>
  <c r="E40" i="2"/>
  <c r="I30" i="7"/>
  <c r="G130" i="6"/>
  <c r="E28" i="7"/>
  <c r="H33" i="7"/>
  <c r="S33" i="7" s="1"/>
  <c r="I33" i="7"/>
  <c r="T33" i="7" s="1"/>
  <c r="D130" i="6"/>
  <c r="G38" i="3"/>
  <c r="G39" i="3" s="1"/>
  <c r="G47" i="3"/>
  <c r="G48" i="3" s="1"/>
  <c r="C22" i="1"/>
  <c r="C23" i="1" s="1"/>
  <c r="C33" i="1"/>
  <c r="C32" i="1" s="1"/>
  <c r="H39" i="2"/>
  <c r="G30" i="7"/>
  <c r="F130" i="6"/>
  <c r="G28" i="7"/>
  <c r="H63" i="1"/>
  <c r="D25" i="6"/>
  <c r="F38" i="3"/>
  <c r="F39" i="3" s="1"/>
  <c r="F47" i="3"/>
  <c r="F48" i="3" s="1"/>
  <c r="F26" i="7"/>
  <c r="O48" i="7"/>
  <c r="G32" i="7"/>
  <c r="R32" i="7" s="1"/>
  <c r="F31" i="7"/>
  <c r="Q31" i="7" s="1"/>
  <c r="F132" i="6"/>
  <c r="H79" i="1" l="1"/>
  <c r="H80" i="1" s="1"/>
  <c r="H70" i="1"/>
  <c r="H71" i="1" s="1"/>
  <c r="H83" i="1" s="1"/>
  <c r="D16" i="5"/>
  <c r="D15" i="5" s="1"/>
  <c r="D10" i="5"/>
  <c r="E23" i="1"/>
  <c r="E24" i="1" s="1"/>
  <c r="T26" i="7"/>
  <c r="I107" i="7"/>
  <c r="E31" i="3"/>
  <c r="H46" i="1"/>
  <c r="H53" i="1"/>
  <c r="H55" i="1" s="1"/>
  <c r="H57" i="1"/>
  <c r="G45" i="1"/>
  <c r="G63" i="1"/>
  <c r="T30" i="7"/>
  <c r="I109" i="7"/>
  <c r="R30" i="7"/>
  <c r="G109" i="7"/>
  <c r="E83" i="1"/>
  <c r="H23" i="1"/>
  <c r="O41" i="7"/>
  <c r="G23" i="1"/>
  <c r="G51" i="3"/>
  <c r="F51" i="3"/>
  <c r="E41" i="2"/>
  <c r="E42" i="2" s="1"/>
  <c r="E43" i="2" s="1"/>
  <c r="E44" i="2" s="1"/>
  <c r="E6" i="5"/>
  <c r="E9" i="5" s="1"/>
  <c r="F40" i="2"/>
  <c r="C141" i="6"/>
  <c r="C152" i="6" s="1"/>
  <c r="C39" i="6"/>
  <c r="C40" i="6" s="1"/>
  <c r="O39" i="7" s="1"/>
  <c r="C143" i="6"/>
  <c r="C154" i="6" s="1"/>
  <c r="C165" i="6" s="1"/>
  <c r="C98" i="6"/>
  <c r="C109" i="6" s="1"/>
  <c r="C120" i="6" s="1"/>
  <c r="O42" i="7" s="1"/>
  <c r="C97" i="6"/>
  <c r="C108" i="6" s="1"/>
  <c r="C119" i="6" s="1"/>
  <c r="C93" i="6"/>
  <c r="C104" i="6" s="1"/>
  <c r="C95" i="6"/>
  <c r="C106" i="6" s="1"/>
  <c r="C117" i="6" s="1"/>
  <c r="F23" i="1"/>
  <c r="F24" i="1" s="1"/>
  <c r="S28" i="7"/>
  <c r="H107" i="7"/>
  <c r="G107" i="7"/>
  <c r="R28" i="7"/>
  <c r="F107" i="7"/>
  <c r="Q26" i="7"/>
  <c r="F79" i="1"/>
  <c r="F80" i="1" s="1"/>
  <c r="F70" i="1"/>
  <c r="F71" i="1" s="1"/>
  <c r="F83" i="1" s="1"/>
  <c r="D79" i="1"/>
  <c r="D80" i="1" s="1"/>
  <c r="D70" i="1"/>
  <c r="D71" i="1" s="1"/>
  <c r="D53" i="1"/>
  <c r="D55" i="1" s="1"/>
  <c r="D28" i="3"/>
  <c r="D27" i="3"/>
  <c r="F46" i="1"/>
  <c r="F53" i="1"/>
  <c r="F55" i="1" s="1"/>
  <c r="F57" i="1"/>
  <c r="P28" i="7"/>
  <c r="E109" i="7"/>
  <c r="E107" i="7"/>
  <c r="G28" i="3"/>
  <c r="G27" i="3"/>
  <c r="E60" i="1"/>
  <c r="E59" i="1"/>
  <c r="F27" i="3"/>
  <c r="F28" i="3"/>
  <c r="H109" i="7"/>
  <c r="S30" i="7"/>
  <c r="H27" i="3"/>
  <c r="H28" i="3"/>
  <c r="E14" i="3"/>
  <c r="E21" i="3"/>
  <c r="E23" i="3" s="1"/>
  <c r="E25" i="3"/>
  <c r="D38" i="3"/>
  <c r="D39" i="3" s="1"/>
  <c r="D47" i="3"/>
  <c r="D48" i="3" s="1"/>
  <c r="D21" i="3"/>
  <c r="D23" i="3" s="1"/>
  <c r="D59" i="1"/>
  <c r="D60" i="1"/>
  <c r="E27" i="3" l="1"/>
  <c r="E28" i="3"/>
  <c r="G24" i="1"/>
  <c r="G70" i="1"/>
  <c r="G71" i="1" s="1"/>
  <c r="G79" i="1"/>
  <c r="G80" i="1" s="1"/>
  <c r="I55" i="1"/>
  <c r="G46" i="1"/>
  <c r="G53" i="1"/>
  <c r="G55" i="1" s="1"/>
  <c r="G57" i="1"/>
  <c r="D83" i="1"/>
  <c r="C62" i="6"/>
  <c r="C75" i="6" s="1"/>
  <c r="C58" i="6"/>
  <c r="C71" i="6" s="1"/>
  <c r="C114" i="6"/>
  <c r="C63" i="6"/>
  <c r="C76" i="6" s="1"/>
  <c r="C61" i="6"/>
  <c r="C74" i="6" s="1"/>
  <c r="C56" i="6"/>
  <c r="C69" i="6" s="1"/>
  <c r="C59" i="6"/>
  <c r="C72" i="6" s="1"/>
  <c r="C64" i="6"/>
  <c r="C77" i="6" s="1"/>
  <c r="C60" i="6"/>
  <c r="C73" i="6" s="1"/>
  <c r="C55" i="6"/>
  <c r="C57" i="6"/>
  <c r="C70" i="6" s="1"/>
  <c r="F6" i="5"/>
  <c r="F9" i="5" s="1"/>
  <c r="F41" i="2"/>
  <c r="F42" i="2" s="1"/>
  <c r="F43" i="2" s="1"/>
  <c r="F44" i="2" s="1"/>
  <c r="G40" i="2"/>
  <c r="H24" i="1"/>
  <c r="H60" i="1"/>
  <c r="H59" i="1"/>
  <c r="D116" i="6"/>
  <c r="E38" i="7" s="1"/>
  <c r="D124" i="6"/>
  <c r="E46" i="7" s="1"/>
  <c r="D118" i="6"/>
  <c r="E40" i="7" s="1"/>
  <c r="D122" i="6"/>
  <c r="E44" i="7" s="1"/>
  <c r="D123" i="6"/>
  <c r="E45" i="7" s="1"/>
  <c r="D121" i="6"/>
  <c r="E43" i="7" s="1"/>
  <c r="D27" i="6"/>
  <c r="D29" i="6"/>
  <c r="D30" i="6"/>
  <c r="D33" i="6"/>
  <c r="D28" i="6"/>
  <c r="D35" i="6"/>
  <c r="D32" i="6"/>
  <c r="D36" i="6"/>
  <c r="D31" i="6"/>
  <c r="D34" i="6"/>
  <c r="C115" i="6"/>
  <c r="O37" i="7" s="1"/>
  <c r="C163" i="6"/>
  <c r="E10" i="5"/>
  <c r="E16" i="5"/>
  <c r="E15" i="5" s="1"/>
  <c r="I27" i="3"/>
  <c r="I23" i="3"/>
  <c r="F60" i="1"/>
  <c r="F59" i="1"/>
  <c r="D51" i="3"/>
  <c r="E38" i="3"/>
  <c r="E39" i="3" s="1"/>
  <c r="E47" i="3"/>
  <c r="E48" i="3" s="1"/>
  <c r="F16" i="5" l="1"/>
  <c r="F10" i="5"/>
  <c r="F15" i="5"/>
  <c r="E51" i="3"/>
  <c r="C65" i="6"/>
  <c r="C68" i="6"/>
  <c r="C78" i="6" s="1"/>
  <c r="G83" i="1"/>
  <c r="B73" i="1"/>
  <c r="D37" i="6"/>
  <c r="E116" i="6"/>
  <c r="F38" i="7" s="1"/>
  <c r="E124" i="6"/>
  <c r="F46" i="7" s="1"/>
  <c r="E118" i="6"/>
  <c r="F40" i="7" s="1"/>
  <c r="E123" i="6"/>
  <c r="F45" i="7" s="1"/>
  <c r="E32" i="6"/>
  <c r="E33" i="6"/>
  <c r="E29" i="6"/>
  <c r="E27" i="6"/>
  <c r="E34" i="6"/>
  <c r="E28" i="6"/>
  <c r="E30" i="6"/>
  <c r="E36" i="6"/>
  <c r="E31" i="6"/>
  <c r="E35" i="6"/>
  <c r="B84" i="1"/>
  <c r="B41" i="3"/>
  <c r="B52" i="3"/>
  <c r="G41" i="2"/>
  <c r="G42" i="2" s="1"/>
  <c r="G43" i="2" s="1"/>
  <c r="G44" i="2" s="1"/>
  <c r="G6" i="5"/>
  <c r="G9" i="5" s="1"/>
  <c r="H40" i="2"/>
  <c r="G60" i="1"/>
  <c r="G59" i="1"/>
  <c r="I59" i="1" s="1"/>
  <c r="H6" i="5" l="1"/>
  <c r="H9" i="5" s="1"/>
  <c r="H41" i="2"/>
  <c r="H42" i="2" s="1"/>
  <c r="H43" i="2" s="1"/>
  <c r="H44" i="2" s="1"/>
  <c r="G10" i="5"/>
  <c r="G15" i="5"/>
  <c r="G16" i="5"/>
  <c r="F123" i="6"/>
  <c r="G45" i="7" s="1"/>
  <c r="F124" i="6"/>
  <c r="G46" i="7" s="1"/>
  <c r="F116" i="6"/>
  <c r="G38" i="7" s="1"/>
  <c r="F118" i="6"/>
  <c r="G40" i="7" s="1"/>
  <c r="F31" i="6"/>
  <c r="F30" i="6"/>
  <c r="F32" i="6"/>
  <c r="F35" i="6"/>
  <c r="F29" i="6"/>
  <c r="F27" i="6"/>
  <c r="F36" i="6"/>
  <c r="F33" i="6"/>
  <c r="F28" i="6"/>
  <c r="F34" i="6"/>
  <c r="E37" i="6"/>
  <c r="D39" i="6"/>
  <c r="D40" i="6" s="1"/>
  <c r="D143" i="6"/>
  <c r="D154" i="6" s="1"/>
  <c r="D165" i="6" s="1"/>
  <c r="E98" i="7" s="1"/>
  <c r="E120" i="7" s="1"/>
  <c r="D141" i="6"/>
  <c r="D152" i="6" s="1"/>
  <c r="D163" i="6" s="1"/>
  <c r="E96" i="7" s="1"/>
  <c r="E118" i="7" s="1"/>
  <c r="D93" i="6"/>
  <c r="D104" i="6" s="1"/>
  <c r="D115" i="6" s="1"/>
  <c r="D97" i="6"/>
  <c r="D108" i="6" s="1"/>
  <c r="D119" i="6" s="1"/>
  <c r="D95" i="6"/>
  <c r="D106" i="6" s="1"/>
  <c r="D117" i="6" s="1"/>
  <c r="D98" i="6"/>
  <c r="D109" i="6" s="1"/>
  <c r="D120" i="6" s="1"/>
  <c r="E41" i="7" l="1"/>
  <c r="E52" i="7" s="1"/>
  <c r="P41" i="7"/>
  <c r="P52" i="7" s="1"/>
  <c r="E37" i="7"/>
  <c r="E48" i="7" s="1"/>
  <c r="P37" i="7"/>
  <c r="P48" i="7" s="1"/>
  <c r="E39" i="7"/>
  <c r="E50" i="7" s="1"/>
  <c r="P39" i="7"/>
  <c r="P50" i="7" s="1"/>
  <c r="D61" i="6"/>
  <c r="D74" i="6" s="1"/>
  <c r="D63" i="6"/>
  <c r="D76" i="6" s="1"/>
  <c r="D114" i="6"/>
  <c r="D64" i="6"/>
  <c r="D77" i="6" s="1"/>
  <c r="D56" i="6"/>
  <c r="D69" i="6" s="1"/>
  <c r="D58" i="6"/>
  <c r="D71" i="6" s="1"/>
  <c r="D55" i="6"/>
  <c r="D59" i="6"/>
  <c r="D72" i="6" s="1"/>
  <c r="D60" i="6"/>
  <c r="D73" i="6" s="1"/>
  <c r="D62" i="6"/>
  <c r="D75" i="6" s="1"/>
  <c r="D57" i="6"/>
  <c r="D70" i="6" s="1"/>
  <c r="F37" i="6"/>
  <c r="G116" i="6"/>
  <c r="H38" i="7" s="1"/>
  <c r="G118" i="6"/>
  <c r="H40" i="7" s="1"/>
  <c r="G123" i="6"/>
  <c r="H45" i="7" s="1"/>
  <c r="G124" i="6"/>
  <c r="H46" i="7" s="1"/>
  <c r="G27" i="6"/>
  <c r="G30" i="6"/>
  <c r="G29" i="6"/>
  <c r="G35" i="6"/>
  <c r="G33" i="6"/>
  <c r="G34" i="6"/>
  <c r="G31" i="6"/>
  <c r="G28" i="6"/>
  <c r="G32" i="6"/>
  <c r="G36" i="6"/>
  <c r="E141" i="6"/>
  <c r="E152" i="6" s="1"/>
  <c r="E163" i="6" s="1"/>
  <c r="F96" i="7" s="1"/>
  <c r="F118" i="7" s="1"/>
  <c r="E39" i="6"/>
  <c r="E40" i="6" s="1"/>
  <c r="E143" i="6"/>
  <c r="E154" i="6" s="1"/>
  <c r="E165" i="6" s="1"/>
  <c r="F98" i="7" s="1"/>
  <c r="F120" i="7" s="1"/>
  <c r="E97" i="6"/>
  <c r="E108" i="6" s="1"/>
  <c r="E119" i="6" s="1"/>
  <c r="E95" i="6"/>
  <c r="E106" i="6" s="1"/>
  <c r="E117" i="6" s="1"/>
  <c r="E100" i="6"/>
  <c r="E111" i="6" s="1"/>
  <c r="E122" i="6" s="1"/>
  <c r="E99" i="6"/>
  <c r="E110" i="6" s="1"/>
  <c r="E121" i="6" s="1"/>
  <c r="E98" i="6"/>
  <c r="E109" i="6" s="1"/>
  <c r="E120" i="6" s="1"/>
  <c r="E93" i="6"/>
  <c r="E104" i="6" s="1"/>
  <c r="E115" i="6" s="1"/>
  <c r="E42" i="7"/>
  <c r="E53" i="7" s="1"/>
  <c r="P42" i="7"/>
  <c r="P53" i="7" s="1"/>
  <c r="H16" i="5"/>
  <c r="H15" i="5" s="1"/>
  <c r="H10" i="5"/>
  <c r="F39" i="7" l="1"/>
  <c r="F50" i="7" s="1"/>
  <c r="Q39" i="7"/>
  <c r="Q50" i="7" s="1"/>
  <c r="F37" i="7"/>
  <c r="F48" i="7" s="1"/>
  <c r="Q37" i="7"/>
  <c r="Q48" i="7" s="1"/>
  <c r="F42" i="7"/>
  <c r="F53" i="7" s="1"/>
  <c r="Q42" i="7"/>
  <c r="Q53" i="7" s="1"/>
  <c r="F43" i="7"/>
  <c r="Q43" i="7"/>
  <c r="H118" i="6"/>
  <c r="I40" i="7" s="1"/>
  <c r="H116" i="6"/>
  <c r="I38" i="7" s="1"/>
  <c r="H123" i="6"/>
  <c r="I45" i="7" s="1"/>
  <c r="I10" i="5"/>
  <c r="H32" i="6"/>
  <c r="H33" i="6"/>
  <c r="H36" i="6"/>
  <c r="H35" i="6"/>
  <c r="H34" i="6"/>
  <c r="H28" i="6"/>
  <c r="H30" i="6"/>
  <c r="H29" i="6"/>
  <c r="H31" i="6"/>
  <c r="H27" i="6"/>
  <c r="H37" i="6" s="1"/>
  <c r="F44" i="7"/>
  <c r="Q44" i="7"/>
  <c r="D65" i="6"/>
  <c r="D68" i="6"/>
  <c r="D78" i="6" s="1"/>
  <c r="F41" i="7"/>
  <c r="F52" i="7" s="1"/>
  <c r="Q41" i="7"/>
  <c r="Q52" i="7" s="1"/>
  <c r="G37" i="6"/>
  <c r="F143" i="6"/>
  <c r="F154" i="6" s="1"/>
  <c r="F165" i="6" s="1"/>
  <c r="F141" i="6"/>
  <c r="F152" i="6" s="1"/>
  <c r="F163" i="6" s="1"/>
  <c r="F39" i="6"/>
  <c r="F40" i="6" s="1"/>
  <c r="F97" i="6"/>
  <c r="F108" i="6" s="1"/>
  <c r="F119" i="6" s="1"/>
  <c r="F99" i="6"/>
  <c r="F110" i="6" s="1"/>
  <c r="F121" i="6" s="1"/>
  <c r="F98" i="6"/>
  <c r="F109" i="6" s="1"/>
  <c r="F120" i="6" s="1"/>
  <c r="F100" i="6"/>
  <c r="F111" i="6" s="1"/>
  <c r="F122" i="6" s="1"/>
  <c r="F95" i="6"/>
  <c r="F106" i="6" s="1"/>
  <c r="F117" i="6" s="1"/>
  <c r="F93" i="6"/>
  <c r="F104" i="6" s="1"/>
  <c r="F115" i="6" s="1"/>
  <c r="E56" i="6"/>
  <c r="E69" i="6" s="1"/>
  <c r="E63" i="6"/>
  <c r="E76" i="6" s="1"/>
  <c r="E114" i="6"/>
  <c r="E57" i="6"/>
  <c r="E70" i="6" s="1"/>
  <c r="E58" i="6"/>
  <c r="E71" i="6" s="1"/>
  <c r="E61" i="6"/>
  <c r="E74" i="6" s="1"/>
  <c r="E64" i="6"/>
  <c r="E77" i="6" s="1"/>
  <c r="E59" i="6"/>
  <c r="E72" i="6" s="1"/>
  <c r="E55" i="6"/>
  <c r="E60" i="6"/>
  <c r="E73" i="6" s="1"/>
  <c r="E62" i="6"/>
  <c r="E75" i="6" s="1"/>
  <c r="G43" i="7" l="1"/>
  <c r="R43" i="7"/>
  <c r="H39" i="6"/>
  <c r="H40" i="6" s="1"/>
  <c r="H141" i="6"/>
  <c r="H152" i="6" s="1"/>
  <c r="H163" i="6" s="1"/>
  <c r="I96" i="7" s="1"/>
  <c r="I118" i="7" s="1"/>
  <c r="C129" i="7" s="1"/>
  <c r="H143" i="6"/>
  <c r="H154" i="6" s="1"/>
  <c r="H165" i="6" s="1"/>
  <c r="H95" i="6"/>
  <c r="H106" i="6" s="1"/>
  <c r="H117" i="6" s="1"/>
  <c r="E65" i="6"/>
  <c r="E68" i="6"/>
  <c r="E78" i="6" s="1"/>
  <c r="G41" i="7"/>
  <c r="G52" i="7" s="1"/>
  <c r="R41" i="7"/>
  <c r="R52" i="7" s="1"/>
  <c r="H98" i="6"/>
  <c r="H109" i="6" s="1"/>
  <c r="H120" i="6" s="1"/>
  <c r="F58" i="6"/>
  <c r="F71" i="6" s="1"/>
  <c r="F56" i="6"/>
  <c r="F69" i="6" s="1"/>
  <c r="F64" i="6"/>
  <c r="F77" i="6" s="1"/>
  <c r="F114" i="6"/>
  <c r="F63" i="6"/>
  <c r="F76" i="6" s="1"/>
  <c r="F60" i="6"/>
  <c r="F73" i="6" s="1"/>
  <c r="F57" i="6"/>
  <c r="F70" i="6" s="1"/>
  <c r="F62" i="6"/>
  <c r="F75" i="6" s="1"/>
  <c r="F61" i="6"/>
  <c r="F74" i="6" s="1"/>
  <c r="F55" i="6"/>
  <c r="F59" i="6"/>
  <c r="F72" i="6" s="1"/>
  <c r="G96" i="7"/>
  <c r="G118" i="7" s="1"/>
  <c r="G37" i="7"/>
  <c r="G48" i="7" s="1"/>
  <c r="R37" i="7"/>
  <c r="R48" i="7" s="1"/>
  <c r="H100" i="6"/>
  <c r="H111" i="6" s="1"/>
  <c r="H122" i="6" s="1"/>
  <c r="G39" i="7"/>
  <c r="G50" i="7" s="1"/>
  <c r="R39" i="7"/>
  <c r="R50" i="7" s="1"/>
  <c r="G141" i="6"/>
  <c r="G152" i="6" s="1"/>
  <c r="G163" i="6" s="1"/>
  <c r="H96" i="7" s="1"/>
  <c r="H118" i="7" s="1"/>
  <c r="G39" i="6"/>
  <c r="G40" i="6" s="1"/>
  <c r="G143" i="6"/>
  <c r="G154" i="6" s="1"/>
  <c r="G165" i="6" s="1"/>
  <c r="G98" i="6"/>
  <c r="G109" i="6" s="1"/>
  <c r="G120" i="6" s="1"/>
  <c r="G97" i="6"/>
  <c r="G108" i="6" s="1"/>
  <c r="G119" i="6" s="1"/>
  <c r="G100" i="6"/>
  <c r="G111" i="6" s="1"/>
  <c r="G122" i="6" s="1"/>
  <c r="G95" i="6"/>
  <c r="G106" i="6" s="1"/>
  <c r="G117" i="6" s="1"/>
  <c r="G93" i="6"/>
  <c r="G104" i="6" s="1"/>
  <c r="G115" i="6" s="1"/>
  <c r="G99" i="6"/>
  <c r="G110" i="6" s="1"/>
  <c r="G121" i="6" s="1"/>
  <c r="G44" i="7"/>
  <c r="R44" i="7"/>
  <c r="H93" i="6"/>
  <c r="H104" i="6" s="1"/>
  <c r="H115" i="6" s="1"/>
  <c r="H102" i="6"/>
  <c r="H113" i="6" s="1"/>
  <c r="H124" i="6" s="1"/>
  <c r="G98" i="7"/>
  <c r="G120" i="7" s="1"/>
  <c r="H97" i="6"/>
  <c r="H108" i="6" s="1"/>
  <c r="H119" i="6" s="1"/>
  <c r="G42" i="7"/>
  <c r="G53" i="7" s="1"/>
  <c r="R42" i="7"/>
  <c r="R53" i="7" s="1"/>
  <c r="H99" i="6"/>
  <c r="H110" i="6" s="1"/>
  <c r="H121" i="6" s="1"/>
  <c r="H41" i="7" l="1"/>
  <c r="H52" i="7" s="1"/>
  <c r="S41" i="7"/>
  <c r="S52" i="7" s="1"/>
  <c r="H42" i="7"/>
  <c r="H53" i="7" s="1"/>
  <c r="S42" i="7"/>
  <c r="S53" i="7" s="1"/>
  <c r="I42" i="7"/>
  <c r="I53" i="7" s="1"/>
  <c r="T42" i="7"/>
  <c r="T53" i="7" s="1"/>
  <c r="N64" i="7" s="1"/>
  <c r="H63" i="6"/>
  <c r="H76" i="6" s="1"/>
  <c r="H114" i="6"/>
  <c r="H58" i="6"/>
  <c r="H71" i="6" s="1"/>
  <c r="H57" i="6"/>
  <c r="H70" i="6" s="1"/>
  <c r="H61" i="6"/>
  <c r="H74" i="6" s="1"/>
  <c r="H56" i="6"/>
  <c r="H69" i="6" s="1"/>
  <c r="H64" i="6"/>
  <c r="H77" i="6" s="1"/>
  <c r="H62" i="6"/>
  <c r="H75" i="6" s="1"/>
  <c r="H55" i="6"/>
  <c r="H59" i="6"/>
  <c r="H72" i="6" s="1"/>
  <c r="H60" i="6"/>
  <c r="H73" i="6" s="1"/>
  <c r="H44" i="7"/>
  <c r="S44" i="7"/>
  <c r="I44" i="7"/>
  <c r="T44" i="7"/>
  <c r="N63" i="7"/>
  <c r="I46" i="7"/>
  <c r="T46" i="7"/>
  <c r="I37" i="7"/>
  <c r="I48" i="7" s="1"/>
  <c r="T37" i="7"/>
  <c r="T48" i="7" s="1"/>
  <c r="N59" i="7" s="1"/>
  <c r="H98" i="7"/>
  <c r="H120" i="7" s="1"/>
  <c r="C64" i="7"/>
  <c r="H37" i="7"/>
  <c r="H48" i="7" s="1"/>
  <c r="S37" i="7"/>
  <c r="S48" i="7" s="1"/>
  <c r="I41" i="7"/>
  <c r="I52" i="7" s="1"/>
  <c r="C63" i="7" s="1"/>
  <c r="T41" i="7"/>
  <c r="T52" i="7" s="1"/>
  <c r="I43" i="7"/>
  <c r="T43" i="7"/>
  <c r="G63" i="6"/>
  <c r="G76" i="6" s="1"/>
  <c r="G114" i="6"/>
  <c r="G64" i="6"/>
  <c r="G77" i="6" s="1"/>
  <c r="G56" i="6"/>
  <c r="G69" i="6" s="1"/>
  <c r="G61" i="6"/>
  <c r="G74" i="6" s="1"/>
  <c r="G60" i="6"/>
  <c r="G73" i="6" s="1"/>
  <c r="G59" i="6"/>
  <c r="G72" i="6" s="1"/>
  <c r="G58" i="6"/>
  <c r="G71" i="6" s="1"/>
  <c r="G57" i="6"/>
  <c r="G70" i="6" s="1"/>
  <c r="G62" i="6"/>
  <c r="G75" i="6" s="1"/>
  <c r="G55" i="6"/>
  <c r="I39" i="7"/>
  <c r="I50" i="7" s="1"/>
  <c r="C61" i="7" s="1"/>
  <c r="T39" i="7"/>
  <c r="T50" i="7" s="1"/>
  <c r="H39" i="7"/>
  <c r="H50" i="7" s="1"/>
  <c r="S39" i="7"/>
  <c r="S50" i="7" s="1"/>
  <c r="H43" i="7"/>
  <c r="S43" i="7"/>
  <c r="F68" i="6"/>
  <c r="F78" i="6" s="1"/>
  <c r="F65" i="6"/>
  <c r="I98" i="7"/>
  <c r="I120" i="7" s="1"/>
  <c r="C131" i="7" s="1"/>
  <c r="G68" i="6" l="1"/>
  <c r="G78" i="6" s="1"/>
  <c r="G65" i="6"/>
  <c r="C59" i="7"/>
  <c r="H65" i="6"/>
  <c r="H68" i="6"/>
  <c r="H78" i="6" s="1"/>
  <c r="N61" i="7"/>
</calcChain>
</file>

<file path=xl/sharedStrings.xml><?xml version="1.0" encoding="utf-8"?>
<sst xmlns="http://schemas.openxmlformats.org/spreadsheetml/2006/main" count="303" uniqueCount="169">
  <si>
    <t>128Mbit</t>
  </si>
  <si>
    <t>256Mbit</t>
  </si>
  <si>
    <t>512Mbit</t>
  </si>
  <si>
    <t>units</t>
  </si>
  <si>
    <t>64Mbit</t>
  </si>
  <si>
    <t>ASP</t>
  </si>
  <si>
    <t>Total 256M equiv</t>
  </si>
  <si>
    <t>1Gbit</t>
  </si>
  <si>
    <t>Total Rev</t>
  </si>
  <si>
    <t>ASP/256M equiv</t>
  </si>
  <si>
    <t xml:space="preserve">dq forecast </t>
  </si>
  <si>
    <t>2q02</t>
  </si>
  <si>
    <t>Demand Side</t>
  </si>
  <si>
    <t>Linear Approx Demand Curve</t>
  </si>
  <si>
    <t xml:space="preserve">constant </t>
  </si>
  <si>
    <t>slope</t>
  </si>
  <si>
    <t>Q=a -b P</t>
  </si>
  <si>
    <t>assumed price elasticity at forecast point</t>
  </si>
  <si>
    <t>Cost Side</t>
  </si>
  <si>
    <t>Industry capacity profile in monthly K 8" equiv wafer starts</t>
  </si>
  <si>
    <t>baseline mil units produced</t>
  </si>
  <si>
    <t>avg yielded die/wafer@probe</t>
  </si>
  <si>
    <t>a&amp;t yield</t>
  </si>
  <si>
    <t>var fab cost/wafer (incl overhead)</t>
  </si>
  <si>
    <t>var A&amp;T cost/yielded die (incl ovhd)</t>
  </si>
  <si>
    <t>cap cost ($/start/yr,incl ovhd)</t>
  </si>
  <si>
    <t>baseline P predicted</t>
  </si>
  <si>
    <t>discount factor for announced vs. effective capacity</t>
  </si>
  <si>
    <t>(% forecast DQ units)</t>
  </si>
  <si>
    <t>var profit wafer</t>
  </si>
  <si>
    <t>cap cost/start/5 years</t>
  </si>
  <si>
    <t>undiscounted pofit/wafer</t>
  </si>
  <si>
    <t>var fab cost/wafer</t>
  </si>
  <si>
    <t>vat A&amp;T cost/yielded die</t>
  </si>
  <si>
    <t>overhead SG&amp;A rate</t>
  </si>
  <si>
    <t>excluding ovhd</t>
  </si>
  <si>
    <t>including ovhd</t>
  </si>
  <si>
    <t>(% forecast DQ P)</t>
  </si>
  <si>
    <t>cum over 5 yrs</t>
  </si>
  <si>
    <t>(based on semi fab data base, memory/dram &lt;=.18 linewidth as of 2001)</t>
  </si>
  <si>
    <t>ROI calculation</t>
  </si>
  <si>
    <t>competitive (entrant) case</t>
  </si>
  <si>
    <t>annual K wafer starts</t>
  </si>
  <si>
    <t>effective K wafer starts</t>
  </si>
  <si>
    <t>Cash Flows:</t>
  </si>
  <si>
    <t>K costs</t>
  </si>
  <si>
    <t>K/mo wafer starts fab</t>
  </si>
  <si>
    <t>excluding overhead</t>
  </si>
  <si>
    <t>cap cost ($/start/yr,excl ovhd)</t>
  </si>
  <si>
    <t>mil $</t>
  </si>
  <si>
    <t>prod after fab add</t>
  </si>
  <si>
    <t>price after fab add</t>
  </si>
  <si>
    <t>var costs</t>
  </si>
  <si>
    <t>revs</t>
  </si>
  <si>
    <t>undiscounted profit/wafer</t>
  </si>
  <si>
    <t>net cash flow</t>
  </si>
  <si>
    <t>IRR</t>
  </si>
  <si>
    <t>20K fab cash flow</t>
  </si>
  <si>
    <t>assumed market share:</t>
  </si>
  <si>
    <t>output from existing capacity (mil unit)</t>
  </si>
  <si>
    <t>change in price after new fab</t>
  </si>
  <si>
    <t>from new fab</t>
  </si>
  <si>
    <t>change in cash flow from preexisting fabs</t>
  </si>
  <si>
    <t>net cash flow from old and new fabs</t>
  </si>
  <si>
    <t>Cournot incumbent case</t>
  </si>
  <si>
    <t>index 2001=1</t>
  </si>
  <si>
    <t>256M equiv/chip</t>
  </si>
  <si>
    <t>index 256M eqiv/chip</t>
  </si>
  <si>
    <t>rev shares</t>
  </si>
  <si>
    <t>sum</t>
  </si>
  <si>
    <t>P relatives</t>
  </si>
  <si>
    <t>Laspeyres</t>
  </si>
  <si>
    <t>Paasche</t>
  </si>
  <si>
    <t>Pindex relatives</t>
  </si>
  <si>
    <t>fisher</t>
  </si>
  <si>
    <t>functionality in 2001 $</t>
  </si>
  <si>
    <t>index func/chip</t>
  </si>
  <si>
    <t>functionality in 2001$</t>
  </si>
  <si>
    <t>functionality/chip 2001$</t>
  </si>
  <si>
    <t>func/chip index</t>
  </si>
  <si>
    <t>direct calculation:</t>
  </si>
  <si>
    <t>p|price of functionality 2001$</t>
  </si>
  <si>
    <t>q|functionality 2001$</t>
  </si>
  <si>
    <t xml:space="preserve">       % change</t>
  </si>
  <si>
    <t xml:space="preserve">     % change</t>
  </si>
  <si>
    <t>$/bit index</t>
  </si>
  <si>
    <t>256M/chip</t>
  </si>
  <si>
    <t>P index 2001=1</t>
  </si>
  <si>
    <t>chained P fisher index</t>
  </si>
  <si>
    <t>functionality/chip 2001 $</t>
  </si>
  <si>
    <t>20K fab equivalent</t>
  </si>
  <si>
    <t>vintage</t>
  </si>
  <si>
    <t>Total</t>
  </si>
  <si>
    <t>20K FABs</t>
  </si>
  <si>
    <t>Source: GEM, v4, C scenario</t>
  </si>
  <si>
    <t>Capacity Utilization</t>
  </si>
  <si>
    <t>Effective Wafer Starts/Year (K)</t>
  </si>
  <si>
    <t>Ulitmate yield</t>
  </si>
  <si>
    <t>Die Size</t>
  </si>
  <si>
    <t>Throughput Learning</t>
  </si>
  <si>
    <t>Variable Cost/Wafer</t>
  </si>
  <si>
    <t>Variable Cost/Yielded Die</t>
  </si>
  <si>
    <t>Effective yielded die/wafer</t>
  </si>
  <si>
    <t>new equip/fab</t>
  </si>
  <si>
    <t>$ B</t>
  </si>
  <si>
    <t>node factor</t>
  </si>
  <si>
    <t>$M new equip/K wafer starts capacity</t>
  </si>
  <si>
    <t>$M upgrade 1 equip/fab</t>
  </si>
  <si>
    <t>$M upgrade 1 equip/K wafer starts capacity</t>
  </si>
  <si>
    <t>$M upgrade 2 equip/fab</t>
  </si>
  <si>
    <t>$M upgrade 2 equip/K wafer starts capacity</t>
  </si>
  <si>
    <t>possible upgrade 1 options</t>
  </si>
  <si>
    <t>possible upgrade 2 options</t>
  </si>
  <si>
    <t>possible new build options</t>
  </si>
  <si>
    <t>assume all fabs original vintage in 2001</t>
  </si>
  <si>
    <t>Semico Forecast Data:</t>
  </si>
  <si>
    <t>revenues</t>
  </si>
  <si>
    <t>DRAM qual-adjusted P index</t>
  </si>
  <si>
    <t xml:space="preserve">      Fisher Ideal</t>
  </si>
  <si>
    <t>Moore's law equivalent:</t>
  </si>
  <si>
    <t>18 month</t>
  </si>
  <si>
    <t>CAGR</t>
  </si>
  <si>
    <t>Functionality/chip</t>
  </si>
  <si>
    <t>a</t>
  </si>
  <si>
    <t>b</t>
  </si>
  <si>
    <t>Functionality(Quality)  ($2001)</t>
  </si>
  <si>
    <t>Baseline capacity</t>
  </si>
  <si>
    <t>20K fabs</t>
  </si>
  <si>
    <t>Baseline units produced in Bil</t>
  </si>
  <si>
    <t>total</t>
  </si>
  <si>
    <t>200 mm equivalent:</t>
  </si>
  <si>
    <t>Unyielded Dice/Wafer</t>
  </si>
  <si>
    <t>Functionality produced, in $2001</t>
  </si>
  <si>
    <t>Inverse Demand Curve for Functionality:</t>
  </si>
  <si>
    <t>B</t>
  </si>
  <si>
    <t>P=(Q-a)/-b</t>
  </si>
  <si>
    <t>P/ffunction</t>
  </si>
  <si>
    <t>P/chip</t>
  </si>
  <si>
    <t>var cost/chip</t>
  </si>
  <si>
    <t>Economic capacity</t>
  </si>
  <si>
    <t>Total Economic Capacity</t>
  </si>
  <si>
    <t>RoI Calculations</t>
  </si>
  <si>
    <t>New Fabs</t>
  </si>
  <si>
    <t xml:space="preserve">20K starts/mo additional </t>
  </si>
  <si>
    <t>additional output</t>
  </si>
  <si>
    <t>Total functionality/w extra fab</t>
  </si>
  <si>
    <t>B chips</t>
  </si>
  <si>
    <t>Price/function with extra fab</t>
  </si>
  <si>
    <t>Price/chip with extra fab</t>
  </si>
  <si>
    <t>New Fab RoI</t>
  </si>
  <si>
    <t>Competitive (New Entrant) Case</t>
  </si>
  <si>
    <t>K Cost-bldg</t>
  </si>
  <si>
    <t>K Cost-equip</t>
  </si>
  <si>
    <t>M$</t>
  </si>
  <si>
    <t>Total Variable Costs</t>
  </si>
  <si>
    <t>new bldg capital</t>
  </si>
  <si>
    <t>upgrade bldg cap</t>
  </si>
  <si>
    <t>Delta Revenues</t>
  </si>
  <si>
    <t>Net Cash Flow</t>
  </si>
  <si>
    <t>Upgrade 1, where different</t>
  </si>
  <si>
    <t>Upgrade Calculations</t>
  </si>
  <si>
    <t>Upgrade 1 fab</t>
  </si>
  <si>
    <t>Delta chips with upgraded fab</t>
  </si>
  <si>
    <t>Total functionality/w upgrade fab</t>
  </si>
  <si>
    <t>Price/function with upgrade fab</t>
  </si>
  <si>
    <t>Price/chip with upgrade fab</t>
  </si>
  <si>
    <t>Delta Var Costs</t>
  </si>
  <si>
    <t>Assumed cost A&amp;T/yielded chip</t>
  </si>
  <si>
    <t>Retirement elgible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</si>
</sst>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_-;\-* #,##0.0_-;_-* &quot;-&quot;??_-;_-@_-"/>
    <numFmt numFmtId="165" formatCode="_-* #,##0_-;\-* #,##0_-;_-* &quot;-&quot;_-;_-@_-"/>
    <numFmt numFmtId="166" formatCode="_-* #,##0.00_-;\-* #,##0.00_-;_-* &quot;-&quot;??_-;_-@_-"/>
    <numFmt numFmtId="167" formatCode="0.0%"/>
    <numFmt numFmtId="169" formatCode="0.0"/>
  </numFmts>
  <fonts count="7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 Narrow"/>
      <family val="2"/>
    </font>
    <font>
      <b/>
      <sz val="8"/>
      <color indexed="9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164" fontId="1" fillId="2" borderId="0" xfId="0" applyNumberFormat="1" applyFont="1" applyFill="1" applyBorder="1"/>
    <xf numFmtId="165" fontId="1" fillId="2" borderId="0" xfId="0" applyNumberFormat="1" applyFont="1" applyFill="1" applyBorder="1"/>
    <xf numFmtId="0" fontId="1" fillId="2" borderId="0" xfId="0" applyFont="1" applyFill="1" applyBorder="1"/>
    <xf numFmtId="166" fontId="1" fillId="2" borderId="0" xfId="0" applyNumberFormat="1" applyFont="1" applyFill="1" applyBorder="1"/>
    <xf numFmtId="43" fontId="0" fillId="0" borderId="0" xfId="0" applyNumberFormat="1"/>
    <xf numFmtId="0" fontId="3" fillId="0" borderId="0" xfId="0" applyFont="1"/>
    <xf numFmtId="2" fontId="1" fillId="2" borderId="0" xfId="0" applyNumberFormat="1" applyFont="1" applyFill="1" applyBorder="1"/>
    <xf numFmtId="2" fontId="0" fillId="0" borderId="0" xfId="0" applyNumberFormat="1"/>
    <xf numFmtId="1" fontId="0" fillId="0" borderId="0" xfId="0" applyNumberFormat="1"/>
    <xf numFmtId="2" fontId="3" fillId="0" borderId="0" xfId="0" applyNumberFormat="1" applyFont="1"/>
    <xf numFmtId="9" fontId="0" fillId="0" borderId="0" xfId="0" applyNumberFormat="1"/>
    <xf numFmtId="167" fontId="0" fillId="0" borderId="0" xfId="0" applyNumberFormat="1"/>
    <xf numFmtId="43" fontId="4" fillId="0" borderId="0" xfId="0" applyNumberFormat="1" applyFont="1"/>
    <xf numFmtId="2" fontId="1" fillId="3" borderId="0" xfId="0" applyNumberFormat="1" applyFont="1" applyFill="1" applyBorder="1"/>
    <xf numFmtId="2" fontId="0" fillId="3" borderId="0" xfId="0" applyNumberFormat="1" applyFill="1"/>
    <xf numFmtId="0" fontId="1" fillId="4" borderId="0" xfId="0" applyFont="1" applyFill="1" applyBorder="1"/>
    <xf numFmtId="0" fontId="0" fillId="4" borderId="0" xfId="0" applyFill="1"/>
    <xf numFmtId="0" fontId="0" fillId="5" borderId="0" xfId="0" applyFill="1"/>
    <xf numFmtId="0" fontId="1" fillId="5" borderId="0" xfId="0" applyFont="1" applyFill="1" applyBorder="1"/>
    <xf numFmtId="2" fontId="1" fillId="0" borderId="0" xfId="0" applyNumberFormat="1" applyFont="1" applyFill="1" applyBorder="1"/>
    <xf numFmtId="2" fontId="0" fillId="0" borderId="0" xfId="0" applyNumberFormat="1" applyFill="1"/>
    <xf numFmtId="0" fontId="5" fillId="0" borderId="0" xfId="0" applyFont="1"/>
    <xf numFmtId="169" fontId="0" fillId="0" borderId="0" xfId="0" applyNumberFormat="1"/>
    <xf numFmtId="0" fontId="6" fillId="6" borderId="0" xfId="0" applyFont="1" applyFill="1"/>
    <xf numFmtId="0" fontId="5" fillId="6" borderId="0" xfId="0" applyFont="1" applyFill="1"/>
    <xf numFmtId="1" fontId="5" fillId="0" borderId="0" xfId="0" applyNumberFormat="1" applyFont="1"/>
    <xf numFmtId="0" fontId="0" fillId="7" borderId="0" xfId="0" applyFill="1"/>
    <xf numFmtId="1" fontId="1" fillId="8" borderId="0" xfId="0" applyNumberFormat="1" applyFont="1" applyFill="1" applyAlignment="1">
      <alignment horizontal="right"/>
    </xf>
    <xf numFmtId="1" fontId="1" fillId="5" borderId="0" xfId="0" applyNumberFormat="1" applyFont="1" applyFill="1" applyAlignment="1">
      <alignment horizontal="right"/>
    </xf>
    <xf numFmtId="0" fontId="0" fillId="9" borderId="0" xfId="0" applyFill="1"/>
    <xf numFmtId="0" fontId="5" fillId="2" borderId="2" xfId="0" applyFont="1" applyFill="1" applyBorder="1" applyAlignment="1">
      <alignment horizontal="right"/>
    </xf>
    <xf numFmtId="2" fontId="5" fillId="0" borderId="0" xfId="0" applyNumberFormat="1" applyFont="1"/>
    <xf numFmtId="167" fontId="5" fillId="0" borderId="0" xfId="0" applyNumberFormat="1" applyFont="1"/>
    <xf numFmtId="169" fontId="5" fillId="0" borderId="0" xfId="0" applyNumberFormat="1" applyFont="1"/>
    <xf numFmtId="169" fontId="5" fillId="5" borderId="0" xfId="0" applyNumberFormat="1" applyFont="1" applyFill="1"/>
    <xf numFmtId="0" fontId="5" fillId="2" borderId="0" xfId="0" applyFont="1" applyFill="1" applyBorder="1" applyAlignment="1">
      <alignment horizontal="right"/>
    </xf>
    <xf numFmtId="0" fontId="5" fillId="10" borderId="0" xfId="0" applyFont="1" applyFill="1"/>
    <xf numFmtId="9" fontId="5" fillId="10" borderId="0" xfId="0" applyNumberFormat="1" applyFont="1" applyFill="1"/>
    <xf numFmtId="2" fontId="5" fillId="8" borderId="0" xfId="0" applyNumberFormat="1" applyFont="1" applyFill="1" applyAlignment="1">
      <alignment horizontal="right"/>
    </xf>
    <xf numFmtId="2" fontId="5" fillId="2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A2" sqref="A2"/>
    </sheetView>
  </sheetViews>
  <sheetFormatPr defaultRowHeight="13.2" x14ac:dyDescent="0.25"/>
  <sheetData>
    <row r="1" spans="1:10" x14ac:dyDescent="0.25"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</row>
    <row r="2" spans="1:10" x14ac:dyDescent="0.25">
      <c r="A2" s="9" t="s">
        <v>18</v>
      </c>
    </row>
    <row r="3" spans="1:10" x14ac:dyDescent="0.25">
      <c r="A3" t="s">
        <v>19</v>
      </c>
      <c r="F3" t="s">
        <v>39</v>
      </c>
    </row>
    <row r="4" spans="1:10" x14ac:dyDescent="0.25">
      <c r="C4">
        <v>1000</v>
      </c>
      <c r="D4">
        <v>1000</v>
      </c>
      <c r="E4">
        <v>1000</v>
      </c>
      <c r="F4">
        <v>1000</v>
      </c>
      <c r="G4">
        <v>1000</v>
      </c>
      <c r="H4">
        <v>1000</v>
      </c>
    </row>
    <row r="5" spans="1:10" x14ac:dyDescent="0.25">
      <c r="A5" t="s">
        <v>90</v>
      </c>
      <c r="C5">
        <f t="shared" ref="C5:H5" si="0">+C4/20</f>
        <v>50</v>
      </c>
      <c r="D5">
        <f t="shared" si="0"/>
        <v>50</v>
      </c>
      <c r="E5">
        <f t="shared" si="0"/>
        <v>50</v>
      </c>
      <c r="F5">
        <f t="shared" si="0"/>
        <v>50</v>
      </c>
      <c r="G5">
        <f t="shared" si="0"/>
        <v>50</v>
      </c>
      <c r="H5">
        <f t="shared" si="0"/>
        <v>50</v>
      </c>
    </row>
    <row r="6" spans="1:10" x14ac:dyDescent="0.25">
      <c r="A6" t="s">
        <v>42</v>
      </c>
      <c r="C6">
        <f t="shared" ref="C6:H6" si="1">12*C4</f>
        <v>12000</v>
      </c>
      <c r="D6">
        <f t="shared" si="1"/>
        <v>12000</v>
      </c>
      <c r="E6">
        <f t="shared" si="1"/>
        <v>12000</v>
      </c>
      <c r="F6">
        <f t="shared" si="1"/>
        <v>12000</v>
      </c>
      <c r="G6">
        <f t="shared" si="1"/>
        <v>12000</v>
      </c>
      <c r="H6">
        <f t="shared" si="1"/>
        <v>12000</v>
      </c>
    </row>
    <row r="7" spans="1:10" x14ac:dyDescent="0.25">
      <c r="A7" t="s">
        <v>27</v>
      </c>
      <c r="F7">
        <v>0.6</v>
      </c>
      <c r="J7">
        <f>20*30*12</f>
        <v>7200</v>
      </c>
    </row>
    <row r="8" spans="1:10" x14ac:dyDescent="0.25">
      <c r="A8" t="s">
        <v>43</v>
      </c>
      <c r="C8">
        <f t="shared" ref="C8:H8" si="2">+$F$7*C6</f>
        <v>7200</v>
      </c>
      <c r="D8">
        <f t="shared" si="2"/>
        <v>7200</v>
      </c>
      <c r="E8">
        <f t="shared" si="2"/>
        <v>7200</v>
      </c>
      <c r="F8">
        <f t="shared" si="2"/>
        <v>7200</v>
      </c>
      <c r="G8">
        <f t="shared" si="2"/>
        <v>7200</v>
      </c>
      <c r="H8">
        <f t="shared" si="2"/>
        <v>7200</v>
      </c>
    </row>
    <row r="9" spans="1:10" x14ac:dyDescent="0.25">
      <c r="A9" t="s">
        <v>21</v>
      </c>
      <c r="D9" s="11">
        <v>350</v>
      </c>
      <c r="E9" s="11">
        <v>798.09807709160475</v>
      </c>
      <c r="F9" s="11">
        <v>965.7852692247792</v>
      </c>
      <c r="G9" s="11">
        <v>1069.247038850727</v>
      </c>
      <c r="H9" s="11">
        <v>1143.2472136009148</v>
      </c>
    </row>
    <row r="10" spans="1:10" x14ac:dyDescent="0.25">
      <c r="A10" t="s">
        <v>22</v>
      </c>
      <c r="D10" s="11">
        <v>0.9</v>
      </c>
      <c r="E10" s="11">
        <v>0.9</v>
      </c>
      <c r="F10" s="11">
        <v>0.9</v>
      </c>
      <c r="G10" s="11">
        <v>0.9</v>
      </c>
      <c r="H10" s="11">
        <v>0.9</v>
      </c>
    </row>
    <row r="11" spans="1:10" s="11" customFormat="1" x14ac:dyDescent="0.25">
      <c r="A11" s="11" t="s">
        <v>20</v>
      </c>
      <c r="D11" s="11">
        <f>+D8*D9*D10/1000</f>
        <v>2268</v>
      </c>
      <c r="E11" s="11">
        <f>+E8*E9*E10/1000</f>
        <v>5171.6755395535993</v>
      </c>
      <c r="F11" s="11">
        <f>+F8*F9*F10/1000</f>
        <v>6258.2885445765687</v>
      </c>
      <c r="G11" s="11">
        <f>+G8*G9*G10/1000</f>
        <v>6928.7208117527116</v>
      </c>
      <c r="H11" s="11">
        <f>+H8*H9*H10/1000</f>
        <v>7408.241944133928</v>
      </c>
    </row>
    <row r="12" spans="1:10" s="11" customFormat="1" x14ac:dyDescent="0.25">
      <c r="A12" s="11" t="s">
        <v>28</v>
      </c>
      <c r="D12" s="11">
        <f>+D11/fisher!D10</f>
        <v>0.93711689458963743</v>
      </c>
      <c r="E12" s="11">
        <f>+E11/fisher!E10</f>
        <v>1.3712277293730328</v>
      </c>
      <c r="F12" s="11">
        <f>+F11/fisher!F10</f>
        <v>1.1763287340574218</v>
      </c>
      <c r="G12" s="11">
        <f>+G11/fisher!G10</f>
        <v>0.88835884242303143</v>
      </c>
      <c r="H12" s="11">
        <f>+H11/fisher!H10</f>
        <v>0.63540609740358955</v>
      </c>
    </row>
    <row r="13" spans="1:10" s="11" customFormat="1" x14ac:dyDescent="0.25">
      <c r="A13" s="11" t="s">
        <v>26</v>
      </c>
      <c r="D13" s="11">
        <f>+(D11-fisher!D49)/-fisher!D50</f>
        <v>8.7409398377413492</v>
      </c>
      <c r="E13" s="11">
        <f>+(E11-fisher!E49)/-fisher!E50</f>
        <v>6.6851812370437198</v>
      </c>
      <c r="F13" s="11">
        <f>+(F11-fisher!F49)/-fisher!F50</f>
        <v>6.8183489464832299</v>
      </c>
      <c r="G13" s="11">
        <f>+(G11-fisher!G49)/-fisher!G50</f>
        <v>2.9764472807576969</v>
      </c>
      <c r="H13" s="11">
        <f>+(H11-fisher!H49)/-fisher!H50</f>
        <v>1.7008001662641692</v>
      </c>
    </row>
    <row r="14" spans="1:10" s="11" customFormat="1" x14ac:dyDescent="0.25">
      <c r="A14" s="11" t="s">
        <v>37</v>
      </c>
      <c r="D14" s="11">
        <f>+D13/fisher!D21</f>
        <v>1.0419220702735752</v>
      </c>
      <c r="E14" s="11">
        <f>+E13/fisher!E21</f>
        <v>0.752514847084645</v>
      </c>
      <c r="F14" s="11">
        <f>+F13/fisher!F21</f>
        <v>0.88244751062838533</v>
      </c>
      <c r="G14" s="11">
        <f>+G13/fisher!G21</f>
        <v>1.0744274383846455</v>
      </c>
      <c r="H14" s="11">
        <f>+H13/fisher!H21</f>
        <v>1.2430626017309403</v>
      </c>
    </row>
    <row r="15" spans="1:10" x14ac:dyDescent="0.25">
      <c r="A15" s="11" t="s">
        <v>34</v>
      </c>
      <c r="C15">
        <v>0.36</v>
      </c>
      <c r="D15" t="s">
        <v>32</v>
      </c>
      <c r="E15" s="12">
        <v>964.7058823529411</v>
      </c>
      <c r="F15" t="s">
        <v>33</v>
      </c>
      <c r="H15">
        <v>1</v>
      </c>
    </row>
    <row r="16" spans="1:10" x14ac:dyDescent="0.25">
      <c r="A16" t="s">
        <v>23</v>
      </c>
      <c r="D16">
        <f>+(1+$C$15)*$E$15</f>
        <v>1311.9999999999998</v>
      </c>
      <c r="E16">
        <f>+(1+$C$15)*$E$15</f>
        <v>1311.9999999999998</v>
      </c>
      <c r="F16">
        <f>+(1+$C$15)*$E$15</f>
        <v>1311.9999999999998</v>
      </c>
      <c r="G16">
        <f>+(1+$C$15)*$E$15</f>
        <v>1311.9999999999998</v>
      </c>
      <c r="H16">
        <f>+(1+$C$15)*$E$15</f>
        <v>1311.9999999999998</v>
      </c>
    </row>
    <row r="17" spans="1:10" x14ac:dyDescent="0.25">
      <c r="A17" t="s">
        <v>24</v>
      </c>
      <c r="D17" s="11">
        <f>+(1+$C$15)*$H$15</f>
        <v>1.3599999999999999</v>
      </c>
      <c r="E17" s="11">
        <f>+(1+$C$15)*$H$15</f>
        <v>1.3599999999999999</v>
      </c>
      <c r="F17" s="11">
        <f>+(1+$C$15)*$H$15</f>
        <v>1.3599999999999999</v>
      </c>
      <c r="G17" s="11">
        <f>+(1+$C$15)*$H$15</f>
        <v>1.3599999999999999</v>
      </c>
      <c r="H17" s="11">
        <f>+(1+$C$15)*$H$15</f>
        <v>1.3599999999999999</v>
      </c>
    </row>
    <row r="18" spans="1:10" x14ac:dyDescent="0.25">
      <c r="A18" t="s">
        <v>25</v>
      </c>
      <c r="D18" s="11">
        <f>+D19*(1+$C$15)</f>
        <v>7299.119999999999</v>
      </c>
    </row>
    <row r="19" spans="1:10" x14ac:dyDescent="0.25">
      <c r="A19" t="s">
        <v>48</v>
      </c>
      <c r="D19" s="11">
        <v>5367</v>
      </c>
    </row>
    <row r="20" spans="1:10" x14ac:dyDescent="0.25">
      <c r="B20" s="9" t="s">
        <v>36</v>
      </c>
    </row>
    <row r="21" spans="1:10" s="11" customFormat="1" x14ac:dyDescent="0.25">
      <c r="A21" s="11" t="s">
        <v>29</v>
      </c>
      <c r="D21" s="11">
        <f>+D31*D9*D10-D16-(D9)*D17</f>
        <v>910.36412432173142</v>
      </c>
      <c r="E21" s="11">
        <f>+E13*E9*E10-E16-(E9)*E17</f>
        <v>2404.473876419539</v>
      </c>
      <c r="F21" s="11">
        <f>+F13*F9*F10-F16-(F9)*F17</f>
        <v>3301.0869095073167</v>
      </c>
      <c r="G21" s="11">
        <f>+G13*G9*G10-G16-(G9)*G17</f>
        <v>98.125724283930595</v>
      </c>
      <c r="H21" s="11">
        <f>+H13*H9*H10-H16-(H9)*H17</f>
        <v>-1116.8246646211082</v>
      </c>
    </row>
    <row r="22" spans="1:10" s="11" customFormat="1" x14ac:dyDescent="0.25">
      <c r="A22" s="11" t="s">
        <v>30</v>
      </c>
      <c r="D22" s="11">
        <f>+$D$18/5</f>
        <v>1459.8239999999998</v>
      </c>
      <c r="E22" s="11">
        <f>+$D$18/5</f>
        <v>1459.8239999999998</v>
      </c>
      <c r="F22" s="11">
        <f>+$D$18/5</f>
        <v>1459.8239999999998</v>
      </c>
      <c r="G22" s="11">
        <f>+$D$18/5</f>
        <v>1459.8239999999998</v>
      </c>
      <c r="H22" s="11">
        <f>+$D$18/380</f>
        <v>19.208210526315789</v>
      </c>
      <c r="I22" s="11" t="s">
        <v>38</v>
      </c>
    </row>
    <row r="23" spans="1:10" s="11" customFormat="1" x14ac:dyDescent="0.25">
      <c r="A23" s="11" t="s">
        <v>54</v>
      </c>
      <c r="D23" s="12">
        <f>+D21-D22</f>
        <v>-549.45987567826842</v>
      </c>
      <c r="E23" s="12">
        <f>+E21-E22</f>
        <v>944.64987641953917</v>
      </c>
      <c r="F23" s="12">
        <f>+F21-F22</f>
        <v>1841.2629095073169</v>
      </c>
      <c r="G23" s="12">
        <f>+G21-G22</f>
        <v>-1361.6982757160692</v>
      </c>
      <c r="H23" s="12">
        <f>+H21-H22</f>
        <v>-1136.032875147424</v>
      </c>
      <c r="I23" s="12">
        <f>+SUM(D23:H23)</f>
        <v>-261.2782406149056</v>
      </c>
    </row>
    <row r="24" spans="1:10" x14ac:dyDescent="0.25">
      <c r="B24" s="9" t="s">
        <v>35</v>
      </c>
    </row>
    <row r="25" spans="1:10" s="11" customFormat="1" x14ac:dyDescent="0.25">
      <c r="A25" s="11" t="s">
        <v>29</v>
      </c>
      <c r="D25" s="11">
        <f>+D13*D9*D10-D16/(1+$C$15)-(D9)*D17/(1+$C$15)</f>
        <v>1438.690166535584</v>
      </c>
      <c r="E25" s="11">
        <f>+E13*E9*E10-E16/(1+$C$15)-(E9)*E17/(1+$C$15)</f>
        <v>3039.0833018195758</v>
      </c>
      <c r="F25" s="11">
        <f>+F13*F9*F10-F16/(1+$C$15)-(F9)*F17/(1+$C$15)</f>
        <v>3996.0637240752953</v>
      </c>
      <c r="G25" s="11">
        <f>+G13*G9*G10-G16/(1+$C$15)-(G9)*G17/(1+$C$15)</f>
        <v>830.34877591725103</v>
      </c>
      <c r="H25" s="11">
        <f>+H13*H9*H10-H16/(1+$C$15)-(H9)*H17/(1+$C$15)</f>
        <v>-357.96155007772029</v>
      </c>
    </row>
    <row r="26" spans="1:10" x14ac:dyDescent="0.25">
      <c r="A26" t="s">
        <v>30</v>
      </c>
      <c r="D26">
        <f>+$D$18/(5*(1+$C$15))</f>
        <v>1073.4000000000001</v>
      </c>
      <c r="E26">
        <f>+$D$18/(5*(1+$C$15))</f>
        <v>1073.4000000000001</v>
      </c>
      <c r="F26">
        <f>+$D$18/(5*(1+$C$15))</f>
        <v>1073.4000000000001</v>
      </c>
      <c r="G26">
        <f>+$D$18/(5*(1+$C$15))</f>
        <v>1073.4000000000001</v>
      </c>
      <c r="H26">
        <f>+$D$18/(5*(1+$C$15))</f>
        <v>1073.4000000000001</v>
      </c>
      <c r="I26" t="s">
        <v>38</v>
      </c>
    </row>
    <row r="27" spans="1:10" s="11" customFormat="1" x14ac:dyDescent="0.25">
      <c r="A27" s="11" t="s">
        <v>31</v>
      </c>
      <c r="D27" s="11">
        <f>+D25-D26</f>
        <v>365.29016653558392</v>
      </c>
      <c r="E27" s="11">
        <f>+E25-E26</f>
        <v>1965.6833018195757</v>
      </c>
      <c r="F27" s="11">
        <f>+F25-F26</f>
        <v>2922.6637240752952</v>
      </c>
      <c r="G27" s="11">
        <f>+G25-G26</f>
        <v>-243.05122408274906</v>
      </c>
      <c r="H27" s="11">
        <f>+H25-H26</f>
        <v>-1431.3615500777205</v>
      </c>
      <c r="I27" s="11">
        <f>+SUM(D27:H27)</f>
        <v>3579.2244182699851</v>
      </c>
    </row>
    <row r="28" spans="1:10" s="12" customFormat="1" x14ac:dyDescent="0.25">
      <c r="D28" s="12">
        <f>20*12*D25/1000</f>
        <v>345.28563996854018</v>
      </c>
      <c r="E28" s="12">
        <f>20*12*E25/1000</f>
        <v>729.37999243669822</v>
      </c>
      <c r="F28" s="12">
        <f>20*12*F25/1000</f>
        <v>959.05529377807079</v>
      </c>
      <c r="G28" s="12">
        <f>20*12*G25/1000</f>
        <v>199.28370622014023</v>
      </c>
      <c r="H28" s="12">
        <f>20*12*H25/1000</f>
        <v>-85.910772018652878</v>
      </c>
      <c r="I28" s="12" t="s">
        <v>57</v>
      </c>
    </row>
    <row r="29" spans="1:10" x14ac:dyDescent="0.25">
      <c r="A29" s="9" t="s">
        <v>40</v>
      </c>
      <c r="C29">
        <v>20</v>
      </c>
      <c r="D29" t="s">
        <v>46</v>
      </c>
    </row>
    <row r="30" spans="1:10" s="11" customFormat="1" x14ac:dyDescent="0.25">
      <c r="A30" s="13" t="s">
        <v>50</v>
      </c>
      <c r="D30" s="11">
        <f>+D11+$C$29*1000*12*D9*D10/1000000</f>
        <v>2343.6</v>
      </c>
      <c r="E30" s="11">
        <f>+E11+$C$29*1000*12*E9*E10/1000000</f>
        <v>5344.0647242053856</v>
      </c>
      <c r="F30" s="11">
        <f>+F11+$C$29*1000*12*F9*F10/1000000</f>
        <v>6466.8981627291214</v>
      </c>
      <c r="G30" s="11">
        <f>+G11+$C$29*1000*12*G9*G10/1000000</f>
        <v>7159.6781721444686</v>
      </c>
      <c r="H30" s="11">
        <f>+H11+$C$29*1000*12*H9*H10/1000000</f>
        <v>7655.1833422717255</v>
      </c>
      <c r="J30" s="11">
        <f>+$C$29*12/C8</f>
        <v>3.3333333333333333E-2</v>
      </c>
    </row>
    <row r="31" spans="1:10" x14ac:dyDescent="0.25">
      <c r="A31" s="9" t="s">
        <v>51</v>
      </c>
      <c r="D31" s="11">
        <f>+(D30-fisher!D49)/-fisher!D50</f>
        <v>8.5662353153070825</v>
      </c>
      <c r="E31" s="11">
        <f>+(E30-fisher!E49)/-fisher!E50</f>
        <v>6.4144769173546541</v>
      </c>
      <c r="F31" s="11">
        <f>+(F30-fisher!F49)/-fisher!F50</f>
        <v>6.6163697997734925</v>
      </c>
      <c r="G31" s="11">
        <f>+(G30-fisher!G49)/-fisher!G50</f>
        <v>2.9217586538170601</v>
      </c>
      <c r="H31" s="11">
        <f>+(H30-fisher!H49)/-fisher!H50</f>
        <v>1.681480520762014</v>
      </c>
    </row>
    <row r="32" spans="1:10" x14ac:dyDescent="0.25">
      <c r="A32" s="9"/>
    </row>
    <row r="33" spans="1:8" x14ac:dyDescent="0.25">
      <c r="A33" s="9"/>
    </row>
    <row r="34" spans="1:8" x14ac:dyDescent="0.25">
      <c r="B34" s="9" t="s">
        <v>41</v>
      </c>
      <c r="E34" t="s">
        <v>47</v>
      </c>
    </row>
    <row r="35" spans="1:8" x14ac:dyDescent="0.25">
      <c r="A35" t="s">
        <v>44</v>
      </c>
      <c r="C35" t="s">
        <v>49</v>
      </c>
    </row>
    <row r="36" spans="1:8" s="12" customFormat="1" x14ac:dyDescent="0.25">
      <c r="A36" s="12" t="s">
        <v>45</v>
      </c>
      <c r="C36" s="12">
        <f>-+D19*12*C29/1000</f>
        <v>-1288.08</v>
      </c>
    </row>
    <row r="37" spans="1:8" s="12" customFormat="1" x14ac:dyDescent="0.25">
      <c r="A37" s="12" t="s">
        <v>52</v>
      </c>
      <c r="D37" s="12">
        <f>-($C$29*12*D16/(1+$C$15))/1000-($C$29*12*D9*D17/(1+$C$15))/1000</f>
        <v>-315.52941176470586</v>
      </c>
      <c r="E37" s="12">
        <f>-($C$29*12*E16/(1+$C$15))/1000-($C$29*12*E9*E17/(1+$C$15))/1000</f>
        <v>-423.07295026669101</v>
      </c>
      <c r="F37" s="12">
        <f>-($C$29*12*F16/(1+$C$15))/1000-($C$29*12*F9*F17/(1+$C$15))/1000</f>
        <v>-463.31787637865284</v>
      </c>
      <c r="G37" s="12">
        <f>-($C$29*12*G16/(1+$C$15))/1000-($C$29*12*G9*G17/(1+$C$15))/1000</f>
        <v>-488.14870108888044</v>
      </c>
      <c r="H37" s="12">
        <f>-($C$29*12*H16/(1+$C$15))/1000-($C$29*12*H9*H17/(1+$C$15))/1000</f>
        <v>-505.90874302892541</v>
      </c>
    </row>
    <row r="38" spans="1:8" s="12" customFormat="1" x14ac:dyDescent="0.25">
      <c r="A38" s="12" t="s">
        <v>53</v>
      </c>
      <c r="D38" s="12">
        <f>+D31*$C$29*12*D9*D10/1000</f>
        <v>647.60738983721535</v>
      </c>
      <c r="E38" s="12">
        <f>+E31*$C$29*12*E9*E10/1000</f>
        <v>1105.7864457504745</v>
      </c>
      <c r="F38" s="12">
        <f>+F31*$C$29*12*F9*F10/1000</f>
        <v>1380.2383774868274</v>
      </c>
      <c r="G38" s="12">
        <f>+G31*$C$29*12*G9*G10/1000</f>
        <v>674.80166638736171</v>
      </c>
      <c r="H38" s="12">
        <f>+H31*$C$29*12*H9*H10/1000</f>
        <v>415.2271507384437</v>
      </c>
    </row>
    <row r="39" spans="1:8" s="12" customFormat="1" x14ac:dyDescent="0.25">
      <c r="A39" s="12" t="s">
        <v>55</v>
      </c>
      <c r="C39" s="12">
        <f t="shared" ref="C39:H39" si="3">+C36+C37+C38</f>
        <v>-1288.08</v>
      </c>
      <c r="D39" s="12">
        <f t="shared" si="3"/>
        <v>332.0779780725095</v>
      </c>
      <c r="E39" s="12">
        <f t="shared" si="3"/>
        <v>682.7134954837835</v>
      </c>
      <c r="F39" s="12">
        <f t="shared" si="3"/>
        <v>916.92050110817456</v>
      </c>
      <c r="G39" s="12">
        <f t="shared" si="3"/>
        <v>186.65296529848126</v>
      </c>
      <c r="H39" s="12">
        <f t="shared" si="3"/>
        <v>-90.681592290481717</v>
      </c>
    </row>
    <row r="40" spans="1:8" x14ac:dyDescent="0.25">
      <c r="A40" s="12" t="s">
        <v>61</v>
      </c>
    </row>
    <row r="41" spans="1:8" x14ac:dyDescent="0.25">
      <c r="A41" t="s">
        <v>56</v>
      </c>
      <c r="B41" s="15">
        <f>+IRR(C39:H39,0.15)</f>
        <v>0.21934761798356317</v>
      </c>
    </row>
    <row r="43" spans="1:8" x14ac:dyDescent="0.25">
      <c r="B43" s="9" t="s">
        <v>64</v>
      </c>
    </row>
    <row r="44" spans="1:8" x14ac:dyDescent="0.25">
      <c r="A44" t="s">
        <v>58</v>
      </c>
      <c r="D44" s="15">
        <v>0.15</v>
      </c>
    </row>
    <row r="46" spans="1:8" x14ac:dyDescent="0.25">
      <c r="A46" t="s">
        <v>59</v>
      </c>
      <c r="D46">
        <f>+$D$44*D11</f>
        <v>340.2</v>
      </c>
      <c r="E46">
        <f>+$D$44*E11</f>
        <v>775.75133093303987</v>
      </c>
      <c r="F46">
        <f>+$D$44*F11</f>
        <v>938.74328168648526</v>
      </c>
      <c r="G46">
        <f>+$D$44*G11</f>
        <v>1039.3081217629067</v>
      </c>
      <c r="H46">
        <f>+$D$44*H11</f>
        <v>1111.2362916200891</v>
      </c>
    </row>
    <row r="47" spans="1:8" x14ac:dyDescent="0.25">
      <c r="A47" t="s">
        <v>60</v>
      </c>
      <c r="D47" s="11">
        <f>+D31-D13</f>
        <v>-0.17470452243426671</v>
      </c>
      <c r="E47" s="11">
        <f>+E31-E13</f>
        <v>-0.27070431968906572</v>
      </c>
      <c r="F47" s="11">
        <f>+F31-F13</f>
        <v>-0.20197914670973738</v>
      </c>
      <c r="G47" s="11">
        <f>+G31-G13</f>
        <v>-5.4688626940636809E-2</v>
      </c>
      <c r="H47" s="11">
        <f>+H31-H13</f>
        <v>-1.9319645502155147E-2</v>
      </c>
    </row>
    <row r="48" spans="1:8" x14ac:dyDescent="0.25">
      <c r="A48" t="s">
        <v>62</v>
      </c>
      <c r="D48" s="11">
        <f>+D47*D46</f>
        <v>-59.434478532137533</v>
      </c>
      <c r="E48" s="11">
        <f>+E47*E46</f>
        <v>-209.99923628811584</v>
      </c>
      <c r="F48" s="11">
        <f>+F47*F46</f>
        <v>-189.60656701453493</v>
      </c>
      <c r="G48" s="11">
        <f>+G47*G46</f>
        <v>-56.838334147465538</v>
      </c>
      <c r="H48" s="11">
        <f>+H47*H46</f>
        <v>-21.468691223229619</v>
      </c>
    </row>
    <row r="50" spans="1:8" x14ac:dyDescent="0.25">
      <c r="A50" t="s">
        <v>63</v>
      </c>
    </row>
    <row r="51" spans="1:8" x14ac:dyDescent="0.25">
      <c r="C51" s="12">
        <f t="shared" ref="C51:H51" si="4">+C39+C48</f>
        <v>-1288.08</v>
      </c>
      <c r="D51" s="12">
        <f t="shared" si="4"/>
        <v>272.64349954037198</v>
      </c>
      <c r="E51" s="12">
        <f t="shared" si="4"/>
        <v>472.71425919566764</v>
      </c>
      <c r="F51" s="12">
        <f t="shared" si="4"/>
        <v>727.31393409363966</v>
      </c>
      <c r="G51" s="12">
        <f t="shared" si="4"/>
        <v>129.81463115101573</v>
      </c>
      <c r="H51" s="12">
        <f t="shared" si="4"/>
        <v>-112.15028351371134</v>
      </c>
    </row>
    <row r="52" spans="1:8" x14ac:dyDescent="0.25">
      <c r="A52" t="s">
        <v>56</v>
      </c>
      <c r="B52" s="14">
        <f>+IRR(C51:H51,0.15)</f>
        <v>6.7164525066773395E-2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3.2" x14ac:dyDescent="0.25"/>
  <sheetData>
    <row r="1" spans="1:12" x14ac:dyDescent="0.25">
      <c r="D1" s="2">
        <v>2001</v>
      </c>
      <c r="E1" s="2">
        <v>2002</v>
      </c>
      <c r="F1" s="2">
        <v>2003</v>
      </c>
      <c r="G1" s="2">
        <v>2004</v>
      </c>
      <c r="H1" s="2">
        <v>2005</v>
      </c>
      <c r="I1" s="2">
        <v>2006</v>
      </c>
    </row>
    <row r="2" spans="1:12" x14ac:dyDescent="0.25">
      <c r="A2" s="9" t="s">
        <v>18</v>
      </c>
    </row>
    <row r="3" spans="1:12" x14ac:dyDescent="0.25">
      <c r="A3" s="9"/>
      <c r="B3" t="s">
        <v>93</v>
      </c>
    </row>
    <row r="4" spans="1:12" x14ac:dyDescent="0.25">
      <c r="A4" s="25" t="s">
        <v>91</v>
      </c>
      <c r="B4" s="25"/>
      <c r="C4" s="25"/>
      <c r="D4" s="25"/>
      <c r="E4" s="25"/>
      <c r="F4" s="25"/>
    </row>
    <row r="5" spans="1:12" x14ac:dyDescent="0.25">
      <c r="A5" s="25">
        <v>0.25</v>
      </c>
      <c r="B5" s="25">
        <v>200</v>
      </c>
      <c r="C5" s="25"/>
      <c r="D5" s="25">
        <v>9.9614689515043331</v>
      </c>
      <c r="E5" s="25">
        <v>9.9614689515043331</v>
      </c>
      <c r="F5" s="25">
        <v>9.9614689515043331</v>
      </c>
      <c r="G5" s="25">
        <v>9.9614689515043331</v>
      </c>
      <c r="H5" s="25">
        <v>9.9614689515043331</v>
      </c>
      <c r="I5" s="25">
        <v>9.9614689515043331</v>
      </c>
      <c r="L5" t="s">
        <v>94</v>
      </c>
    </row>
    <row r="6" spans="1:12" x14ac:dyDescent="0.25">
      <c r="A6" s="25">
        <v>0.25</v>
      </c>
      <c r="B6" s="25">
        <v>300</v>
      </c>
      <c r="C6" s="25"/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</row>
    <row r="7" spans="1:12" x14ac:dyDescent="0.25">
      <c r="A7" s="25">
        <v>0.18</v>
      </c>
      <c r="B7" s="25">
        <v>200</v>
      </c>
      <c r="C7" s="25"/>
      <c r="D7" s="25">
        <v>41.325090585110253</v>
      </c>
      <c r="E7" s="25">
        <v>41.325090585110253</v>
      </c>
      <c r="F7" s="25">
        <v>41.325090585110253</v>
      </c>
      <c r="G7" s="25">
        <v>41.325090585110253</v>
      </c>
      <c r="H7" s="25">
        <v>41.325090585110253</v>
      </c>
      <c r="I7" s="25">
        <v>41.325090585110253</v>
      </c>
    </row>
    <row r="8" spans="1:12" x14ac:dyDescent="0.25">
      <c r="A8" s="25">
        <v>0.18</v>
      </c>
      <c r="B8" s="25">
        <v>300</v>
      </c>
      <c r="C8" s="25"/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</row>
    <row r="9" spans="1:12" x14ac:dyDescent="0.25">
      <c r="A9" s="25">
        <v>0.13</v>
      </c>
      <c r="B9" s="25">
        <v>200</v>
      </c>
      <c r="C9" s="25"/>
      <c r="D9" s="25">
        <v>18.183152360347155</v>
      </c>
      <c r="E9" s="25">
        <v>18.183152360347155</v>
      </c>
      <c r="F9" s="25">
        <v>18.183152360347155</v>
      </c>
      <c r="G9" s="25">
        <v>18.183152360347155</v>
      </c>
      <c r="H9" s="25">
        <v>18.183152360347155</v>
      </c>
      <c r="I9" s="25">
        <v>18.183152360347155</v>
      </c>
    </row>
    <row r="10" spans="1:12" x14ac:dyDescent="0.25">
      <c r="A10" s="25">
        <v>0.13</v>
      </c>
      <c r="B10" s="25">
        <v>300</v>
      </c>
      <c r="C10" s="25"/>
      <c r="D10" s="25">
        <v>5.7131634666806175</v>
      </c>
      <c r="E10" s="25">
        <v>5.7131634666806175</v>
      </c>
      <c r="F10" s="25">
        <v>5.7131634666806175</v>
      </c>
      <c r="G10" s="25">
        <v>5.7131634666806175</v>
      </c>
      <c r="H10" s="25">
        <v>5.7131634666806175</v>
      </c>
      <c r="I10" s="25">
        <v>5.7131634666806175</v>
      </c>
    </row>
    <row r="11" spans="1:12" x14ac:dyDescent="0.25">
      <c r="A11" s="25">
        <v>0.09</v>
      </c>
      <c r="B11" s="25">
        <v>200</v>
      </c>
      <c r="C11" s="25"/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</row>
    <row r="12" spans="1:12" x14ac:dyDescent="0.25">
      <c r="A12" s="25">
        <v>0.09</v>
      </c>
      <c r="B12" s="25">
        <v>300</v>
      </c>
      <c r="C12" s="25"/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</row>
    <row r="13" spans="1:12" x14ac:dyDescent="0.25">
      <c r="A13" s="25">
        <v>6.5000000000000002E-2</v>
      </c>
      <c r="B13" s="25">
        <v>200</v>
      </c>
      <c r="C13" s="25"/>
      <c r="D13" s="25"/>
      <c r="E13" s="25"/>
      <c r="F13" s="25"/>
      <c r="G13" s="25"/>
      <c r="H13" s="25"/>
      <c r="I13" s="25"/>
    </row>
    <row r="14" spans="1:12" x14ac:dyDescent="0.25">
      <c r="A14" s="25">
        <v>6.5000000000000002E-2</v>
      </c>
      <c r="B14" s="25">
        <v>300</v>
      </c>
      <c r="C14" s="25"/>
      <c r="D14" s="25"/>
      <c r="E14" s="25"/>
      <c r="F14" s="25"/>
      <c r="G14" s="25"/>
      <c r="H14" s="25"/>
      <c r="I14" s="25"/>
    </row>
    <row r="15" spans="1:12" x14ac:dyDescent="0.25">
      <c r="A15" s="25" t="s">
        <v>92</v>
      </c>
      <c r="B15" s="25"/>
      <c r="C15" s="25"/>
      <c r="D15" s="25">
        <f t="shared" ref="D15:I15" si="0">+SUM(D5:D14)</f>
        <v>75.182875363642353</v>
      </c>
      <c r="E15" s="25">
        <f t="shared" si="0"/>
        <v>75.182875363642353</v>
      </c>
      <c r="F15" s="25">
        <f t="shared" si="0"/>
        <v>75.182875363642353</v>
      </c>
      <c r="G15" s="25">
        <f t="shared" si="0"/>
        <v>75.182875363642353</v>
      </c>
      <c r="H15" s="25">
        <f t="shared" si="0"/>
        <v>75.182875363642353</v>
      </c>
      <c r="I15" s="25">
        <f t="shared" si="0"/>
        <v>75.182875363642353</v>
      </c>
    </row>
    <row r="16" spans="1:12" x14ac:dyDescent="0.25">
      <c r="A16" s="25" t="s">
        <v>95</v>
      </c>
      <c r="B16" s="25"/>
      <c r="C16" s="25"/>
      <c r="D16" s="25">
        <v>0.92500000000000004</v>
      </c>
      <c r="E16" s="25">
        <v>0.92500000000000004</v>
      </c>
      <c r="F16" s="25">
        <v>0.92500000000000004</v>
      </c>
      <c r="G16" s="25">
        <v>0.92500000000000004</v>
      </c>
      <c r="H16" s="25">
        <v>0.92500000000000004</v>
      </c>
      <c r="I16" s="25">
        <v>0.92500000000000004</v>
      </c>
    </row>
    <row r="17" spans="1:17" x14ac:dyDescent="0.25">
      <c r="A17" s="25"/>
      <c r="B17" s="25" t="s">
        <v>96</v>
      </c>
      <c r="C17" s="25"/>
      <c r="D17" s="25"/>
      <c r="E17" s="25"/>
      <c r="J17" t="s">
        <v>130</v>
      </c>
    </row>
    <row r="18" spans="1:17" x14ac:dyDescent="0.25">
      <c r="A18" s="25">
        <v>0.25</v>
      </c>
      <c r="B18" s="25">
        <v>200</v>
      </c>
      <c r="C18" s="25"/>
      <c r="D18" s="25">
        <f t="shared" ref="D18:I25" si="1">+D$16*D5*20*12</f>
        <v>2211.4461072339618</v>
      </c>
      <c r="E18" s="25">
        <f t="shared" si="1"/>
        <v>2211.4461072339618</v>
      </c>
      <c r="F18" s="25">
        <f t="shared" si="1"/>
        <v>2211.4461072339618</v>
      </c>
      <c r="G18" s="25">
        <f t="shared" si="1"/>
        <v>2211.4461072339618</v>
      </c>
      <c r="H18" s="25">
        <f t="shared" si="1"/>
        <v>2211.4461072339618</v>
      </c>
      <c r="I18" s="25">
        <f t="shared" si="1"/>
        <v>2211.4461072339618</v>
      </c>
      <c r="K18" s="25">
        <f t="shared" ref="K18:P18" si="2">+D18</f>
        <v>2211.4461072339618</v>
      </c>
      <c r="L18" s="25">
        <f t="shared" si="2"/>
        <v>2211.4461072339618</v>
      </c>
      <c r="M18" s="25">
        <f t="shared" si="2"/>
        <v>2211.4461072339618</v>
      </c>
      <c r="N18" s="25">
        <f t="shared" si="2"/>
        <v>2211.4461072339618</v>
      </c>
      <c r="O18" s="25">
        <f t="shared" si="2"/>
        <v>2211.4461072339618</v>
      </c>
      <c r="P18" s="25">
        <f t="shared" si="2"/>
        <v>2211.4461072339618</v>
      </c>
    </row>
    <row r="19" spans="1:17" x14ac:dyDescent="0.25">
      <c r="A19" s="25">
        <v>0.25</v>
      </c>
      <c r="B19" s="25">
        <v>300</v>
      </c>
      <c r="C19" s="25"/>
      <c r="D19" s="25">
        <f t="shared" si="1"/>
        <v>0</v>
      </c>
      <c r="E19" s="25">
        <f t="shared" si="1"/>
        <v>0</v>
      </c>
      <c r="F19" s="25">
        <f t="shared" si="1"/>
        <v>0</v>
      </c>
      <c r="G19" s="25">
        <f t="shared" si="1"/>
        <v>0</v>
      </c>
      <c r="H19" s="25">
        <f t="shared" si="1"/>
        <v>0</v>
      </c>
      <c r="I19" s="25">
        <f t="shared" si="1"/>
        <v>0</v>
      </c>
      <c r="K19" s="25">
        <f t="shared" ref="K19:P19" si="3">+(1.5)^2*D19</f>
        <v>0</v>
      </c>
      <c r="L19" s="25">
        <f t="shared" si="3"/>
        <v>0</v>
      </c>
      <c r="M19" s="25">
        <f t="shared" si="3"/>
        <v>0</v>
      </c>
      <c r="N19" s="25">
        <f t="shared" si="3"/>
        <v>0</v>
      </c>
      <c r="O19" s="25">
        <f t="shared" si="3"/>
        <v>0</v>
      </c>
      <c r="P19" s="25">
        <f t="shared" si="3"/>
        <v>0</v>
      </c>
    </row>
    <row r="20" spans="1:17" x14ac:dyDescent="0.25">
      <c r="A20" s="25">
        <v>0.18</v>
      </c>
      <c r="B20" s="25">
        <v>200</v>
      </c>
      <c r="C20" s="25"/>
      <c r="D20" s="25">
        <f t="shared" si="1"/>
        <v>9174.1701098944759</v>
      </c>
      <c r="E20" s="25">
        <f t="shared" si="1"/>
        <v>9174.1701098944759</v>
      </c>
      <c r="F20" s="25">
        <f t="shared" si="1"/>
        <v>9174.1701098944759</v>
      </c>
      <c r="G20" s="25">
        <f t="shared" si="1"/>
        <v>9174.1701098944759</v>
      </c>
      <c r="H20" s="25">
        <f t="shared" si="1"/>
        <v>9174.1701098944759</v>
      </c>
      <c r="I20" s="25">
        <f t="shared" si="1"/>
        <v>9174.1701098944759</v>
      </c>
      <c r="K20" s="25">
        <f t="shared" ref="K20:P20" si="4">+D20</f>
        <v>9174.1701098944759</v>
      </c>
      <c r="L20" s="25">
        <f t="shared" si="4"/>
        <v>9174.1701098944759</v>
      </c>
      <c r="M20" s="25">
        <f t="shared" si="4"/>
        <v>9174.1701098944759</v>
      </c>
      <c r="N20" s="25">
        <f t="shared" si="4"/>
        <v>9174.1701098944759</v>
      </c>
      <c r="O20" s="25">
        <f t="shared" si="4"/>
        <v>9174.1701098944759</v>
      </c>
      <c r="P20" s="25">
        <f t="shared" si="4"/>
        <v>9174.1701098944759</v>
      </c>
    </row>
    <row r="21" spans="1:17" x14ac:dyDescent="0.25">
      <c r="A21" s="25">
        <v>0.18</v>
      </c>
      <c r="B21" s="25">
        <v>300</v>
      </c>
      <c r="C21" s="25"/>
      <c r="D21" s="25">
        <f t="shared" si="1"/>
        <v>0</v>
      </c>
      <c r="E21" s="25">
        <f t="shared" si="1"/>
        <v>0</v>
      </c>
      <c r="F21" s="25">
        <f t="shared" si="1"/>
        <v>0</v>
      </c>
      <c r="G21" s="25">
        <f t="shared" si="1"/>
        <v>0</v>
      </c>
      <c r="H21" s="25">
        <f t="shared" si="1"/>
        <v>0</v>
      </c>
      <c r="I21" s="25">
        <f t="shared" si="1"/>
        <v>0</v>
      </c>
      <c r="K21" s="25">
        <f t="shared" ref="K21:P21" si="5">+(1.5)^2*D21</f>
        <v>0</v>
      </c>
      <c r="L21" s="25">
        <f t="shared" si="5"/>
        <v>0</v>
      </c>
      <c r="M21" s="25">
        <f t="shared" si="5"/>
        <v>0</v>
      </c>
      <c r="N21" s="25">
        <f t="shared" si="5"/>
        <v>0</v>
      </c>
      <c r="O21" s="25">
        <f t="shared" si="5"/>
        <v>0</v>
      </c>
      <c r="P21" s="25">
        <f t="shared" si="5"/>
        <v>0</v>
      </c>
    </row>
    <row r="22" spans="1:17" x14ac:dyDescent="0.25">
      <c r="A22" s="25">
        <v>0.13</v>
      </c>
      <c r="B22" s="25">
        <v>200</v>
      </c>
      <c r="C22" s="25"/>
      <c r="D22" s="25">
        <f t="shared" si="1"/>
        <v>4036.6598239970685</v>
      </c>
      <c r="E22" s="25">
        <f t="shared" si="1"/>
        <v>4036.6598239970685</v>
      </c>
      <c r="F22" s="25">
        <f t="shared" si="1"/>
        <v>4036.6598239970685</v>
      </c>
      <c r="G22" s="25">
        <f t="shared" si="1"/>
        <v>4036.6598239970685</v>
      </c>
      <c r="H22" s="25">
        <f t="shared" si="1"/>
        <v>4036.6598239970685</v>
      </c>
      <c r="I22" s="25">
        <f t="shared" si="1"/>
        <v>4036.6598239970685</v>
      </c>
      <c r="K22" s="25">
        <f t="shared" ref="K22:P22" si="6">+D22</f>
        <v>4036.6598239970685</v>
      </c>
      <c r="L22" s="25">
        <f t="shared" si="6"/>
        <v>4036.6598239970685</v>
      </c>
      <c r="M22" s="25">
        <f t="shared" si="6"/>
        <v>4036.6598239970685</v>
      </c>
      <c r="N22" s="25">
        <f t="shared" si="6"/>
        <v>4036.6598239970685</v>
      </c>
      <c r="O22" s="25">
        <f t="shared" si="6"/>
        <v>4036.6598239970685</v>
      </c>
      <c r="P22" s="25">
        <f t="shared" si="6"/>
        <v>4036.6598239970685</v>
      </c>
    </row>
    <row r="23" spans="1:17" x14ac:dyDescent="0.25">
      <c r="A23" s="25">
        <v>0.13</v>
      </c>
      <c r="B23" s="25">
        <v>300</v>
      </c>
      <c r="C23" s="25"/>
      <c r="D23" s="25">
        <f t="shared" si="1"/>
        <v>1268.322289603097</v>
      </c>
      <c r="E23" s="25">
        <f t="shared" si="1"/>
        <v>1268.322289603097</v>
      </c>
      <c r="F23" s="25">
        <f t="shared" si="1"/>
        <v>1268.322289603097</v>
      </c>
      <c r="G23" s="25">
        <f t="shared" si="1"/>
        <v>1268.322289603097</v>
      </c>
      <c r="H23" s="25">
        <f t="shared" si="1"/>
        <v>1268.322289603097</v>
      </c>
      <c r="I23" s="25">
        <f t="shared" si="1"/>
        <v>1268.322289603097</v>
      </c>
      <c r="K23" s="25">
        <f t="shared" ref="K23:P23" si="7">+(1.5)^2*D23</f>
        <v>2853.7251516069682</v>
      </c>
      <c r="L23" s="25">
        <f t="shared" si="7"/>
        <v>2853.7251516069682</v>
      </c>
      <c r="M23" s="25">
        <f t="shared" si="7"/>
        <v>2853.7251516069682</v>
      </c>
      <c r="N23" s="25">
        <f t="shared" si="7"/>
        <v>2853.7251516069682</v>
      </c>
      <c r="O23" s="25">
        <f t="shared" si="7"/>
        <v>2853.7251516069682</v>
      </c>
      <c r="P23" s="25">
        <f t="shared" si="7"/>
        <v>2853.7251516069682</v>
      </c>
    </row>
    <row r="24" spans="1:17" x14ac:dyDescent="0.25">
      <c r="A24" s="25">
        <v>0.09</v>
      </c>
      <c r="B24" s="25">
        <v>200</v>
      </c>
      <c r="C24" s="25"/>
      <c r="D24" s="25">
        <f t="shared" si="1"/>
        <v>0</v>
      </c>
      <c r="E24" s="25">
        <f t="shared" si="1"/>
        <v>0</v>
      </c>
      <c r="F24" s="25">
        <f t="shared" si="1"/>
        <v>0</v>
      </c>
      <c r="G24" s="25">
        <f t="shared" si="1"/>
        <v>0</v>
      </c>
      <c r="H24" s="25">
        <f t="shared" si="1"/>
        <v>0</v>
      </c>
      <c r="I24" s="25">
        <f t="shared" si="1"/>
        <v>0</v>
      </c>
      <c r="K24" s="25">
        <f t="shared" ref="K24:P24" si="8">+D24</f>
        <v>0</v>
      </c>
      <c r="L24" s="25">
        <f t="shared" si="8"/>
        <v>0</v>
      </c>
      <c r="M24" s="25">
        <f t="shared" si="8"/>
        <v>0</v>
      </c>
      <c r="N24" s="25">
        <f t="shared" si="8"/>
        <v>0</v>
      </c>
      <c r="O24" s="25">
        <f t="shared" si="8"/>
        <v>0</v>
      </c>
      <c r="P24" s="25">
        <f t="shared" si="8"/>
        <v>0</v>
      </c>
    </row>
    <row r="25" spans="1:17" x14ac:dyDescent="0.25">
      <c r="A25" s="25">
        <v>0.09</v>
      </c>
      <c r="B25" s="25">
        <v>300</v>
      </c>
      <c r="C25" s="25"/>
      <c r="D25" s="25">
        <f t="shared" si="1"/>
        <v>0</v>
      </c>
      <c r="E25" s="25">
        <f t="shared" si="1"/>
        <v>0</v>
      </c>
      <c r="F25" s="25">
        <f t="shared" si="1"/>
        <v>0</v>
      </c>
      <c r="G25" s="25">
        <f t="shared" si="1"/>
        <v>0</v>
      </c>
      <c r="H25" s="25">
        <f t="shared" si="1"/>
        <v>0</v>
      </c>
      <c r="I25" s="25">
        <f t="shared" si="1"/>
        <v>0</v>
      </c>
      <c r="K25" s="25">
        <f t="shared" ref="K25:P25" si="9">+(1.5)^2*D25</f>
        <v>0</v>
      </c>
      <c r="L25" s="25">
        <f t="shared" si="9"/>
        <v>0</v>
      </c>
      <c r="M25" s="25">
        <f t="shared" si="9"/>
        <v>0</v>
      </c>
      <c r="N25" s="25">
        <f t="shared" si="9"/>
        <v>0</v>
      </c>
      <c r="O25" s="25">
        <f t="shared" si="9"/>
        <v>0</v>
      </c>
      <c r="P25" s="25">
        <f t="shared" si="9"/>
        <v>0</v>
      </c>
    </row>
    <row r="26" spans="1:17" x14ac:dyDescent="0.25">
      <c r="A26" s="25">
        <v>6.5000000000000002E-2</v>
      </c>
      <c r="B26" s="25">
        <v>200</v>
      </c>
      <c r="C26" s="25"/>
      <c r="D26" s="25">
        <f t="shared" ref="D26:I26" si="10">+D$16*D13*20*12</f>
        <v>0</v>
      </c>
      <c r="E26" s="25">
        <f t="shared" si="10"/>
        <v>0</v>
      </c>
      <c r="F26" s="25">
        <f t="shared" si="10"/>
        <v>0</v>
      </c>
      <c r="G26" s="25">
        <f t="shared" si="10"/>
        <v>0</v>
      </c>
      <c r="H26" s="25">
        <f t="shared" si="10"/>
        <v>0</v>
      </c>
      <c r="I26" s="25">
        <f t="shared" si="10"/>
        <v>0</v>
      </c>
      <c r="K26" s="25">
        <f t="shared" ref="K26:P26" si="11">+D26</f>
        <v>0</v>
      </c>
      <c r="L26" s="25">
        <f t="shared" si="11"/>
        <v>0</v>
      </c>
      <c r="M26" s="25">
        <f t="shared" si="11"/>
        <v>0</v>
      </c>
      <c r="N26" s="25">
        <f t="shared" si="11"/>
        <v>0</v>
      </c>
      <c r="O26" s="25">
        <f t="shared" si="11"/>
        <v>0</v>
      </c>
      <c r="P26" s="25">
        <f t="shared" si="11"/>
        <v>0</v>
      </c>
    </row>
    <row r="27" spans="1:17" x14ac:dyDescent="0.25">
      <c r="A27" s="25">
        <v>6.5000000000000002E-2</v>
      </c>
      <c r="B27" s="25">
        <v>300</v>
      </c>
      <c r="C27" s="25"/>
      <c r="D27" s="25">
        <f t="shared" ref="D27:I27" si="12">+D$16*D14*20*12</f>
        <v>0</v>
      </c>
      <c r="E27" s="25">
        <f t="shared" si="12"/>
        <v>0</v>
      </c>
      <c r="F27" s="25">
        <f t="shared" si="12"/>
        <v>0</v>
      </c>
      <c r="G27" s="25">
        <f t="shared" si="12"/>
        <v>0</v>
      </c>
      <c r="H27" s="25">
        <f t="shared" si="12"/>
        <v>0</v>
      </c>
      <c r="I27" s="25">
        <f t="shared" si="12"/>
        <v>0</v>
      </c>
      <c r="K27" s="25">
        <f t="shared" ref="K27:P27" si="13">+(1.5)^2*D27</f>
        <v>0</v>
      </c>
      <c r="L27" s="25">
        <f t="shared" si="13"/>
        <v>0</v>
      </c>
      <c r="M27" s="25">
        <f t="shared" si="13"/>
        <v>0</v>
      </c>
      <c r="N27" s="25">
        <f t="shared" si="13"/>
        <v>0</v>
      </c>
      <c r="O27" s="25">
        <f t="shared" si="13"/>
        <v>0</v>
      </c>
      <c r="P27" s="25">
        <f t="shared" si="13"/>
        <v>0</v>
      </c>
    </row>
    <row r="28" spans="1:17" x14ac:dyDescent="0.25">
      <c r="A28" s="25" t="s">
        <v>92</v>
      </c>
      <c r="B28" s="25"/>
      <c r="C28" s="25"/>
      <c r="D28" s="25">
        <f>+SUM(D18:D27)</f>
        <v>16690.598330728604</v>
      </c>
      <c r="E28" s="25">
        <f t="shared" ref="E28:K28" si="14">+SUM(E18:E27)</f>
        <v>16690.598330728604</v>
      </c>
      <c r="F28" s="25">
        <f t="shared" si="14"/>
        <v>16690.598330728604</v>
      </c>
      <c r="G28" s="25">
        <f t="shared" si="14"/>
        <v>16690.598330728604</v>
      </c>
      <c r="H28" s="25">
        <f t="shared" si="14"/>
        <v>16690.598330728604</v>
      </c>
      <c r="I28" s="25">
        <f t="shared" si="14"/>
        <v>16690.598330728604</v>
      </c>
      <c r="K28" s="25">
        <f t="shared" si="14"/>
        <v>18276.001192732474</v>
      </c>
      <c r="L28" s="25">
        <f>+SUM(L18:L27)</f>
        <v>18276.001192732474</v>
      </c>
      <c r="M28" s="25">
        <f>+SUM(M18:M27)</f>
        <v>18276.001192732474</v>
      </c>
      <c r="N28" s="25">
        <f>+SUM(N18:N27)</f>
        <v>18276.001192732474</v>
      </c>
      <c r="O28" s="25">
        <f>+SUM(O18:O27)</f>
        <v>18276.001192732474</v>
      </c>
      <c r="P28" s="25">
        <f>+SUM(P18:P27)</f>
        <v>18276.001192732474</v>
      </c>
    </row>
    <row r="29" spans="1:17" x14ac:dyDescent="0.25">
      <c r="A29" s="25" t="s">
        <v>97</v>
      </c>
      <c r="B29" s="25"/>
      <c r="C29" s="25"/>
      <c r="K29" s="25"/>
    </row>
    <row r="30" spans="1:17" x14ac:dyDescent="0.25">
      <c r="A30" s="25">
        <v>0.25</v>
      </c>
      <c r="B30" s="25">
        <v>200</v>
      </c>
      <c r="C30" s="25"/>
      <c r="D30" s="25">
        <v>0.73539668489857701</v>
      </c>
      <c r="E30" s="25">
        <v>0.73539668489857701</v>
      </c>
      <c r="F30" s="25">
        <v>0.73539668489857701</v>
      </c>
      <c r="G30" s="25">
        <v>0.73539668489857701</v>
      </c>
      <c r="H30" s="25">
        <v>0.73539668489857701</v>
      </c>
      <c r="I30" s="25">
        <v>0.73539668489857701</v>
      </c>
      <c r="J30" s="25"/>
      <c r="K30" s="25"/>
      <c r="L30" s="25"/>
      <c r="M30" s="25"/>
      <c r="N30" s="25"/>
      <c r="O30" s="25"/>
      <c r="P30" s="25"/>
      <c r="Q30" s="25"/>
    </row>
    <row r="31" spans="1:17" x14ac:dyDescent="0.25">
      <c r="A31" s="25">
        <v>0.25</v>
      </c>
      <c r="B31" s="25">
        <v>300</v>
      </c>
      <c r="C31" s="25"/>
      <c r="D31" s="25">
        <v>0.55154751367393273</v>
      </c>
      <c r="E31" s="25">
        <v>0.64347209928625493</v>
      </c>
      <c r="F31" s="25">
        <v>0.73539668489857701</v>
      </c>
      <c r="G31" s="25">
        <v>0.73539668489857701</v>
      </c>
      <c r="H31" s="25">
        <v>0.73539668489857701</v>
      </c>
      <c r="I31" s="25">
        <v>0.73539668489857701</v>
      </c>
      <c r="J31" s="25"/>
      <c r="K31" s="25"/>
      <c r="L31" s="25"/>
      <c r="M31" s="25"/>
      <c r="N31" s="25"/>
      <c r="O31" s="25"/>
      <c r="P31" s="25"/>
      <c r="Q31" s="25"/>
    </row>
    <row r="32" spans="1:17" x14ac:dyDescent="0.25">
      <c r="A32" s="25">
        <v>0.18</v>
      </c>
      <c r="B32" s="25">
        <v>200</v>
      </c>
      <c r="C32" s="25"/>
      <c r="D32" s="25">
        <v>0.73539668489857701</v>
      </c>
      <c r="E32" s="25">
        <v>0.73539668489857701</v>
      </c>
      <c r="F32" s="25">
        <v>0.73539668489857701</v>
      </c>
      <c r="G32" s="25">
        <v>0.73539668489857701</v>
      </c>
      <c r="H32" s="25">
        <v>0.73539668489857701</v>
      </c>
      <c r="I32" s="25">
        <v>0.73539668489857701</v>
      </c>
      <c r="J32" s="25"/>
      <c r="K32" s="25"/>
      <c r="L32" s="25"/>
      <c r="M32" s="25"/>
      <c r="N32" s="25"/>
      <c r="O32" s="25"/>
      <c r="P32" s="25"/>
      <c r="Q32" s="25"/>
    </row>
    <row r="33" spans="1:17" x14ac:dyDescent="0.25">
      <c r="A33" s="25">
        <v>0.18</v>
      </c>
      <c r="B33" s="25">
        <v>300</v>
      </c>
      <c r="C33" s="25"/>
      <c r="D33" s="25">
        <v>0.55154751367393273</v>
      </c>
      <c r="E33" s="25">
        <v>0.64347209928625493</v>
      </c>
      <c r="F33" s="25">
        <v>0.73539668489857701</v>
      </c>
      <c r="G33" s="25">
        <v>0.73539668489857701</v>
      </c>
      <c r="H33" s="25">
        <v>0.73539668489857701</v>
      </c>
      <c r="I33" s="25">
        <v>0.73539668489857701</v>
      </c>
      <c r="J33" s="25"/>
      <c r="K33" s="25"/>
      <c r="L33" s="25"/>
      <c r="M33" s="25"/>
      <c r="N33" s="25"/>
      <c r="O33" s="25"/>
      <c r="P33" s="25"/>
      <c r="Q33" s="25"/>
    </row>
    <row r="34" spans="1:17" x14ac:dyDescent="0.25">
      <c r="A34" s="25">
        <v>0.13</v>
      </c>
      <c r="B34" s="25">
        <v>200</v>
      </c>
      <c r="C34" s="25"/>
      <c r="D34" s="25">
        <v>0.66323588519290411</v>
      </c>
      <c r="E34" s="25">
        <v>0.73539668489857701</v>
      </c>
      <c r="F34" s="25">
        <v>0.73539668489857701</v>
      </c>
      <c r="G34" s="25">
        <v>0.73539668489857701</v>
      </c>
      <c r="H34" s="25">
        <v>0.73539668489857701</v>
      </c>
      <c r="I34" s="25">
        <v>0.73539668489857701</v>
      </c>
      <c r="J34" s="25"/>
      <c r="K34" s="25"/>
      <c r="L34" s="25"/>
      <c r="M34" s="25"/>
      <c r="N34" s="25"/>
      <c r="O34" s="25"/>
      <c r="P34" s="25"/>
      <c r="Q34" s="25"/>
    </row>
    <row r="35" spans="1:17" x14ac:dyDescent="0.25">
      <c r="A35" s="25">
        <v>0.13</v>
      </c>
      <c r="B35" s="25">
        <v>300</v>
      </c>
      <c r="C35" s="25"/>
      <c r="D35" s="25">
        <v>0.51018145014838789</v>
      </c>
      <c r="E35" s="25">
        <v>0.64347209928625493</v>
      </c>
      <c r="F35" s="25">
        <v>0.73539668489857701</v>
      </c>
      <c r="G35" s="25">
        <v>0.73539668489857701</v>
      </c>
      <c r="H35" s="25">
        <v>0.73539668489857701</v>
      </c>
      <c r="I35" s="25">
        <v>0.73539668489857701</v>
      </c>
      <c r="J35" s="25"/>
      <c r="K35" s="25"/>
      <c r="L35" s="25"/>
      <c r="M35" s="25"/>
      <c r="N35" s="25"/>
      <c r="O35" s="25"/>
      <c r="P35" s="25"/>
      <c r="Q35" s="25"/>
    </row>
    <row r="36" spans="1:17" x14ac:dyDescent="0.25">
      <c r="A36" s="25">
        <v>0.09</v>
      </c>
      <c r="B36" s="25">
        <v>200</v>
      </c>
      <c r="C36" s="25"/>
      <c r="D36" s="25"/>
      <c r="E36" s="25"/>
      <c r="F36" s="25">
        <v>0.60946000260969568</v>
      </c>
      <c r="G36" s="25">
        <v>0.67173890936204406</v>
      </c>
      <c r="H36" s="25">
        <v>0.73539668489857701</v>
      </c>
      <c r="I36" s="25">
        <v>0.73539668489857701</v>
      </c>
      <c r="J36" s="25"/>
      <c r="K36" s="25"/>
      <c r="L36" s="25"/>
      <c r="M36" s="25"/>
      <c r="N36" s="25"/>
      <c r="O36" s="25"/>
      <c r="P36" s="25"/>
      <c r="Q36" s="25"/>
    </row>
    <row r="37" spans="1:17" x14ac:dyDescent="0.25">
      <c r="A37" s="25">
        <v>0.09</v>
      </c>
      <c r="B37" s="25">
        <v>300</v>
      </c>
      <c r="C37" s="25"/>
      <c r="D37" s="25"/>
      <c r="E37" s="25"/>
      <c r="F37" s="25">
        <v>0.50006974573103236</v>
      </c>
      <c r="G37" s="25">
        <v>0.61221774017806541</v>
      </c>
      <c r="H37" s="25">
        <v>0.73539668489857701</v>
      </c>
      <c r="I37" s="25">
        <v>0.73539668489857701</v>
      </c>
      <c r="J37" s="25"/>
      <c r="K37" s="25"/>
      <c r="L37" s="25"/>
      <c r="M37" s="25"/>
      <c r="N37" s="25"/>
      <c r="O37" s="25"/>
      <c r="P37" s="25"/>
      <c r="Q37" s="25"/>
    </row>
    <row r="38" spans="1:17" x14ac:dyDescent="0.25">
      <c r="A38" s="25">
        <v>6.5000000000000002E-2</v>
      </c>
      <c r="B38" s="25">
        <v>200</v>
      </c>
      <c r="C38" s="25"/>
      <c r="D38" s="25"/>
      <c r="E38" s="25"/>
      <c r="F38" s="25"/>
      <c r="G38" s="25"/>
      <c r="H38" s="25"/>
      <c r="I38" s="25">
        <v>0.60946000260969568</v>
      </c>
      <c r="J38" s="25"/>
      <c r="K38" s="25"/>
      <c r="L38" s="25"/>
      <c r="M38" s="25"/>
      <c r="N38" s="25"/>
      <c r="O38" s="25"/>
      <c r="P38" s="25"/>
      <c r="Q38" s="25"/>
    </row>
    <row r="39" spans="1:17" x14ac:dyDescent="0.25">
      <c r="A39" s="25">
        <v>6.5000000000000002E-2</v>
      </c>
      <c r="B39" s="25">
        <v>300</v>
      </c>
      <c r="C39" s="25"/>
      <c r="D39" s="25"/>
      <c r="E39" s="25"/>
      <c r="F39" s="25"/>
      <c r="G39" s="25"/>
      <c r="H39" s="25"/>
      <c r="I39" s="25">
        <v>0.54695128439331664</v>
      </c>
      <c r="J39" s="25"/>
      <c r="K39" s="25"/>
      <c r="L39" s="25"/>
      <c r="M39" s="25"/>
      <c r="N39" s="25"/>
      <c r="O39" s="25"/>
      <c r="P39" s="25"/>
      <c r="Q39" s="25"/>
    </row>
    <row r="40" spans="1:17" x14ac:dyDescent="0.25">
      <c r="B40" t="s">
        <v>98</v>
      </c>
    </row>
    <row r="41" spans="1:17" x14ac:dyDescent="0.25">
      <c r="A41" s="25">
        <v>0.25</v>
      </c>
      <c r="B41" s="25">
        <v>200</v>
      </c>
      <c r="C41" s="25"/>
      <c r="D41" s="25">
        <v>53.087340688150626</v>
      </c>
      <c r="E41" s="25">
        <v>53.087340688150626</v>
      </c>
      <c r="F41" s="25">
        <v>53.087340688150626</v>
      </c>
      <c r="G41" s="25">
        <v>53.087340688150626</v>
      </c>
      <c r="H41" s="25">
        <v>53.087340688150626</v>
      </c>
      <c r="I41" s="25">
        <v>53.087340688150626</v>
      </c>
    </row>
    <row r="42" spans="1:17" x14ac:dyDescent="0.25">
      <c r="A42" s="25">
        <v>0.25</v>
      </c>
      <c r="B42" s="25">
        <v>300</v>
      </c>
      <c r="C42" s="25"/>
      <c r="D42" s="25">
        <v>53.087340688150626</v>
      </c>
      <c r="E42" s="25">
        <v>53.087340688150626</v>
      </c>
      <c r="F42" s="25">
        <v>53.087340688150626</v>
      </c>
      <c r="G42" s="25">
        <v>53.087340688150626</v>
      </c>
      <c r="H42" s="25">
        <v>53.087340688150626</v>
      </c>
      <c r="I42" s="25">
        <v>53.087340688150626</v>
      </c>
    </row>
    <row r="43" spans="1:17" x14ac:dyDescent="0.25">
      <c r="A43" s="25">
        <v>0.18</v>
      </c>
      <c r="B43" s="25">
        <v>200</v>
      </c>
      <c r="C43" s="25"/>
      <c r="D43" s="25">
        <v>53.087340688150626</v>
      </c>
      <c r="E43" s="25">
        <v>53.087340688150626</v>
      </c>
      <c r="F43" s="25">
        <v>53.087340688150626</v>
      </c>
      <c r="G43" s="25">
        <v>53.087340688150626</v>
      </c>
      <c r="H43" s="25">
        <v>53.087340688150626</v>
      </c>
      <c r="I43" s="25">
        <v>53.087340688150626</v>
      </c>
    </row>
    <row r="44" spans="1:17" x14ac:dyDescent="0.25">
      <c r="A44" s="25">
        <v>0.18</v>
      </c>
      <c r="B44" s="25">
        <v>300</v>
      </c>
      <c r="C44" s="25"/>
      <c r="D44" s="25">
        <v>53.087340688150626</v>
      </c>
      <c r="E44" s="25">
        <v>53.087340688150626</v>
      </c>
      <c r="F44" s="25">
        <v>53.087340688150626</v>
      </c>
      <c r="G44" s="25">
        <v>53.087340688150626</v>
      </c>
      <c r="H44" s="25">
        <v>53.087340688150626</v>
      </c>
      <c r="I44" s="25">
        <v>53.087340688150626</v>
      </c>
    </row>
    <row r="45" spans="1:17" x14ac:dyDescent="0.25">
      <c r="A45" s="25">
        <v>0.13</v>
      </c>
      <c r="B45" s="25">
        <v>200</v>
      </c>
      <c r="C45" s="25"/>
      <c r="D45" s="25">
        <v>65.303037905673293</v>
      </c>
      <c r="E45" s="25">
        <v>58.879237607748387</v>
      </c>
      <c r="F45" s="25">
        <v>53.087340688150626</v>
      </c>
      <c r="G45" s="25">
        <v>53.087340688150626</v>
      </c>
      <c r="H45" s="25">
        <v>53.087340688150626</v>
      </c>
      <c r="I45" s="25">
        <v>53.087340688150626</v>
      </c>
    </row>
    <row r="46" spans="1:17" x14ac:dyDescent="0.25">
      <c r="A46" s="25">
        <v>0.13</v>
      </c>
      <c r="B46" s="25">
        <v>300</v>
      </c>
      <c r="C46" s="25"/>
      <c r="D46" s="25">
        <v>65.303037905673293</v>
      </c>
      <c r="E46" s="25">
        <v>58.879237607748387</v>
      </c>
      <c r="F46" s="25">
        <v>53.087340688150626</v>
      </c>
      <c r="G46" s="25">
        <v>53.087340688150626</v>
      </c>
      <c r="H46" s="25">
        <v>53.087340688150626</v>
      </c>
      <c r="I46" s="25">
        <v>53.087340688150626</v>
      </c>
    </row>
    <row r="47" spans="1:17" x14ac:dyDescent="0.25">
      <c r="A47" s="25">
        <v>0.09</v>
      </c>
      <c r="B47" s="25">
        <v>200</v>
      </c>
      <c r="C47" s="25"/>
      <c r="D47" s="25"/>
      <c r="E47" s="25"/>
      <c r="F47" s="25">
        <v>72.427683050512272</v>
      </c>
      <c r="G47" s="25">
        <v>65.303037905673293</v>
      </c>
      <c r="H47" s="25">
        <v>58.879237607748387</v>
      </c>
      <c r="I47" s="25">
        <v>53.087340688150626</v>
      </c>
    </row>
    <row r="48" spans="1:17" x14ac:dyDescent="0.25">
      <c r="A48" s="25">
        <v>0.09</v>
      </c>
      <c r="B48" s="25">
        <v>300</v>
      </c>
      <c r="C48" s="25"/>
      <c r="D48" s="25"/>
      <c r="E48" s="25"/>
      <c r="F48" s="25">
        <v>72.427683050512272</v>
      </c>
      <c r="G48" s="25">
        <v>65.303037905673293</v>
      </c>
      <c r="H48" s="25">
        <v>58.879237607748387</v>
      </c>
      <c r="I48" s="25">
        <v>53.087340688150626</v>
      </c>
    </row>
    <row r="49" spans="1:9" x14ac:dyDescent="0.25">
      <c r="A49" s="25">
        <v>6.5000000000000002E-2</v>
      </c>
      <c r="B49" s="25">
        <v>200</v>
      </c>
      <c r="C49" s="25"/>
      <c r="D49" s="25"/>
      <c r="E49" s="25"/>
      <c r="F49" s="25"/>
      <c r="G49" s="25"/>
      <c r="H49" s="25"/>
      <c r="I49" s="25">
        <v>72.427683050512272</v>
      </c>
    </row>
    <row r="50" spans="1:9" x14ac:dyDescent="0.25">
      <c r="A50" s="25">
        <v>6.5000000000000002E-2</v>
      </c>
      <c r="B50" s="25">
        <v>300</v>
      </c>
      <c r="C50" s="25"/>
      <c r="D50" s="25"/>
      <c r="E50" s="25"/>
      <c r="F50" s="25"/>
      <c r="G50" s="25"/>
      <c r="H50" s="25"/>
      <c r="I50" s="25">
        <v>72.427683050512272</v>
      </c>
    </row>
    <row r="51" spans="1:9" x14ac:dyDescent="0.25">
      <c r="B51" t="s">
        <v>131</v>
      </c>
    </row>
    <row r="52" spans="1:9" x14ac:dyDescent="0.25">
      <c r="A52" s="25">
        <v>0.25</v>
      </c>
      <c r="B52" s="25">
        <v>200</v>
      </c>
      <c r="C52" s="25"/>
      <c r="D52" s="26">
        <f t="shared" ref="D52:I57" si="15">+(($B52/2))^2*3.14159/D41</f>
        <v>591.77761765362254</v>
      </c>
      <c r="E52" s="26">
        <f t="shared" si="15"/>
        <v>591.77761765362254</v>
      </c>
      <c r="F52" s="26">
        <f t="shared" si="15"/>
        <v>591.77761765362254</v>
      </c>
      <c r="G52" s="26">
        <f t="shared" si="15"/>
        <v>591.77761765362254</v>
      </c>
      <c r="H52" s="26">
        <f t="shared" si="15"/>
        <v>591.77761765362254</v>
      </c>
      <c r="I52" s="26">
        <f t="shared" si="15"/>
        <v>591.77761765362254</v>
      </c>
    </row>
    <row r="53" spans="1:9" x14ac:dyDescent="0.25">
      <c r="A53" s="25">
        <v>0.25</v>
      </c>
      <c r="B53" s="25">
        <v>300</v>
      </c>
      <c r="C53" s="25"/>
      <c r="D53" s="26">
        <f t="shared" si="15"/>
        <v>1331.4996397206505</v>
      </c>
      <c r="E53" s="26">
        <f t="shared" si="15"/>
        <v>1331.4996397206505</v>
      </c>
      <c r="F53" s="26">
        <f t="shared" si="15"/>
        <v>1331.4996397206505</v>
      </c>
      <c r="G53" s="26">
        <f t="shared" si="15"/>
        <v>1331.4996397206505</v>
      </c>
      <c r="H53" s="26">
        <f t="shared" si="15"/>
        <v>1331.4996397206505</v>
      </c>
      <c r="I53" s="26">
        <f t="shared" si="15"/>
        <v>1331.4996397206505</v>
      </c>
    </row>
    <row r="54" spans="1:9" x14ac:dyDescent="0.25">
      <c r="A54" s="25">
        <v>0.18</v>
      </c>
      <c r="B54" s="25">
        <v>200</v>
      </c>
      <c r="C54" s="25"/>
      <c r="D54" s="26">
        <f t="shared" si="15"/>
        <v>591.77761765362254</v>
      </c>
      <c r="E54" s="26">
        <f t="shared" si="15"/>
        <v>591.77761765362254</v>
      </c>
      <c r="F54" s="26">
        <f t="shared" si="15"/>
        <v>591.77761765362254</v>
      </c>
      <c r="G54" s="26">
        <f t="shared" si="15"/>
        <v>591.77761765362254</v>
      </c>
      <c r="H54" s="26">
        <f t="shared" si="15"/>
        <v>591.77761765362254</v>
      </c>
      <c r="I54" s="26">
        <f t="shared" si="15"/>
        <v>591.77761765362254</v>
      </c>
    </row>
    <row r="55" spans="1:9" x14ac:dyDescent="0.25">
      <c r="A55" s="25">
        <v>0.18</v>
      </c>
      <c r="B55" s="25">
        <v>300</v>
      </c>
      <c r="C55" s="25"/>
      <c r="D55" s="26">
        <f t="shared" si="15"/>
        <v>1331.4996397206505</v>
      </c>
      <c r="E55" s="26">
        <f t="shared" si="15"/>
        <v>1331.4996397206505</v>
      </c>
      <c r="F55" s="26">
        <f t="shared" si="15"/>
        <v>1331.4996397206505</v>
      </c>
      <c r="G55" s="26">
        <f t="shared" si="15"/>
        <v>1331.4996397206505</v>
      </c>
      <c r="H55" s="26">
        <f t="shared" si="15"/>
        <v>1331.4996397206505</v>
      </c>
      <c r="I55" s="26">
        <f t="shared" si="15"/>
        <v>1331.4996397206505</v>
      </c>
    </row>
    <row r="56" spans="1:9" x14ac:dyDescent="0.25">
      <c r="A56" s="25">
        <v>0.13</v>
      </c>
      <c r="B56" s="25">
        <v>200</v>
      </c>
      <c r="C56" s="25"/>
      <c r="D56" s="26">
        <f t="shared" si="15"/>
        <v>481.07869109211379</v>
      </c>
      <c r="E56" s="26">
        <f t="shared" si="15"/>
        <v>533.56499296563118</v>
      </c>
      <c r="F56" s="26">
        <f t="shared" si="15"/>
        <v>591.77761765362254</v>
      </c>
      <c r="G56" s="26">
        <f t="shared" si="15"/>
        <v>591.77761765362254</v>
      </c>
      <c r="H56" s="26">
        <f t="shared" si="15"/>
        <v>591.77761765362254</v>
      </c>
      <c r="I56" s="26">
        <f t="shared" si="15"/>
        <v>591.77761765362254</v>
      </c>
    </row>
    <row r="57" spans="1:9" x14ac:dyDescent="0.25">
      <c r="A57" s="25">
        <v>0.13</v>
      </c>
      <c r="B57" s="25">
        <v>300</v>
      </c>
      <c r="C57" s="25"/>
      <c r="D57" s="26">
        <f t="shared" si="15"/>
        <v>1082.4270549572559</v>
      </c>
      <c r="E57" s="26">
        <f t="shared" si="15"/>
        <v>1200.5212341726703</v>
      </c>
      <c r="F57" s="26">
        <f t="shared" si="15"/>
        <v>1331.4996397206505</v>
      </c>
      <c r="G57" s="26">
        <f t="shared" si="15"/>
        <v>1331.4996397206505</v>
      </c>
      <c r="H57" s="26">
        <f t="shared" si="15"/>
        <v>1331.4996397206505</v>
      </c>
      <c r="I57" s="26">
        <f t="shared" si="15"/>
        <v>1331.4996397206505</v>
      </c>
    </row>
    <row r="58" spans="1:9" x14ac:dyDescent="0.25">
      <c r="A58" s="25">
        <v>0.09</v>
      </c>
      <c r="B58" s="25">
        <v>200</v>
      </c>
      <c r="C58" s="25"/>
      <c r="D58" s="26"/>
      <c r="E58" s="26"/>
      <c r="F58" s="26">
        <f t="shared" ref="F58:I59" si="16">+(($B58/2))^2*3.14159/F47</f>
        <v>433.7554188788564</v>
      </c>
      <c r="G58" s="26">
        <f t="shared" si="16"/>
        <v>481.07869109211379</v>
      </c>
      <c r="H58" s="26">
        <f t="shared" si="16"/>
        <v>533.56499296563118</v>
      </c>
      <c r="I58" s="26">
        <f t="shared" si="16"/>
        <v>591.77761765362254</v>
      </c>
    </row>
    <row r="59" spans="1:9" x14ac:dyDescent="0.25">
      <c r="A59" s="25">
        <v>0.09</v>
      </c>
      <c r="B59" s="25">
        <v>300</v>
      </c>
      <c r="C59" s="25"/>
      <c r="D59" s="26"/>
      <c r="E59" s="26"/>
      <c r="F59" s="26">
        <f t="shared" si="16"/>
        <v>975.94969247742688</v>
      </c>
      <c r="G59" s="26">
        <f t="shared" si="16"/>
        <v>1082.4270549572559</v>
      </c>
      <c r="H59" s="26">
        <f t="shared" si="16"/>
        <v>1200.5212341726703</v>
      </c>
      <c r="I59" s="26">
        <f t="shared" si="16"/>
        <v>1331.4996397206505</v>
      </c>
    </row>
    <row r="60" spans="1:9" x14ac:dyDescent="0.25">
      <c r="A60" s="25">
        <v>6.5000000000000002E-2</v>
      </c>
      <c r="B60" s="25">
        <v>200</v>
      </c>
      <c r="C60" s="25"/>
      <c r="D60" s="26"/>
      <c r="E60" s="26"/>
      <c r="F60" s="26"/>
      <c r="G60" s="26"/>
      <c r="H60" s="26"/>
      <c r="I60" s="26">
        <f>+(($B60/2))^2*3.14159/I49</f>
        <v>433.7554188788564</v>
      </c>
    </row>
    <row r="61" spans="1:9" x14ac:dyDescent="0.25">
      <c r="A61" s="25">
        <v>6.5000000000000002E-2</v>
      </c>
      <c r="B61" s="25">
        <v>300</v>
      </c>
      <c r="C61" s="25"/>
      <c r="D61" s="26"/>
      <c r="E61" s="26"/>
      <c r="F61" s="26"/>
      <c r="G61" s="26"/>
      <c r="H61" s="26"/>
      <c r="I61" s="26">
        <f>+(($B61/2))^2*3.14159/I50</f>
        <v>975.94969247742688</v>
      </c>
    </row>
    <row r="62" spans="1:9" x14ac:dyDescent="0.25">
      <c r="A62" s="27" t="s">
        <v>99</v>
      </c>
      <c r="B62" s="28"/>
      <c r="C62" s="28"/>
    </row>
    <row r="63" spans="1:9" x14ac:dyDescent="0.25">
      <c r="A63" s="25" t="s">
        <v>91</v>
      </c>
      <c r="B63" s="25"/>
      <c r="C63" s="25"/>
    </row>
    <row r="64" spans="1:9" x14ac:dyDescent="0.25">
      <c r="A64" s="25">
        <v>0.25</v>
      </c>
      <c r="B64" s="25">
        <v>200</v>
      </c>
      <c r="C64" s="25"/>
      <c r="D64" s="25">
        <v>0.97164641473905289</v>
      </c>
      <c r="E64" s="25">
        <v>0.99999991686522915</v>
      </c>
      <c r="F64" s="25">
        <v>1</v>
      </c>
      <c r="G64" s="25">
        <v>1</v>
      </c>
      <c r="H64" s="25">
        <v>1</v>
      </c>
      <c r="I64" s="25">
        <v>1</v>
      </c>
    </row>
    <row r="65" spans="1:9" x14ac:dyDescent="0.25">
      <c r="A65" s="25">
        <v>0.25</v>
      </c>
      <c r="B65" s="25">
        <v>300</v>
      </c>
      <c r="C65" s="25"/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</row>
    <row r="66" spans="1:9" x14ac:dyDescent="0.25">
      <c r="A66" s="25">
        <v>0.18</v>
      </c>
      <c r="B66" s="25">
        <v>200</v>
      </c>
      <c r="C66" s="25"/>
      <c r="D66" s="25">
        <v>0.93686672723239039</v>
      </c>
      <c r="E66" s="25">
        <v>0.97123005109516247</v>
      </c>
      <c r="F66" s="25">
        <v>0.99096570871016854</v>
      </c>
      <c r="G66" s="25">
        <v>0.99999998316314631</v>
      </c>
      <c r="H66" s="25">
        <v>1.0000000423056046</v>
      </c>
      <c r="I66" s="25">
        <v>1</v>
      </c>
    </row>
    <row r="67" spans="1:9" x14ac:dyDescent="0.25">
      <c r="A67" s="25">
        <v>0.18</v>
      </c>
      <c r="B67" s="25">
        <v>300</v>
      </c>
      <c r="C67" s="25"/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</row>
    <row r="68" spans="1:9" x14ac:dyDescent="0.25">
      <c r="A68" s="25">
        <v>0.13</v>
      </c>
      <c r="B68" s="25">
        <v>200</v>
      </c>
      <c r="C68" s="25"/>
      <c r="D68" s="25">
        <v>0.85318619148355879</v>
      </c>
      <c r="E68" s="25">
        <v>0.92010787561999718</v>
      </c>
      <c r="F68" s="25">
        <v>0.95763968781118058</v>
      </c>
      <c r="G68" s="25">
        <v>0.97729707939499622</v>
      </c>
      <c r="H68" s="25">
        <v>0.98992973564920494</v>
      </c>
      <c r="I68" s="25">
        <v>0.99999983611609333</v>
      </c>
    </row>
    <row r="69" spans="1:9" x14ac:dyDescent="0.25">
      <c r="A69" s="25">
        <v>0.13</v>
      </c>
      <c r="B69" s="25">
        <v>300</v>
      </c>
      <c r="C69" s="25"/>
      <c r="D69" s="25">
        <v>0.65624998202037033</v>
      </c>
      <c r="E69" s="25">
        <v>0.67301512497330229</v>
      </c>
      <c r="F69" s="25">
        <v>0.77039815814747836</v>
      </c>
      <c r="G69" s="25">
        <v>0.93624176748445398</v>
      </c>
      <c r="H69" s="25">
        <v>1.0000000317591939</v>
      </c>
      <c r="I69" s="25">
        <v>1.0000000317591939</v>
      </c>
    </row>
    <row r="70" spans="1:9" x14ac:dyDescent="0.25">
      <c r="A70" s="25">
        <v>0.09</v>
      </c>
      <c r="B70" s="25">
        <v>200</v>
      </c>
      <c r="C70" s="25"/>
      <c r="D70" s="25">
        <v>0</v>
      </c>
      <c r="E70" s="25">
        <v>0</v>
      </c>
      <c r="F70" s="25">
        <v>0.82874999999999999</v>
      </c>
      <c r="G70" s="25">
        <v>0.92532318334961849</v>
      </c>
      <c r="H70" s="25">
        <v>0.94466665140186623</v>
      </c>
      <c r="I70" s="25">
        <v>0.95395517629464199</v>
      </c>
    </row>
    <row r="71" spans="1:9" x14ac:dyDescent="0.25">
      <c r="A71" s="25">
        <v>0.09</v>
      </c>
      <c r="B71" s="25">
        <v>300</v>
      </c>
      <c r="C71" s="25"/>
      <c r="D71" s="25">
        <v>0</v>
      </c>
      <c r="E71" s="25">
        <v>0</v>
      </c>
      <c r="F71" s="25">
        <v>0.68000000173743125</v>
      </c>
      <c r="G71" s="25">
        <v>0.70252317583722301</v>
      </c>
      <c r="H71" s="25">
        <v>0.77120583121657915</v>
      </c>
      <c r="I71" s="25">
        <v>0.88701538790465251</v>
      </c>
    </row>
    <row r="72" spans="1:9" x14ac:dyDescent="0.25">
      <c r="A72" s="25">
        <v>6.5000000000000002E-2</v>
      </c>
      <c r="B72" s="25">
        <v>200</v>
      </c>
      <c r="C72" s="25"/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</row>
    <row r="73" spans="1:9" x14ac:dyDescent="0.25">
      <c r="A73" s="25">
        <v>6.5000000000000002E-2</v>
      </c>
      <c r="B73" s="25">
        <v>300</v>
      </c>
      <c r="C73" s="25"/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0.74375002957124259</v>
      </c>
    </row>
    <row r="74" spans="1:9" x14ac:dyDescent="0.25">
      <c r="B74" t="s">
        <v>102</v>
      </c>
    </row>
    <row r="75" spans="1:9" x14ac:dyDescent="0.25">
      <c r="A75" s="25" t="s">
        <v>91</v>
      </c>
      <c r="B75" s="25"/>
      <c r="C75" s="25"/>
    </row>
    <row r="76" spans="1:9" x14ac:dyDescent="0.25">
      <c r="A76" s="25">
        <v>0.25</v>
      </c>
      <c r="B76" s="25">
        <v>200</v>
      </c>
      <c r="C76" s="25"/>
      <c r="D76">
        <f t="shared" ref="D76:I83" si="17">+D64*D52*D30</f>
        <v>422.8520646407585</v>
      </c>
      <c r="E76">
        <f t="shared" si="17"/>
        <v>435.19126204012275</v>
      </c>
      <c r="F76">
        <f t="shared" si="17"/>
        <v>435.19129821965163</v>
      </c>
      <c r="G76">
        <f t="shared" si="17"/>
        <v>435.19129821965163</v>
      </c>
      <c r="H76">
        <f t="shared" si="17"/>
        <v>435.19129821965163</v>
      </c>
      <c r="I76">
        <f t="shared" si="17"/>
        <v>435.19129821965163</v>
      </c>
    </row>
    <row r="77" spans="1:9" x14ac:dyDescent="0.25">
      <c r="A77" s="25">
        <v>0.25</v>
      </c>
      <c r="B77" s="25">
        <v>300</v>
      </c>
      <c r="C77" s="25"/>
      <c r="D77">
        <f t="shared" si="17"/>
        <v>0</v>
      </c>
      <c r="E77">
        <f t="shared" si="17"/>
        <v>0</v>
      </c>
      <c r="F77">
        <f t="shared" si="17"/>
        <v>0</v>
      </c>
      <c r="G77">
        <f t="shared" si="17"/>
        <v>0</v>
      </c>
      <c r="H77">
        <f t="shared" si="17"/>
        <v>0</v>
      </c>
      <c r="I77">
        <f t="shared" si="17"/>
        <v>0</v>
      </c>
    </row>
    <row r="78" spans="1:9" x14ac:dyDescent="0.25">
      <c r="A78" s="25">
        <v>0.18</v>
      </c>
      <c r="B78" s="25">
        <v>200</v>
      </c>
      <c r="C78" s="25"/>
      <c r="D78">
        <f t="shared" si="17"/>
        <v>407.71624728306023</v>
      </c>
      <c r="E78">
        <f t="shared" si="17"/>
        <v>422.67086680604234</v>
      </c>
      <c r="F78">
        <f t="shared" si="17"/>
        <v>431.25965326473539</v>
      </c>
      <c r="G78">
        <f t="shared" si="17"/>
        <v>435.19129089239942</v>
      </c>
      <c r="H78">
        <f t="shared" si="17"/>
        <v>435.19131663068265</v>
      </c>
      <c r="I78">
        <f t="shared" si="17"/>
        <v>435.19129821965163</v>
      </c>
    </row>
    <row r="79" spans="1:9" x14ac:dyDescent="0.25">
      <c r="A79" s="25">
        <v>0.18</v>
      </c>
      <c r="B79" s="25">
        <v>300</v>
      </c>
      <c r="C79" s="25"/>
      <c r="D79">
        <f t="shared" si="17"/>
        <v>0</v>
      </c>
      <c r="E79">
        <f t="shared" si="17"/>
        <v>0</v>
      </c>
      <c r="F79">
        <f t="shared" si="17"/>
        <v>0</v>
      </c>
      <c r="G79">
        <f t="shared" si="17"/>
        <v>0</v>
      </c>
      <c r="H79">
        <f t="shared" si="17"/>
        <v>0</v>
      </c>
      <c r="I79">
        <f t="shared" si="17"/>
        <v>0</v>
      </c>
    </row>
    <row r="80" spans="1:9" x14ac:dyDescent="0.25">
      <c r="A80" s="25">
        <v>0.13</v>
      </c>
      <c r="B80" s="25">
        <v>200</v>
      </c>
      <c r="C80" s="25"/>
      <c r="D80">
        <f t="shared" si="17"/>
        <v>272.22496762402147</v>
      </c>
      <c r="E80">
        <f t="shared" si="17"/>
        <v>361.03370128812043</v>
      </c>
      <c r="F80">
        <f t="shared" si="17"/>
        <v>416.75645896520962</v>
      </c>
      <c r="G80">
        <f t="shared" si="17"/>
        <v>425.31118472818241</v>
      </c>
      <c r="H80">
        <f t="shared" si="17"/>
        <v>430.80880680341409</v>
      </c>
      <c r="I80">
        <f t="shared" si="17"/>
        <v>435.19122689880157</v>
      </c>
    </row>
    <row r="81" spans="1:9" x14ac:dyDescent="0.25">
      <c r="A81" s="25">
        <v>0.13</v>
      </c>
      <c r="B81" s="25">
        <v>300</v>
      </c>
      <c r="C81" s="25"/>
      <c r="D81">
        <f t="shared" si="17"/>
        <v>362.40368682530766</v>
      </c>
      <c r="E81">
        <f t="shared" si="17"/>
        <v>519.90547541711544</v>
      </c>
      <c r="F81">
        <f t="shared" si="17"/>
        <v>754.35879282801648</v>
      </c>
      <c r="G81">
        <f t="shared" si="17"/>
        <v>916.74960803779652</v>
      </c>
      <c r="H81">
        <f t="shared" si="17"/>
        <v>979.1804520921969</v>
      </c>
      <c r="I81">
        <f t="shared" si="17"/>
        <v>979.1804520921969</v>
      </c>
    </row>
    <row r="82" spans="1:9" x14ac:dyDescent="0.25">
      <c r="A82" s="25">
        <v>0.09</v>
      </c>
      <c r="B82" s="25">
        <v>200</v>
      </c>
      <c r="C82" s="25"/>
      <c r="D82">
        <f t="shared" si="17"/>
        <v>0</v>
      </c>
      <c r="E82">
        <f t="shared" si="17"/>
        <v>0</v>
      </c>
      <c r="F82">
        <f t="shared" si="17"/>
        <v>219.08551461575595</v>
      </c>
      <c r="G82">
        <f t="shared" si="17"/>
        <v>299.02676932321356</v>
      </c>
      <c r="H82">
        <f t="shared" si="17"/>
        <v>370.67012105429046</v>
      </c>
      <c r="I82">
        <f t="shared" si="17"/>
        <v>415.15299161502185</v>
      </c>
    </row>
    <row r="83" spans="1:9" x14ac:dyDescent="0.25">
      <c r="A83" s="25">
        <v>0.09</v>
      </c>
      <c r="B83" s="25">
        <v>300</v>
      </c>
      <c r="C83" s="25"/>
      <c r="D83">
        <f t="shared" si="17"/>
        <v>0</v>
      </c>
      <c r="E83">
        <f t="shared" si="17"/>
        <v>0</v>
      </c>
      <c r="F83">
        <f t="shared" si="17"/>
        <v>331.86918275109792</v>
      </c>
      <c r="G83">
        <f t="shared" si="17"/>
        <v>465.54879264724582</v>
      </c>
      <c r="H83">
        <f t="shared" si="17"/>
        <v>680.86626788282501</v>
      </c>
      <c r="I83">
        <f t="shared" si="17"/>
        <v>868.54810095682546</v>
      </c>
    </row>
    <row r="84" spans="1:9" x14ac:dyDescent="0.25">
      <c r="A84" s="25">
        <v>6.5000000000000002E-2</v>
      </c>
      <c r="B84" s="25">
        <v>200</v>
      </c>
      <c r="C84" s="25"/>
      <c r="D84">
        <f t="shared" ref="D84:I84" si="18">+D72*D60*D38</f>
        <v>0</v>
      </c>
      <c r="E84">
        <f t="shared" si="18"/>
        <v>0</v>
      </c>
      <c r="F84">
        <f t="shared" si="18"/>
        <v>0</v>
      </c>
      <c r="G84">
        <f t="shared" si="18"/>
        <v>0</v>
      </c>
      <c r="H84">
        <f t="shared" si="18"/>
        <v>0</v>
      </c>
      <c r="I84">
        <f t="shared" si="18"/>
        <v>0</v>
      </c>
    </row>
    <row r="85" spans="1:9" x14ac:dyDescent="0.25">
      <c r="A85" s="25">
        <v>6.5000000000000002E-2</v>
      </c>
      <c r="B85" s="25">
        <v>300</v>
      </c>
      <c r="C85" s="25"/>
      <c r="D85">
        <f t="shared" ref="D85:I85" si="19">+D73*D61*D39</f>
        <v>0</v>
      </c>
      <c r="E85">
        <f t="shared" si="19"/>
        <v>0</v>
      </c>
      <c r="F85">
        <f t="shared" si="19"/>
        <v>0</v>
      </c>
      <c r="G85">
        <f t="shared" si="19"/>
        <v>0</v>
      </c>
      <c r="H85">
        <f t="shared" si="19"/>
        <v>0</v>
      </c>
      <c r="I85">
        <f t="shared" si="19"/>
        <v>397.0114882766083</v>
      </c>
    </row>
    <row r="86" spans="1:9" x14ac:dyDescent="0.25">
      <c r="B86" t="s">
        <v>100</v>
      </c>
    </row>
    <row r="87" spans="1:9" x14ac:dyDescent="0.25">
      <c r="A87" s="25" t="s">
        <v>91</v>
      </c>
      <c r="B87" s="25"/>
      <c r="C87" s="25"/>
    </row>
    <row r="88" spans="1:9" x14ac:dyDescent="0.25">
      <c r="A88" s="25">
        <v>0.25</v>
      </c>
      <c r="B88" s="25">
        <v>200</v>
      </c>
      <c r="C88" s="25"/>
      <c r="D88" s="29">
        <v>505.54849708219029</v>
      </c>
      <c r="E88" s="29">
        <v>505.54849708219029</v>
      </c>
      <c r="F88" s="29">
        <v>505.54849708219029</v>
      </c>
      <c r="G88" s="29">
        <v>505.54849708219029</v>
      </c>
      <c r="H88" s="29">
        <v>505.54849708219029</v>
      </c>
      <c r="I88" s="29">
        <v>505.54849708219029</v>
      </c>
    </row>
    <row r="89" spans="1:9" x14ac:dyDescent="0.25">
      <c r="A89" s="25">
        <v>0.25</v>
      </c>
      <c r="B89" s="25">
        <v>300</v>
      </c>
      <c r="C89" s="25"/>
      <c r="D89" s="29">
        <v>773.38529924158445</v>
      </c>
      <c r="E89" s="29">
        <v>773.38529924158445</v>
      </c>
      <c r="F89" s="29">
        <v>773.38529924158445</v>
      </c>
      <c r="G89" s="29">
        <v>773.38529924158445</v>
      </c>
      <c r="H89" s="29">
        <v>773.38529924158445</v>
      </c>
      <c r="I89" s="29">
        <v>773.38529924158445</v>
      </c>
    </row>
    <row r="90" spans="1:9" x14ac:dyDescent="0.25">
      <c r="A90" s="25">
        <v>0.18</v>
      </c>
      <c r="B90" s="25">
        <v>200</v>
      </c>
      <c r="C90" s="25"/>
      <c r="D90" s="29">
        <v>564.31490074874262</v>
      </c>
      <c r="E90" s="29">
        <v>564.31490074874262</v>
      </c>
      <c r="F90" s="29">
        <v>564.31490074874262</v>
      </c>
      <c r="G90" s="29">
        <v>564.31490074874262</v>
      </c>
      <c r="H90" s="29">
        <v>564.31490074874262</v>
      </c>
      <c r="I90" s="29">
        <v>564.31490074874262</v>
      </c>
    </row>
    <row r="91" spans="1:9" x14ac:dyDescent="0.25">
      <c r="A91" s="25">
        <v>0.18</v>
      </c>
      <c r="B91" s="25">
        <v>300</v>
      </c>
      <c r="C91" s="25"/>
      <c r="D91" s="29">
        <v>854.21342249999998</v>
      </c>
      <c r="E91" s="29">
        <v>854.21342249999998</v>
      </c>
      <c r="F91" s="29">
        <v>854.21342249999998</v>
      </c>
      <c r="G91" s="29">
        <v>854.21342249999998</v>
      </c>
      <c r="H91" s="29">
        <v>854.21342249999998</v>
      </c>
      <c r="I91" s="29">
        <v>854.21342249999998</v>
      </c>
    </row>
    <row r="92" spans="1:9" x14ac:dyDescent="0.25">
      <c r="A92" s="25">
        <v>0.13</v>
      </c>
      <c r="B92" s="25">
        <v>200</v>
      </c>
      <c r="C92" s="25"/>
      <c r="D92" s="29">
        <v>608.58019191529502</v>
      </c>
      <c r="E92" s="29">
        <v>608.58019191529502</v>
      </c>
      <c r="F92" s="29">
        <v>608.58019191529502</v>
      </c>
      <c r="G92" s="29">
        <v>608.58019191529502</v>
      </c>
      <c r="H92" s="29">
        <v>608.58019191529502</v>
      </c>
      <c r="I92" s="29">
        <v>608.58019191529502</v>
      </c>
    </row>
    <row r="93" spans="1:9" x14ac:dyDescent="0.25">
      <c r="A93" s="25">
        <v>0.13</v>
      </c>
      <c r="B93" s="25">
        <v>300</v>
      </c>
      <c r="C93" s="25"/>
      <c r="D93" s="29">
        <v>916.34649375000004</v>
      </c>
      <c r="E93" s="29">
        <v>916.34649375000004</v>
      </c>
      <c r="F93" s="29">
        <v>916.34649375000004</v>
      </c>
      <c r="G93" s="29">
        <v>916.34649375000004</v>
      </c>
      <c r="H93" s="29">
        <v>916.34649375000004</v>
      </c>
      <c r="I93" s="29">
        <v>916.34649375000004</v>
      </c>
    </row>
    <row r="94" spans="1:9" x14ac:dyDescent="0.25">
      <c r="A94" s="25">
        <v>0.09</v>
      </c>
      <c r="B94" s="25">
        <v>200</v>
      </c>
      <c r="C94" s="25"/>
      <c r="D94" s="29">
        <v>712.43129974851399</v>
      </c>
      <c r="E94" s="29">
        <v>712.43129974851399</v>
      </c>
      <c r="F94" s="29">
        <v>712.43129974851399</v>
      </c>
      <c r="G94" s="29">
        <v>712.43129974851399</v>
      </c>
      <c r="H94" s="29">
        <v>712.43129974851399</v>
      </c>
      <c r="I94" s="29">
        <v>712.43129974851399</v>
      </c>
    </row>
    <row r="95" spans="1:9" x14ac:dyDescent="0.25">
      <c r="A95" s="25">
        <v>0.09</v>
      </c>
      <c r="B95" s="25">
        <v>300</v>
      </c>
      <c r="C95" s="25"/>
      <c r="D95" s="29">
        <v>1030.3659275000002</v>
      </c>
      <c r="E95" s="29">
        <v>1030.3659275000002</v>
      </c>
      <c r="F95" s="29">
        <v>1030.3659275000002</v>
      </c>
      <c r="G95" s="29">
        <v>1030.3659275000002</v>
      </c>
      <c r="H95" s="29">
        <v>1030.3659275000002</v>
      </c>
      <c r="I95" s="29">
        <v>1030.3659275000002</v>
      </c>
    </row>
    <row r="96" spans="1:9" x14ac:dyDescent="0.25">
      <c r="A96" s="25">
        <v>6.5000000000000002E-2</v>
      </c>
      <c r="B96" s="25">
        <v>200</v>
      </c>
      <c r="C96" s="25"/>
      <c r="D96" s="29">
        <v>825.3554054983997</v>
      </c>
      <c r="E96" s="29">
        <v>825.3554054983997</v>
      </c>
      <c r="F96" s="29">
        <v>825.3554054983997</v>
      </c>
      <c r="G96" s="29">
        <v>825.3554054983997</v>
      </c>
      <c r="H96" s="29">
        <v>825.3554054983997</v>
      </c>
      <c r="I96" s="29">
        <v>825.3554054983997</v>
      </c>
    </row>
    <row r="97" spans="1:9" x14ac:dyDescent="0.25">
      <c r="A97" s="25">
        <v>6.5000000000000002E-2</v>
      </c>
      <c r="B97" s="25">
        <v>300</v>
      </c>
      <c r="C97" s="25"/>
      <c r="D97" s="29">
        <v>1150.2704695833334</v>
      </c>
      <c r="E97" s="29">
        <v>1150.2704695833334</v>
      </c>
      <c r="F97" s="29">
        <v>1150.2704695833334</v>
      </c>
      <c r="G97" s="29">
        <v>1150.2704695833334</v>
      </c>
      <c r="H97" s="29">
        <v>1150.2704695833334</v>
      </c>
      <c r="I97" s="29">
        <v>1150.2704695833334</v>
      </c>
    </row>
    <row r="98" spans="1:9" x14ac:dyDescent="0.25">
      <c r="B98" t="s">
        <v>101</v>
      </c>
    </row>
    <row r="99" spans="1:9" x14ac:dyDescent="0.25">
      <c r="A99" s="25" t="s">
        <v>91</v>
      </c>
      <c r="B99" s="25"/>
      <c r="C99" s="25"/>
    </row>
    <row r="100" spans="1:9" x14ac:dyDescent="0.25">
      <c r="A100" s="25">
        <v>0.25</v>
      </c>
      <c r="B100" s="25">
        <v>200</v>
      </c>
      <c r="C100" s="25"/>
      <c r="D100">
        <f t="shared" ref="D100:I100" si="20">+D88/D76</f>
        <v>1.1955682361671522</v>
      </c>
      <c r="E100">
        <f t="shared" si="20"/>
        <v>1.1616696868228502</v>
      </c>
      <c r="F100">
        <f t="shared" si="20"/>
        <v>1.1616695902477068</v>
      </c>
      <c r="G100">
        <f t="shared" si="20"/>
        <v>1.1616695902477068</v>
      </c>
      <c r="H100">
        <f t="shared" si="20"/>
        <v>1.1616695902477068</v>
      </c>
      <c r="I100">
        <f t="shared" si="20"/>
        <v>1.1616695902477068</v>
      </c>
    </row>
    <row r="101" spans="1:9" x14ac:dyDescent="0.25">
      <c r="A101" s="25">
        <v>0.25</v>
      </c>
      <c r="B101" s="25">
        <v>300</v>
      </c>
      <c r="C101" s="25"/>
    </row>
    <row r="102" spans="1:9" x14ac:dyDescent="0.25">
      <c r="A102" s="25">
        <v>0.18</v>
      </c>
      <c r="B102" s="25">
        <v>200</v>
      </c>
      <c r="C102" s="25"/>
      <c r="D102">
        <f t="shared" ref="D102:I102" si="21">+D90/D78</f>
        <v>1.3840873512135574</v>
      </c>
      <c r="E102">
        <f t="shared" si="21"/>
        <v>1.3351166239893668</v>
      </c>
      <c r="F102">
        <f t="shared" si="21"/>
        <v>1.3085270010230454</v>
      </c>
      <c r="G102">
        <f t="shared" si="21"/>
        <v>1.2967054087676328</v>
      </c>
      <c r="H102">
        <f t="shared" si="21"/>
        <v>1.2967053320772906</v>
      </c>
      <c r="I102">
        <f t="shared" si="21"/>
        <v>1.2967053869351937</v>
      </c>
    </row>
    <row r="103" spans="1:9" x14ac:dyDescent="0.25">
      <c r="A103" s="25">
        <v>0.18</v>
      </c>
      <c r="B103" s="25">
        <v>300</v>
      </c>
      <c r="C103" s="25"/>
    </row>
    <row r="104" spans="1:9" x14ac:dyDescent="0.25">
      <c r="A104" s="25">
        <v>0.13</v>
      </c>
      <c r="B104" s="25">
        <v>200</v>
      </c>
      <c r="C104" s="25"/>
      <c r="D104" s="30">
        <f t="shared" ref="D104:I105" si="22">+D92/D80</f>
        <v>2.2355781588550849</v>
      </c>
      <c r="E104" s="30">
        <f t="shared" si="22"/>
        <v>1.6856603406938508</v>
      </c>
      <c r="F104" s="30">
        <f t="shared" si="22"/>
        <v>1.4602777685230757</v>
      </c>
      <c r="G104" s="30">
        <f t="shared" si="22"/>
        <v>1.4309056845148345</v>
      </c>
      <c r="H104" s="30">
        <f t="shared" si="22"/>
        <v>1.4126456616124872</v>
      </c>
      <c r="I104" s="30">
        <f t="shared" si="22"/>
        <v>1.3984201755446071</v>
      </c>
    </row>
    <row r="105" spans="1:9" x14ac:dyDescent="0.25">
      <c r="A105" s="25">
        <v>0.13</v>
      </c>
      <c r="B105" s="25">
        <v>300</v>
      </c>
      <c r="C105" s="25"/>
      <c r="D105">
        <f t="shared" si="22"/>
        <v>2.5285242039817155</v>
      </c>
      <c r="E105">
        <f t="shared" si="22"/>
        <v>1.7625251840535505</v>
      </c>
      <c r="F105">
        <f t="shared" si="22"/>
        <v>1.2147356171387724</v>
      </c>
      <c r="G105">
        <f t="shared" si="22"/>
        <v>0.99956027874540432</v>
      </c>
      <c r="H105">
        <f t="shared" si="22"/>
        <v>0.93583005235864269</v>
      </c>
      <c r="I105">
        <f t="shared" si="22"/>
        <v>0.93583005235864269</v>
      </c>
    </row>
    <row r="106" spans="1:9" x14ac:dyDescent="0.25">
      <c r="A106" s="25">
        <v>0.09</v>
      </c>
      <c r="B106" s="25">
        <v>200</v>
      </c>
      <c r="C106" s="25"/>
      <c r="F106" s="30">
        <f t="shared" ref="F106:I107" si="23">+F94/F82</f>
        <v>3.2518411862966596</v>
      </c>
      <c r="G106" s="30">
        <f t="shared" si="23"/>
        <v>2.3825000730234209</v>
      </c>
      <c r="H106" s="30">
        <f t="shared" si="23"/>
        <v>1.9220089758574506</v>
      </c>
      <c r="I106" s="30">
        <f t="shared" si="23"/>
        <v>1.7160692904488646</v>
      </c>
    </row>
    <row r="107" spans="1:9" x14ac:dyDescent="0.25">
      <c r="A107" s="25">
        <v>0.09</v>
      </c>
      <c r="B107" s="25">
        <v>300</v>
      </c>
      <c r="C107" s="25"/>
      <c r="F107">
        <f t="shared" si="23"/>
        <v>3.1047351819731186</v>
      </c>
      <c r="G107">
        <f t="shared" si="23"/>
        <v>2.2132286535231676</v>
      </c>
      <c r="H107">
        <f t="shared" si="23"/>
        <v>1.513316162223685</v>
      </c>
      <c r="I107">
        <f t="shared" si="23"/>
        <v>1.186308422486803</v>
      </c>
    </row>
    <row r="108" spans="1:9" x14ac:dyDescent="0.25">
      <c r="A108" s="25">
        <v>6.5000000000000002E-2</v>
      </c>
      <c r="B108" s="25">
        <v>200</v>
      </c>
      <c r="C108" s="25"/>
    </row>
    <row r="109" spans="1:9" x14ac:dyDescent="0.25">
      <c r="A109" s="25">
        <v>6.5000000000000002E-2</v>
      </c>
      <c r="B109" s="25">
        <v>300</v>
      </c>
      <c r="C109" s="25"/>
      <c r="I109">
        <f>+I97/I85</f>
        <v>2.8973228824600405</v>
      </c>
    </row>
    <row r="110" spans="1:9" x14ac:dyDescent="0.25">
      <c r="A110" s="25" t="s">
        <v>103</v>
      </c>
      <c r="B110" s="25"/>
      <c r="C110" s="25"/>
      <c r="D110" s="25" t="s">
        <v>104</v>
      </c>
    </row>
    <row r="111" spans="1:9" x14ac:dyDescent="0.25">
      <c r="A111" s="25" t="s">
        <v>91</v>
      </c>
      <c r="B111" s="25"/>
      <c r="C111" s="25"/>
      <c r="D111" s="25"/>
    </row>
    <row r="112" spans="1:9" x14ac:dyDescent="0.25">
      <c r="A112" s="25">
        <v>0.25</v>
      </c>
      <c r="B112" s="25">
        <v>200</v>
      </c>
      <c r="C112" s="25"/>
      <c r="D112" s="29">
        <v>529.01640000000032</v>
      </c>
      <c r="E112" s="29">
        <v>529.01640000000032</v>
      </c>
      <c r="F112" s="29">
        <v>529.01640000000032</v>
      </c>
      <c r="G112" s="29">
        <v>529.01640000000032</v>
      </c>
      <c r="H112" s="29">
        <v>529.01640000000032</v>
      </c>
      <c r="I112" s="29">
        <v>529.01640000000032</v>
      </c>
    </row>
    <row r="113" spans="1:10" x14ac:dyDescent="0.25">
      <c r="A113" s="25">
        <v>0.25</v>
      </c>
      <c r="B113" s="25">
        <v>300</v>
      </c>
      <c r="C113" s="25"/>
      <c r="D113" s="29">
        <v>716.26810978770459</v>
      </c>
      <c r="E113" s="29">
        <v>716.26810978770459</v>
      </c>
      <c r="F113" s="29">
        <v>716.26810978770459</v>
      </c>
      <c r="G113" s="29">
        <v>716.26810978770459</v>
      </c>
      <c r="H113" s="29">
        <v>716.26810978770459</v>
      </c>
      <c r="I113" s="29">
        <v>716.26810978770459</v>
      </c>
    </row>
    <row r="114" spans="1:10" x14ac:dyDescent="0.25">
      <c r="A114" s="25">
        <v>0.18</v>
      </c>
      <c r="B114" s="25">
        <v>200</v>
      </c>
      <c r="C114" s="25"/>
      <c r="D114" s="29">
        <v>609.64200000000017</v>
      </c>
      <c r="E114" s="29">
        <v>609.64200000000017</v>
      </c>
      <c r="F114" s="29">
        <v>609.64200000000017</v>
      </c>
      <c r="G114" s="29">
        <v>609.64200000000017</v>
      </c>
      <c r="H114" s="29">
        <v>609.64200000000017</v>
      </c>
      <c r="I114" s="29">
        <v>609.64200000000017</v>
      </c>
    </row>
    <row r="115" spans="1:10" x14ac:dyDescent="0.25">
      <c r="A115" s="25">
        <v>0.18</v>
      </c>
      <c r="B115" s="25">
        <v>300</v>
      </c>
      <c r="C115" s="25"/>
      <c r="D115" s="29">
        <v>849.36851999999988</v>
      </c>
      <c r="E115" s="29">
        <v>849.36851999999988</v>
      </c>
      <c r="F115" s="29">
        <v>849.36851999999988</v>
      </c>
      <c r="G115" s="29">
        <v>849.36851999999988</v>
      </c>
      <c r="H115" s="29">
        <v>849.36851999999988</v>
      </c>
      <c r="I115" s="29">
        <v>849.36851999999988</v>
      </c>
    </row>
    <row r="116" spans="1:10" x14ac:dyDescent="0.25">
      <c r="A116" s="25">
        <v>0.13</v>
      </c>
      <c r="B116" s="25">
        <v>200</v>
      </c>
      <c r="C116" s="25"/>
      <c r="D116" s="29">
        <v>667.39200000000017</v>
      </c>
      <c r="E116" s="29">
        <v>667.39200000000017</v>
      </c>
      <c r="F116" s="29">
        <v>667.39200000000017</v>
      </c>
      <c r="G116" s="29">
        <v>667.39200000000017</v>
      </c>
      <c r="H116" s="29">
        <v>667.39200000000017</v>
      </c>
      <c r="I116" s="29">
        <v>667.39200000000017</v>
      </c>
    </row>
    <row r="117" spans="1:10" x14ac:dyDescent="0.25">
      <c r="A117" s="25">
        <v>0.13</v>
      </c>
      <c r="B117" s="25">
        <v>300</v>
      </c>
      <c r="C117" s="25"/>
      <c r="D117" s="29">
        <v>969.85680000000002</v>
      </c>
      <c r="E117" s="29">
        <v>969.85680000000002</v>
      </c>
      <c r="F117" s="29">
        <v>969.85680000000002</v>
      </c>
      <c r="G117" s="29">
        <v>969.85680000000002</v>
      </c>
      <c r="H117" s="29">
        <v>969.85680000000002</v>
      </c>
      <c r="I117" s="29">
        <v>969.85680000000002</v>
      </c>
    </row>
    <row r="118" spans="1:10" x14ac:dyDescent="0.25">
      <c r="A118" s="25">
        <v>0.09</v>
      </c>
      <c r="B118" s="25">
        <v>200</v>
      </c>
      <c r="C118" s="25"/>
      <c r="D118" s="29">
        <v>853.0368000000002</v>
      </c>
      <c r="E118" s="29">
        <v>853.0368000000002</v>
      </c>
      <c r="F118" s="29">
        <v>853.0368000000002</v>
      </c>
      <c r="G118" s="29">
        <v>853.0368000000002</v>
      </c>
      <c r="H118" s="29">
        <v>853.0368000000002</v>
      </c>
      <c r="I118" s="29">
        <v>853.0368000000002</v>
      </c>
    </row>
    <row r="119" spans="1:10" x14ac:dyDescent="0.25">
      <c r="A119" s="25">
        <v>0.09</v>
      </c>
      <c r="B119" s="25">
        <v>300</v>
      </c>
      <c r="C119" s="25"/>
      <c r="D119" s="29">
        <v>1206.9406800000004</v>
      </c>
      <c r="E119" s="29">
        <v>1206.9406800000004</v>
      </c>
      <c r="F119" s="29">
        <v>1206.9406800000004</v>
      </c>
      <c r="G119" s="29">
        <v>1206.9406800000004</v>
      </c>
      <c r="H119" s="29">
        <v>1206.9406800000004</v>
      </c>
      <c r="I119" s="29">
        <v>1206.9406800000004</v>
      </c>
    </row>
    <row r="120" spans="1:10" x14ac:dyDescent="0.25">
      <c r="A120" s="25">
        <v>6.5000000000000002E-2</v>
      </c>
      <c r="B120" s="25">
        <v>200</v>
      </c>
      <c r="C120" s="25"/>
      <c r="D120" s="29">
        <v>1034.7117000000001</v>
      </c>
      <c r="E120" s="29">
        <v>1034.7117000000001</v>
      </c>
      <c r="F120" s="29">
        <v>1034.7117000000001</v>
      </c>
      <c r="G120" s="29">
        <v>1034.7117000000001</v>
      </c>
      <c r="H120" s="29">
        <v>1034.7117000000001</v>
      </c>
      <c r="I120" s="29">
        <v>1034.7117000000001</v>
      </c>
    </row>
    <row r="121" spans="1:10" x14ac:dyDescent="0.25">
      <c r="A121" s="25">
        <v>6.5000000000000002E-2</v>
      </c>
      <c r="B121" s="25">
        <v>300</v>
      </c>
      <c r="C121" s="25"/>
      <c r="D121" s="29">
        <v>1413.5276100000001</v>
      </c>
      <c r="E121" s="29">
        <v>1413.5276100000001</v>
      </c>
      <c r="F121" s="29">
        <v>1413.5276100000001</v>
      </c>
      <c r="G121" s="29">
        <v>1413.5276100000001</v>
      </c>
      <c r="H121" s="29">
        <v>1413.5276100000001</v>
      </c>
      <c r="I121" s="29">
        <v>1413.5276100000001</v>
      </c>
    </row>
    <row r="122" spans="1:10" x14ac:dyDescent="0.25">
      <c r="A122" s="25" t="s">
        <v>103</v>
      </c>
      <c r="B122" s="25"/>
      <c r="C122" s="25"/>
      <c r="D122" s="25" t="s">
        <v>105</v>
      </c>
      <c r="E122" s="25"/>
      <c r="F122" s="25"/>
      <c r="G122" s="25"/>
      <c r="H122" s="25"/>
      <c r="I122" s="25"/>
      <c r="J122" s="25"/>
    </row>
    <row r="123" spans="1:10" x14ac:dyDescent="0.25">
      <c r="A123" s="25" t="s">
        <v>91</v>
      </c>
      <c r="B123" s="25"/>
      <c r="C123" s="25"/>
      <c r="D123" s="25"/>
      <c r="E123" s="25"/>
      <c r="F123" s="25"/>
      <c r="G123" s="25"/>
      <c r="H123" s="25"/>
      <c r="I123" s="25"/>
      <c r="J123" s="25"/>
    </row>
    <row r="124" spans="1:10" x14ac:dyDescent="0.25">
      <c r="A124" s="25">
        <v>0.25</v>
      </c>
      <c r="B124" s="25">
        <v>200</v>
      </c>
      <c r="C124" s="25"/>
      <c r="D124" s="25">
        <v>1.0748526713759081</v>
      </c>
      <c r="E124" s="25">
        <v>1.0748526713759081</v>
      </c>
      <c r="F124" s="25">
        <v>1.0748526713759081</v>
      </c>
      <c r="G124" s="25">
        <v>1.0748526713759081</v>
      </c>
      <c r="H124" s="25">
        <v>1.0748526713759081</v>
      </c>
      <c r="I124" s="25">
        <v>1.0748526713759081</v>
      </c>
    </row>
    <row r="125" spans="1:10" x14ac:dyDescent="0.25">
      <c r="A125" s="25">
        <v>0.25</v>
      </c>
      <c r="B125" s="25">
        <v>300</v>
      </c>
      <c r="C125" s="25"/>
      <c r="D125" s="25">
        <v>1.0909341364728695</v>
      </c>
      <c r="E125" s="25">
        <v>1.0909341364728695</v>
      </c>
      <c r="F125" s="25">
        <v>1.0909341364728695</v>
      </c>
      <c r="G125" s="25">
        <v>1.0909341364728695</v>
      </c>
      <c r="H125" s="25">
        <v>1.0909341364728695</v>
      </c>
      <c r="I125" s="25">
        <v>1.0909341364728695</v>
      </c>
    </row>
    <row r="126" spans="1:10" x14ac:dyDescent="0.25">
      <c r="A126" s="25">
        <v>0.18</v>
      </c>
      <c r="B126" s="25">
        <v>200</v>
      </c>
      <c r="C126" s="25"/>
      <c r="D126" s="25">
        <v>1.0468281168249316</v>
      </c>
      <c r="E126" s="25">
        <v>1.0468281168249316</v>
      </c>
      <c r="F126" s="25">
        <v>1.0468281168249316</v>
      </c>
      <c r="G126" s="25">
        <v>1.0468281168249316</v>
      </c>
      <c r="H126" s="25">
        <v>1.0468281168249316</v>
      </c>
      <c r="I126" s="25">
        <v>1.0468281168249316</v>
      </c>
    </row>
    <row r="127" spans="1:10" x14ac:dyDescent="0.25">
      <c r="A127" s="25">
        <v>0.18</v>
      </c>
      <c r="B127" s="25">
        <v>300</v>
      </c>
      <c r="C127" s="25"/>
      <c r="D127" s="25">
        <v>1.0697524593851713</v>
      </c>
      <c r="E127" s="25">
        <v>1.0697524593851713</v>
      </c>
      <c r="F127" s="25">
        <v>1.0697524593851713</v>
      </c>
      <c r="G127" s="25">
        <v>1.0697524593851713</v>
      </c>
      <c r="H127" s="25">
        <v>1.0697524593851713</v>
      </c>
      <c r="I127" s="25">
        <v>1.0697524593851713</v>
      </c>
    </row>
    <row r="128" spans="1:10" x14ac:dyDescent="0.25">
      <c r="A128" s="25">
        <v>0.13</v>
      </c>
      <c r="B128" s="25">
        <v>200</v>
      </c>
      <c r="C128" s="25"/>
      <c r="D128" s="25">
        <v>1.0426239117467144</v>
      </c>
      <c r="E128" s="25">
        <v>1.0870646213460204</v>
      </c>
      <c r="F128" s="25">
        <v>1.1333995678292488</v>
      </c>
      <c r="G128" s="25">
        <v>1.1333995678292488</v>
      </c>
      <c r="H128" s="25">
        <v>1.1333995678292488</v>
      </c>
      <c r="I128" s="25">
        <v>1.1333995678292488</v>
      </c>
    </row>
    <row r="129" spans="1:9" x14ac:dyDescent="0.25">
      <c r="A129" s="25">
        <v>0.13</v>
      </c>
      <c r="B129" s="25">
        <v>300</v>
      </c>
      <c r="C129" s="25"/>
      <c r="D129" s="25">
        <v>1.0378107032720478</v>
      </c>
      <c r="E129" s="25">
        <v>1.0770510558260225</v>
      </c>
      <c r="F129" s="25">
        <v>1.117775113706706</v>
      </c>
      <c r="G129" s="25">
        <v>1.117775113706706</v>
      </c>
      <c r="H129" s="25">
        <v>1.117775113706706</v>
      </c>
      <c r="I129" s="25">
        <v>1.117775113706706</v>
      </c>
    </row>
    <row r="130" spans="1:9" x14ac:dyDescent="0.25">
      <c r="A130" s="25">
        <v>0.09</v>
      </c>
      <c r="B130" s="25">
        <v>200</v>
      </c>
      <c r="C130" s="25"/>
      <c r="D130" s="25"/>
      <c r="E130" s="25"/>
      <c r="F130" s="25">
        <v>1</v>
      </c>
      <c r="G130" s="25">
        <v>1.0332373178614354</v>
      </c>
      <c r="H130" s="25">
        <v>1.0675793550214927</v>
      </c>
      <c r="I130" s="25">
        <v>1.1030628293866482</v>
      </c>
    </row>
    <row r="131" spans="1:9" x14ac:dyDescent="0.25">
      <c r="A131" s="25">
        <v>0.09</v>
      </c>
      <c r="B131" s="25">
        <v>300</v>
      </c>
      <c r="C131" s="25"/>
      <c r="D131" s="25"/>
      <c r="E131" s="25"/>
      <c r="F131" s="25">
        <v>1</v>
      </c>
      <c r="G131" s="25">
        <v>1.0270390497600927</v>
      </c>
      <c r="H131" s="25">
        <v>1.0548092097321142</v>
      </c>
      <c r="I131" s="25">
        <v>1.0833302484414651</v>
      </c>
    </row>
    <row r="132" spans="1:9" x14ac:dyDescent="0.25">
      <c r="A132" s="25">
        <v>6.5000000000000002E-2</v>
      </c>
      <c r="B132" s="25">
        <v>200</v>
      </c>
      <c r="C132" s="25"/>
      <c r="D132" s="25"/>
      <c r="E132" s="25"/>
      <c r="F132" s="25"/>
      <c r="G132" s="25"/>
      <c r="H132" s="25"/>
      <c r="I132" s="25">
        <v>1</v>
      </c>
    </row>
    <row r="133" spans="1:9" x14ac:dyDescent="0.25">
      <c r="A133" s="25">
        <v>6.5000000000000002E-2</v>
      </c>
      <c r="B133" s="25">
        <v>300</v>
      </c>
      <c r="C133" s="25"/>
      <c r="D133" s="25"/>
      <c r="E133" s="25"/>
      <c r="F133" s="25"/>
      <c r="G133" s="25"/>
      <c r="H133" s="25"/>
      <c r="I133" s="25">
        <v>1</v>
      </c>
    </row>
    <row r="134" spans="1:9" x14ac:dyDescent="0.25">
      <c r="A134" t="s">
        <v>106</v>
      </c>
    </row>
    <row r="135" spans="1:9" x14ac:dyDescent="0.25">
      <c r="A135" s="25" t="s">
        <v>91</v>
      </c>
      <c r="B135" s="25"/>
      <c r="C135" s="25"/>
    </row>
    <row r="136" spans="1:9" x14ac:dyDescent="0.25">
      <c r="A136" s="25">
        <v>0.25</v>
      </c>
      <c r="B136" s="25">
        <v>200</v>
      </c>
      <c r="C136" s="25"/>
      <c r="D136">
        <f t="shared" ref="D136:I141" si="24">D112/(20*D124)</f>
        <v>24.608786584807561</v>
      </c>
      <c r="E136">
        <f t="shared" si="24"/>
        <v>24.608786584807561</v>
      </c>
      <c r="F136">
        <f t="shared" si="24"/>
        <v>24.608786584807561</v>
      </c>
      <c r="G136">
        <f t="shared" si="24"/>
        <v>24.608786584807561</v>
      </c>
      <c r="H136">
        <f t="shared" si="24"/>
        <v>24.608786584807561</v>
      </c>
      <c r="I136">
        <f t="shared" si="24"/>
        <v>24.608786584807561</v>
      </c>
    </row>
    <row r="137" spans="1:9" x14ac:dyDescent="0.25">
      <c r="A137" s="25">
        <v>0.25</v>
      </c>
      <c r="B137" s="25">
        <v>300</v>
      </c>
      <c r="C137" s="25"/>
      <c r="D137">
        <f t="shared" si="24"/>
        <v>32.82820134786008</v>
      </c>
      <c r="E137">
        <f t="shared" si="24"/>
        <v>32.82820134786008</v>
      </c>
      <c r="F137">
        <f t="shared" si="24"/>
        <v>32.82820134786008</v>
      </c>
      <c r="G137">
        <f t="shared" si="24"/>
        <v>32.82820134786008</v>
      </c>
      <c r="H137">
        <f t="shared" si="24"/>
        <v>32.82820134786008</v>
      </c>
      <c r="I137">
        <f t="shared" si="24"/>
        <v>32.82820134786008</v>
      </c>
    </row>
    <row r="138" spans="1:9" x14ac:dyDescent="0.25">
      <c r="A138" s="25">
        <v>0.18</v>
      </c>
      <c r="B138" s="25">
        <v>200</v>
      </c>
      <c r="C138" s="25"/>
      <c r="D138">
        <f t="shared" si="24"/>
        <v>29.118533893083942</v>
      </c>
      <c r="E138">
        <f t="shared" si="24"/>
        <v>29.118533893083942</v>
      </c>
      <c r="F138">
        <f t="shared" si="24"/>
        <v>29.118533893083942</v>
      </c>
      <c r="G138">
        <f t="shared" si="24"/>
        <v>29.118533893083942</v>
      </c>
      <c r="H138">
        <f t="shared" si="24"/>
        <v>29.118533893083942</v>
      </c>
      <c r="I138">
        <f t="shared" si="24"/>
        <v>29.118533893083942</v>
      </c>
    </row>
    <row r="139" spans="1:9" x14ac:dyDescent="0.25">
      <c r="A139" s="25">
        <v>0.18</v>
      </c>
      <c r="B139" s="25">
        <v>300</v>
      </c>
      <c r="C139" s="25"/>
      <c r="D139">
        <f t="shared" si="24"/>
        <v>39.699302046389562</v>
      </c>
      <c r="E139">
        <f t="shared" si="24"/>
        <v>39.699302046389562</v>
      </c>
      <c r="F139">
        <f t="shared" si="24"/>
        <v>39.699302046389562</v>
      </c>
      <c r="G139">
        <f t="shared" si="24"/>
        <v>39.699302046389562</v>
      </c>
      <c r="H139">
        <f t="shared" si="24"/>
        <v>39.699302046389562</v>
      </c>
      <c r="I139">
        <f t="shared" si="24"/>
        <v>39.699302046389562</v>
      </c>
    </row>
    <row r="140" spans="1:9" x14ac:dyDescent="0.25">
      <c r="A140" s="25">
        <v>0.13</v>
      </c>
      <c r="B140" s="25">
        <v>200</v>
      </c>
      <c r="C140" s="25"/>
      <c r="D140">
        <f t="shared" si="24"/>
        <v>32.005404464679607</v>
      </c>
      <c r="E140">
        <f t="shared" si="24"/>
        <v>30.696979135132967</v>
      </c>
      <c r="F140">
        <f t="shared" si="24"/>
        <v>29.442044047988617</v>
      </c>
      <c r="G140">
        <f t="shared" si="24"/>
        <v>29.442044047988617</v>
      </c>
      <c r="H140">
        <f t="shared" si="24"/>
        <v>29.442044047988617</v>
      </c>
      <c r="I140">
        <f t="shared" si="24"/>
        <v>29.442044047988617</v>
      </c>
    </row>
    <row r="141" spans="1:9" x14ac:dyDescent="0.25">
      <c r="A141" s="25">
        <v>0.13</v>
      </c>
      <c r="B141" s="25">
        <v>300</v>
      </c>
      <c r="C141" s="25"/>
      <c r="D141">
        <f t="shared" si="24"/>
        <v>46.726093542020706</v>
      </c>
      <c r="E141">
        <f t="shared" si="24"/>
        <v>45.023715206155579</v>
      </c>
      <c r="F141">
        <f t="shared" si="24"/>
        <v>43.383359859561232</v>
      </c>
      <c r="G141">
        <f t="shared" si="24"/>
        <v>43.383359859561232</v>
      </c>
      <c r="H141">
        <f t="shared" si="24"/>
        <v>43.383359859561232</v>
      </c>
      <c r="I141">
        <f t="shared" si="24"/>
        <v>43.383359859561232</v>
      </c>
    </row>
    <row r="142" spans="1:9" x14ac:dyDescent="0.25">
      <c r="A142" s="25">
        <v>0.09</v>
      </c>
      <c r="B142" s="25">
        <v>200</v>
      </c>
      <c r="C142" s="25"/>
      <c r="F142">
        <f t="shared" ref="F142:I143" si="25">F118/(20*F130)</f>
        <v>42.651840000000007</v>
      </c>
      <c r="G142">
        <f t="shared" si="25"/>
        <v>41.279809839117647</v>
      </c>
      <c r="H142">
        <f t="shared" si="25"/>
        <v>39.951915330117394</v>
      </c>
      <c r="I142">
        <f t="shared" si="25"/>
        <v>38.666736711376927</v>
      </c>
    </row>
    <row r="143" spans="1:9" x14ac:dyDescent="0.25">
      <c r="A143" s="25">
        <v>0.09</v>
      </c>
      <c r="B143" s="25">
        <v>300</v>
      </c>
      <c r="C143" s="25"/>
      <c r="F143">
        <f t="shared" si="25"/>
        <v>60.347034000000022</v>
      </c>
      <c r="G143">
        <f t="shared" si="25"/>
        <v>58.758266313336918</v>
      </c>
      <c r="H143">
        <f t="shared" si="25"/>
        <v>57.211326411651378</v>
      </c>
      <c r="I143">
        <f t="shared" si="25"/>
        <v>55.70511308700037</v>
      </c>
    </row>
    <row r="144" spans="1:9" x14ac:dyDescent="0.25">
      <c r="A144" s="25">
        <v>6.5000000000000002E-2</v>
      </c>
      <c r="B144" s="25">
        <v>200</v>
      </c>
      <c r="C144" s="25"/>
      <c r="I144">
        <f>I120/(20*I132)</f>
        <v>51.735585</v>
      </c>
    </row>
    <row r="145" spans="1:9" x14ac:dyDescent="0.25">
      <c r="A145" s="25">
        <v>6.5000000000000002E-2</v>
      </c>
      <c r="B145" s="25">
        <v>300</v>
      </c>
      <c r="C145" s="25"/>
      <c r="I145">
        <f>I121/(20*I133)</f>
        <v>70.676380500000008</v>
      </c>
    </row>
    <row r="146" spans="1:9" x14ac:dyDescent="0.25">
      <c r="A146" t="s">
        <v>107</v>
      </c>
    </row>
    <row r="147" spans="1:9" x14ac:dyDescent="0.25">
      <c r="A147" s="25" t="s">
        <v>91</v>
      </c>
      <c r="B147" s="25"/>
      <c r="C147" s="25"/>
    </row>
    <row r="148" spans="1:9" x14ac:dyDescent="0.25">
      <c r="A148" s="25">
        <v>0.25</v>
      </c>
      <c r="B148" s="25">
        <v>200</v>
      </c>
      <c r="C148" s="25"/>
      <c r="D148" s="31">
        <v>170.39400000000003</v>
      </c>
      <c r="E148" s="31">
        <v>170.39400000000003</v>
      </c>
      <c r="F148" s="31">
        <v>170.39400000000003</v>
      </c>
      <c r="G148" s="31">
        <v>170.39400000000003</v>
      </c>
      <c r="H148" s="31">
        <v>170.39400000000003</v>
      </c>
      <c r="I148" s="31">
        <v>170.39400000000003</v>
      </c>
    </row>
    <row r="149" spans="1:9" x14ac:dyDescent="0.25">
      <c r="A149" s="25">
        <v>0.25</v>
      </c>
      <c r="B149" s="25">
        <v>300</v>
      </c>
      <c r="C149" s="25"/>
      <c r="D149" s="32"/>
      <c r="E149" s="32"/>
      <c r="F149" s="32"/>
      <c r="G149" s="32"/>
      <c r="H149" s="32"/>
      <c r="I149" s="32"/>
    </row>
    <row r="150" spans="1:9" x14ac:dyDescent="0.25">
      <c r="A150" s="25">
        <v>0.18</v>
      </c>
      <c r="B150" s="25">
        <v>200</v>
      </c>
      <c r="C150" s="25"/>
      <c r="D150" s="31">
        <v>164.77800000000002</v>
      </c>
      <c r="E150" s="31">
        <v>164.77800000000002</v>
      </c>
      <c r="F150" s="31">
        <v>164.77800000000002</v>
      </c>
      <c r="G150" s="31">
        <v>164.77800000000002</v>
      </c>
      <c r="H150" s="31">
        <v>164.77800000000002</v>
      </c>
      <c r="I150" s="31">
        <v>164.77800000000002</v>
      </c>
    </row>
    <row r="151" spans="1:9" x14ac:dyDescent="0.25">
      <c r="A151" s="25">
        <v>0.18</v>
      </c>
      <c r="B151" s="25">
        <v>300</v>
      </c>
      <c r="C151" s="25"/>
      <c r="D151" s="31">
        <v>397.8617900000001</v>
      </c>
      <c r="E151" s="31">
        <v>397.8617900000001</v>
      </c>
      <c r="F151" s="31">
        <v>397.8617900000001</v>
      </c>
      <c r="G151" s="31">
        <v>397.8617900000001</v>
      </c>
      <c r="H151" s="31">
        <v>397.8617900000001</v>
      </c>
      <c r="I151" s="31">
        <v>397.8617900000001</v>
      </c>
    </row>
    <row r="152" spans="1:9" x14ac:dyDescent="0.25">
      <c r="A152" s="25">
        <v>0.13</v>
      </c>
      <c r="B152" s="25">
        <v>200</v>
      </c>
      <c r="C152" s="25"/>
      <c r="D152" s="31">
        <v>238.0976</v>
      </c>
      <c r="E152" s="31">
        <v>238.0976</v>
      </c>
      <c r="F152" s="31">
        <v>238.0976</v>
      </c>
      <c r="G152" s="31">
        <v>238.0976</v>
      </c>
      <c r="H152" s="31">
        <v>238.0976</v>
      </c>
      <c r="I152" s="31">
        <v>238.0976</v>
      </c>
    </row>
    <row r="153" spans="1:9" x14ac:dyDescent="0.25">
      <c r="A153" s="25">
        <v>0.13</v>
      </c>
      <c r="B153" s="25">
        <v>300</v>
      </c>
      <c r="C153" s="25"/>
      <c r="D153" s="31">
        <v>368.9756799999999</v>
      </c>
      <c r="E153" s="31">
        <v>368.9756799999999</v>
      </c>
      <c r="F153" s="31">
        <v>368.9756799999999</v>
      </c>
      <c r="G153" s="31">
        <v>368.9756799999999</v>
      </c>
      <c r="H153" s="31">
        <v>368.9756799999999</v>
      </c>
      <c r="I153" s="31">
        <v>368.9756799999999</v>
      </c>
    </row>
    <row r="154" spans="1:9" x14ac:dyDescent="0.25">
      <c r="A154" s="25">
        <v>0.09</v>
      </c>
      <c r="B154" s="25">
        <v>200</v>
      </c>
      <c r="C154" s="25"/>
      <c r="D154" s="31">
        <v>280.58879999999994</v>
      </c>
      <c r="E154" s="31">
        <v>280.58879999999994</v>
      </c>
      <c r="F154" s="31">
        <v>280.58879999999994</v>
      </c>
      <c r="G154" s="31">
        <v>280.58879999999994</v>
      </c>
      <c r="H154" s="31">
        <v>280.58879999999994</v>
      </c>
      <c r="I154" s="31">
        <v>280.58879999999994</v>
      </c>
    </row>
    <row r="155" spans="1:9" x14ac:dyDescent="0.25">
      <c r="A155" s="25">
        <v>0.09</v>
      </c>
      <c r="B155" s="25">
        <v>300</v>
      </c>
      <c r="C155" s="25"/>
      <c r="D155" s="31">
        <v>367.00628000000006</v>
      </c>
      <c r="E155" s="31">
        <v>367.00628000000006</v>
      </c>
      <c r="F155" s="31">
        <v>367.00628000000006</v>
      </c>
      <c r="G155" s="31">
        <v>367.00628000000006</v>
      </c>
      <c r="H155" s="31">
        <v>367.00628000000006</v>
      </c>
      <c r="I155" s="31">
        <v>367.00628000000006</v>
      </c>
    </row>
    <row r="156" spans="1:9" x14ac:dyDescent="0.25">
      <c r="A156" s="25">
        <v>6.5000000000000002E-2</v>
      </c>
      <c r="B156" s="25">
        <v>200</v>
      </c>
      <c r="C156" s="25"/>
      <c r="D156" s="31">
        <v>358.12170000000003</v>
      </c>
      <c r="E156" s="31">
        <v>358.12170000000003</v>
      </c>
      <c r="F156" s="31">
        <v>358.12170000000003</v>
      </c>
      <c r="G156" s="31">
        <v>358.12170000000003</v>
      </c>
      <c r="H156" s="31">
        <v>358.12170000000003</v>
      </c>
      <c r="I156" s="31">
        <v>358.12170000000003</v>
      </c>
    </row>
    <row r="157" spans="1:9" x14ac:dyDescent="0.25">
      <c r="A157" s="25">
        <v>6.5000000000000002E-2</v>
      </c>
      <c r="B157" s="25">
        <v>300</v>
      </c>
      <c r="C157" s="25"/>
      <c r="D157" s="32">
        <v>457.60341000000017</v>
      </c>
      <c r="E157" s="32">
        <v>457.60341000000017</v>
      </c>
      <c r="F157" s="32">
        <v>457.60341000000017</v>
      </c>
      <c r="G157" s="32">
        <v>457.60341000000017</v>
      </c>
      <c r="H157" s="32">
        <v>457.60341000000017</v>
      </c>
      <c r="I157" s="32">
        <v>457.60341000000017</v>
      </c>
    </row>
    <row r="158" spans="1:9" x14ac:dyDescent="0.25">
      <c r="A158" t="s">
        <v>108</v>
      </c>
    </row>
    <row r="159" spans="1:9" x14ac:dyDescent="0.25">
      <c r="A159" s="25" t="s">
        <v>91</v>
      </c>
      <c r="B159" s="25"/>
      <c r="C159" s="25"/>
    </row>
    <row r="160" spans="1:9" x14ac:dyDescent="0.25">
      <c r="A160" s="25">
        <v>0.25</v>
      </c>
      <c r="B160" s="25">
        <v>200</v>
      </c>
      <c r="C160" s="25"/>
      <c r="D160">
        <f t="shared" ref="D160:I160" si="26">+D148/(20*D124)</f>
        <v>7.9263886362156217</v>
      </c>
      <c r="E160">
        <f t="shared" si="26"/>
        <v>7.9263886362156217</v>
      </c>
      <c r="F160">
        <f t="shared" si="26"/>
        <v>7.9263886362156217</v>
      </c>
      <c r="G160">
        <f t="shared" si="26"/>
        <v>7.9263886362156217</v>
      </c>
      <c r="H160">
        <f t="shared" si="26"/>
        <v>7.9263886362156217</v>
      </c>
      <c r="I160">
        <f t="shared" si="26"/>
        <v>7.9263886362156217</v>
      </c>
    </row>
    <row r="161" spans="1:9" x14ac:dyDescent="0.25">
      <c r="A161" s="25">
        <v>0.25</v>
      </c>
      <c r="B161" s="25">
        <v>300</v>
      </c>
      <c r="C161" s="25"/>
    </row>
    <row r="162" spans="1:9" x14ac:dyDescent="0.25">
      <c r="A162" s="25">
        <v>0.18</v>
      </c>
      <c r="B162" s="25">
        <v>200</v>
      </c>
      <c r="C162" s="25"/>
      <c r="D162">
        <f t="shared" ref="D162:I165" si="27">+D150/(20*D126)</f>
        <v>7.8703464948848429</v>
      </c>
      <c r="E162">
        <f t="shared" si="27"/>
        <v>7.8703464948848429</v>
      </c>
      <c r="F162">
        <f t="shared" si="27"/>
        <v>7.8703464948848429</v>
      </c>
      <c r="G162">
        <f t="shared" si="27"/>
        <v>7.8703464948848429</v>
      </c>
      <c r="H162">
        <f t="shared" si="27"/>
        <v>7.8703464948848429</v>
      </c>
      <c r="I162">
        <f t="shared" si="27"/>
        <v>7.8703464948848429</v>
      </c>
    </row>
    <row r="163" spans="1:9" x14ac:dyDescent="0.25">
      <c r="A163" s="25">
        <v>0.18</v>
      </c>
      <c r="B163" s="25">
        <v>300</v>
      </c>
      <c r="C163" s="25"/>
      <c r="D163">
        <f t="shared" si="27"/>
        <v>18.595974541094623</v>
      </c>
      <c r="E163">
        <f t="shared" si="27"/>
        <v>18.595974541094623</v>
      </c>
      <c r="F163">
        <f t="shared" si="27"/>
        <v>18.595974541094623</v>
      </c>
      <c r="G163">
        <f t="shared" si="27"/>
        <v>18.595974541094623</v>
      </c>
      <c r="H163">
        <f t="shared" si="27"/>
        <v>18.595974541094623</v>
      </c>
      <c r="I163">
        <f t="shared" si="27"/>
        <v>18.595974541094623</v>
      </c>
    </row>
    <row r="164" spans="1:9" x14ac:dyDescent="0.25">
      <c r="A164" s="25">
        <v>0.13</v>
      </c>
      <c r="B164" s="25">
        <v>200</v>
      </c>
      <c r="C164" s="25"/>
      <c r="D164">
        <f t="shared" si="27"/>
        <v>11.418191992216713</v>
      </c>
      <c r="E164">
        <f t="shared" si="27"/>
        <v>10.951400465281623</v>
      </c>
      <c r="F164">
        <f t="shared" si="27"/>
        <v>10.503692023459037</v>
      </c>
      <c r="G164">
        <f t="shared" si="27"/>
        <v>10.503692023459037</v>
      </c>
      <c r="H164">
        <f t="shared" si="27"/>
        <v>10.503692023459037</v>
      </c>
      <c r="I164">
        <f t="shared" si="27"/>
        <v>10.503692023459037</v>
      </c>
    </row>
    <row r="165" spans="1:9" x14ac:dyDescent="0.25">
      <c r="A165" s="25">
        <v>0.13</v>
      </c>
      <c r="B165" s="25">
        <v>300</v>
      </c>
      <c r="C165" s="25"/>
      <c r="D165">
        <f t="shared" si="27"/>
        <v>17.776636858565812</v>
      </c>
      <c r="E165">
        <f t="shared" si="27"/>
        <v>17.128978148441696</v>
      </c>
      <c r="F165">
        <f t="shared" si="27"/>
        <v>16.504915679166558</v>
      </c>
      <c r="G165">
        <f t="shared" si="27"/>
        <v>16.504915679166558</v>
      </c>
      <c r="H165">
        <f t="shared" si="27"/>
        <v>16.504915679166558</v>
      </c>
      <c r="I165">
        <f t="shared" si="27"/>
        <v>16.504915679166558</v>
      </c>
    </row>
    <row r="166" spans="1:9" x14ac:dyDescent="0.25">
      <c r="A166" s="25">
        <v>0.09</v>
      </c>
      <c r="B166" s="25">
        <v>200</v>
      </c>
      <c r="C166" s="25"/>
      <c r="F166">
        <f t="shared" ref="F166:I167" si="28">+F154/(20*F130)</f>
        <v>14.029439999999997</v>
      </c>
      <c r="G166">
        <f t="shared" si="28"/>
        <v>13.578139075578227</v>
      </c>
      <c r="H166">
        <f t="shared" si="28"/>
        <v>13.141355660364521</v>
      </c>
      <c r="I166">
        <f t="shared" si="28"/>
        <v>12.718622753158121</v>
      </c>
    </row>
    <row r="167" spans="1:9" x14ac:dyDescent="0.25">
      <c r="A167" s="25">
        <v>0.09</v>
      </c>
      <c r="B167" s="25">
        <v>300</v>
      </c>
      <c r="C167" s="25"/>
      <c r="F167">
        <f t="shared" si="28"/>
        <v>18.350314000000004</v>
      </c>
      <c r="G167">
        <f t="shared" si="28"/>
        <v>17.867201840364757</v>
      </c>
      <c r="H167">
        <f t="shared" si="28"/>
        <v>17.396808665199615</v>
      </c>
      <c r="I167">
        <f t="shared" si="28"/>
        <v>16.938799619414038</v>
      </c>
    </row>
    <row r="168" spans="1:9" x14ac:dyDescent="0.25">
      <c r="A168" s="25">
        <v>6.5000000000000002E-2</v>
      </c>
      <c r="B168" s="25">
        <v>200</v>
      </c>
      <c r="C168" s="25"/>
      <c r="I168">
        <f>+I156/(20*I132)</f>
        <v>17.906085000000001</v>
      </c>
    </row>
    <row r="169" spans="1:9" x14ac:dyDescent="0.25">
      <c r="A169" s="25">
        <v>6.5000000000000002E-2</v>
      </c>
      <c r="B169" s="25">
        <v>300</v>
      </c>
      <c r="C169" s="25"/>
      <c r="I169">
        <f>+I157/(20*I133)</f>
        <v>22.880170500000009</v>
      </c>
    </row>
    <row r="170" spans="1:9" x14ac:dyDescent="0.25">
      <c r="A170" t="s">
        <v>109</v>
      </c>
    </row>
    <row r="171" spans="1:9" x14ac:dyDescent="0.25">
      <c r="A171" s="25" t="s">
        <v>91</v>
      </c>
      <c r="B171" s="25"/>
      <c r="C171" s="25"/>
    </row>
    <row r="172" spans="1:9" x14ac:dyDescent="0.25">
      <c r="A172" s="25">
        <v>0.25</v>
      </c>
      <c r="B172" s="25">
        <v>200</v>
      </c>
      <c r="C172" s="25"/>
      <c r="D172" s="31">
        <v>222.23340000000007</v>
      </c>
      <c r="E172" s="31">
        <v>222.23340000000007</v>
      </c>
      <c r="F172" s="31">
        <v>222.23340000000007</v>
      </c>
      <c r="G172" s="31">
        <v>222.23340000000007</v>
      </c>
      <c r="H172" s="31">
        <v>222.23340000000007</v>
      </c>
      <c r="I172" s="31">
        <v>222.23340000000007</v>
      </c>
    </row>
    <row r="173" spans="1:9" x14ac:dyDescent="0.25">
      <c r="A173" s="25">
        <v>0.25</v>
      </c>
      <c r="B173" s="25">
        <v>300</v>
      </c>
      <c r="C173" s="25"/>
      <c r="D173" s="32"/>
      <c r="E173" s="32"/>
      <c r="F173" s="32"/>
      <c r="G173" s="32"/>
      <c r="H173" s="32"/>
      <c r="I173" s="32"/>
    </row>
    <row r="174" spans="1:9" x14ac:dyDescent="0.25">
      <c r="A174" s="25">
        <v>0.18</v>
      </c>
      <c r="B174" s="25">
        <v>200</v>
      </c>
      <c r="C174" s="25"/>
      <c r="D174" s="31">
        <v>348.07980000000003</v>
      </c>
      <c r="E174" s="31">
        <v>348.07980000000003</v>
      </c>
      <c r="F174" s="31">
        <v>348.07980000000003</v>
      </c>
      <c r="G174" s="31">
        <v>348.07980000000003</v>
      </c>
      <c r="H174" s="31">
        <v>348.07980000000003</v>
      </c>
      <c r="I174" s="31">
        <v>348.07980000000003</v>
      </c>
    </row>
    <row r="175" spans="1:9" x14ac:dyDescent="0.25">
      <c r="A175" s="25">
        <v>0.18</v>
      </c>
      <c r="B175" s="25">
        <v>300</v>
      </c>
      <c r="C175" s="25"/>
      <c r="D175" s="31"/>
      <c r="E175" s="31"/>
      <c r="F175" s="31"/>
      <c r="G175" s="31"/>
      <c r="H175" s="31"/>
      <c r="I175" s="31"/>
    </row>
    <row r="176" spans="1:9" x14ac:dyDescent="0.25">
      <c r="A176" s="25">
        <v>0.13</v>
      </c>
      <c r="B176" s="25">
        <v>200</v>
      </c>
      <c r="C176" s="25"/>
      <c r="D176" s="31">
        <v>296.90659999999997</v>
      </c>
      <c r="E176" s="31">
        <v>296.90659999999997</v>
      </c>
      <c r="F176" s="31">
        <v>296.90659999999997</v>
      </c>
      <c r="G176" s="31">
        <v>296.90659999999997</v>
      </c>
      <c r="H176" s="31">
        <v>296.90659999999997</v>
      </c>
      <c r="I176" s="31">
        <v>296.90659999999997</v>
      </c>
    </row>
    <row r="177" spans="1:9" x14ac:dyDescent="0.25">
      <c r="A177" s="25">
        <v>0.13</v>
      </c>
      <c r="B177" s="25">
        <v>300</v>
      </c>
      <c r="C177" s="25"/>
      <c r="D177" s="31">
        <v>753.73157500000025</v>
      </c>
      <c r="E177" s="31">
        <v>753.73157500000025</v>
      </c>
      <c r="F177" s="31">
        <v>753.73157500000025</v>
      </c>
      <c r="G177" s="31">
        <v>753.73157500000025</v>
      </c>
      <c r="H177" s="31">
        <v>753.73157500000025</v>
      </c>
      <c r="I177" s="31">
        <v>753.73157500000025</v>
      </c>
    </row>
    <row r="178" spans="1:9" x14ac:dyDescent="0.25">
      <c r="A178" s="25">
        <v>0.09</v>
      </c>
      <c r="B178" s="25">
        <v>200</v>
      </c>
      <c r="C178" s="25"/>
      <c r="D178" s="31">
        <v>541.8922</v>
      </c>
      <c r="E178" s="31">
        <v>541.8922</v>
      </c>
      <c r="F178" s="31">
        <v>541.8922</v>
      </c>
      <c r="G178" s="31">
        <v>541.8922</v>
      </c>
      <c r="H178" s="31">
        <v>541.8922</v>
      </c>
      <c r="I178" s="31">
        <v>541.8922</v>
      </c>
    </row>
    <row r="179" spans="1:9" x14ac:dyDescent="0.25">
      <c r="A179" s="25">
        <v>0.09</v>
      </c>
      <c r="B179" s="25">
        <v>300</v>
      </c>
      <c r="C179" s="25"/>
      <c r="D179" s="31">
        <v>765.89274000000023</v>
      </c>
      <c r="E179" s="31">
        <v>765.89274000000023</v>
      </c>
      <c r="F179" s="31">
        <v>765.89274000000023</v>
      </c>
      <c r="G179" s="31">
        <v>765.89274000000023</v>
      </c>
      <c r="H179" s="31">
        <v>765.89274000000023</v>
      </c>
      <c r="I179" s="31">
        <v>765.89274000000023</v>
      </c>
    </row>
    <row r="180" spans="1:9" x14ac:dyDescent="0.25">
      <c r="A180" s="25">
        <v>6.5000000000000002E-2</v>
      </c>
      <c r="B180" s="25">
        <v>200</v>
      </c>
      <c r="C180" s="25"/>
      <c r="D180" s="31">
        <v>581.06370000000015</v>
      </c>
      <c r="E180" s="31">
        <v>581.06370000000015</v>
      </c>
      <c r="F180" s="31">
        <v>581.06370000000015</v>
      </c>
      <c r="G180" s="31">
        <v>581.06370000000015</v>
      </c>
      <c r="H180" s="31">
        <v>581.06370000000015</v>
      </c>
      <c r="I180" s="31">
        <v>581.06370000000015</v>
      </c>
    </row>
    <row r="181" spans="1:9" x14ac:dyDescent="0.25">
      <c r="A181" s="25">
        <v>6.5000000000000002E-2</v>
      </c>
      <c r="B181" s="25">
        <v>300</v>
      </c>
      <c r="C181" s="25"/>
      <c r="D181" s="32">
        <v>741.57041000000027</v>
      </c>
      <c r="E181" s="32">
        <v>741.57041000000027</v>
      </c>
      <c r="F181" s="32">
        <v>741.57041000000027</v>
      </c>
      <c r="G181" s="32">
        <v>741.57041000000027</v>
      </c>
      <c r="H181" s="32">
        <v>741.57041000000027</v>
      </c>
      <c r="I181" s="32">
        <v>741.57041000000027</v>
      </c>
    </row>
    <row r="182" spans="1:9" x14ac:dyDescent="0.25">
      <c r="D182" s="32"/>
      <c r="E182" s="32"/>
      <c r="F182" s="32"/>
      <c r="G182" s="32"/>
      <c r="H182" s="32"/>
      <c r="I182" s="32"/>
    </row>
    <row r="183" spans="1:9" x14ac:dyDescent="0.25">
      <c r="A183" t="s">
        <v>110</v>
      </c>
    </row>
    <row r="184" spans="1:9" x14ac:dyDescent="0.25">
      <c r="A184" s="25" t="s">
        <v>91</v>
      </c>
      <c r="B184" s="25"/>
      <c r="C184" s="25"/>
    </row>
    <row r="185" spans="1:9" x14ac:dyDescent="0.25">
      <c r="A185" s="25">
        <v>0.25</v>
      </c>
      <c r="B185" s="25">
        <v>200</v>
      </c>
      <c r="C185" s="25"/>
      <c r="D185">
        <f t="shared" ref="D185:I185" si="29">+D172/(20*D124)</f>
        <v>10.337854010983726</v>
      </c>
      <c r="E185">
        <f t="shared" si="29"/>
        <v>10.337854010983726</v>
      </c>
      <c r="F185">
        <f t="shared" si="29"/>
        <v>10.337854010983726</v>
      </c>
      <c r="G185">
        <f t="shared" si="29"/>
        <v>10.337854010983726</v>
      </c>
      <c r="H185">
        <f t="shared" si="29"/>
        <v>10.337854010983726</v>
      </c>
      <c r="I185">
        <f t="shared" si="29"/>
        <v>10.337854010983726</v>
      </c>
    </row>
    <row r="186" spans="1:9" x14ac:dyDescent="0.25">
      <c r="A186" s="25">
        <v>0.25</v>
      </c>
      <c r="B186" s="25">
        <v>300</v>
      </c>
      <c r="C186" s="25"/>
    </row>
    <row r="187" spans="1:9" x14ac:dyDescent="0.25">
      <c r="A187" s="25">
        <v>0.18</v>
      </c>
      <c r="B187" s="25">
        <v>200</v>
      </c>
      <c r="C187" s="25"/>
      <c r="D187">
        <f t="shared" ref="D187:I187" si="30">+D174/(20*D126)</f>
        <v>16.625451418697988</v>
      </c>
      <c r="E187">
        <f t="shared" si="30"/>
        <v>16.625451418697988</v>
      </c>
      <c r="F187">
        <f t="shared" si="30"/>
        <v>16.625451418697988</v>
      </c>
      <c r="G187">
        <f t="shared" si="30"/>
        <v>16.625451418697988</v>
      </c>
      <c r="H187">
        <f t="shared" si="30"/>
        <v>16.625451418697988</v>
      </c>
      <c r="I187">
        <f t="shared" si="30"/>
        <v>16.625451418697988</v>
      </c>
    </row>
    <row r="188" spans="1:9" x14ac:dyDescent="0.25">
      <c r="A188" s="25">
        <v>0.18</v>
      </c>
      <c r="B188" s="25">
        <v>300</v>
      </c>
      <c r="C188" s="25"/>
    </row>
    <row r="189" spans="1:9" x14ac:dyDescent="0.25">
      <c r="A189" s="25">
        <v>0.13</v>
      </c>
      <c r="B189" s="25">
        <v>200</v>
      </c>
      <c r="C189" s="25"/>
      <c r="D189">
        <f t="shared" ref="D189:I190" si="31">+D176/(20*D128)</f>
        <v>14.238432317487831</v>
      </c>
      <c r="E189">
        <f t="shared" si="31"/>
        <v>13.65634545407087</v>
      </c>
      <c r="F189">
        <f t="shared" si="31"/>
        <v>13.098055109049156</v>
      </c>
      <c r="G189">
        <f t="shared" si="31"/>
        <v>13.098055109049156</v>
      </c>
      <c r="H189">
        <f t="shared" si="31"/>
        <v>13.098055109049156</v>
      </c>
      <c r="I189">
        <f t="shared" si="31"/>
        <v>13.098055109049156</v>
      </c>
    </row>
    <row r="190" spans="1:9" x14ac:dyDescent="0.25">
      <c r="A190" s="25">
        <v>0.13</v>
      </c>
      <c r="B190" s="25">
        <v>300</v>
      </c>
      <c r="C190" s="25"/>
      <c r="D190">
        <f t="shared" si="31"/>
        <v>36.313538327539284</v>
      </c>
      <c r="E190">
        <f t="shared" si="31"/>
        <v>34.990522079844261</v>
      </c>
      <c r="F190">
        <f t="shared" si="31"/>
        <v>33.715707469122115</v>
      </c>
      <c r="G190">
        <f t="shared" si="31"/>
        <v>33.715707469122115</v>
      </c>
      <c r="H190">
        <f t="shared" si="31"/>
        <v>33.715707469122115</v>
      </c>
      <c r="I190">
        <f t="shared" si="31"/>
        <v>33.715707469122115</v>
      </c>
    </row>
    <row r="191" spans="1:9" x14ac:dyDescent="0.25">
      <c r="A191" s="25">
        <v>0.09</v>
      </c>
      <c r="B191" s="25">
        <v>200</v>
      </c>
      <c r="C191" s="25"/>
      <c r="F191">
        <f t="shared" ref="F191:I192" si="32">+F178/(20*F130)</f>
        <v>27.094609999999999</v>
      </c>
      <c r="G191">
        <f t="shared" si="32"/>
        <v>26.223026919004084</v>
      </c>
      <c r="H191">
        <f t="shared" si="32"/>
        <v>25.379481040502633</v>
      </c>
      <c r="I191">
        <f t="shared" si="32"/>
        <v>24.563070459971719</v>
      </c>
    </row>
    <row r="192" spans="1:9" x14ac:dyDescent="0.25">
      <c r="A192" s="25">
        <v>0.09</v>
      </c>
      <c r="B192" s="25">
        <v>300</v>
      </c>
      <c r="C192" s="25"/>
      <c r="F192">
        <f t="shared" si="32"/>
        <v>38.294637000000009</v>
      </c>
      <c r="G192">
        <f t="shared" si="32"/>
        <v>37.286446906712357</v>
      </c>
      <c r="H192">
        <f t="shared" si="32"/>
        <v>36.304799623171242</v>
      </c>
      <c r="I192">
        <f t="shared" si="32"/>
        <v>35.348996351844377</v>
      </c>
    </row>
    <row r="193" spans="1:12" x14ac:dyDescent="0.25">
      <c r="A193" s="25">
        <v>6.5000000000000002E-2</v>
      </c>
      <c r="B193" s="25">
        <v>200</v>
      </c>
      <c r="C193" s="25"/>
      <c r="I193">
        <f>+I180/(20*I132)</f>
        <v>29.053185000000006</v>
      </c>
    </row>
    <row r="194" spans="1:12" x14ac:dyDescent="0.25">
      <c r="A194" s="25">
        <v>6.5000000000000002E-2</v>
      </c>
      <c r="B194" s="25">
        <v>300</v>
      </c>
      <c r="C194" s="25"/>
      <c r="I194">
        <f>+I181/(20*I133)</f>
        <v>37.07852050000001</v>
      </c>
    </row>
    <row r="195" spans="1:12" x14ac:dyDescent="0.25">
      <c r="A195" t="s">
        <v>111</v>
      </c>
      <c r="L195" t="s">
        <v>114</v>
      </c>
    </row>
    <row r="196" spans="1:12" x14ac:dyDescent="0.25">
      <c r="A196" s="25">
        <v>0.25</v>
      </c>
      <c r="B196" s="25">
        <v>200</v>
      </c>
      <c r="C196" s="25"/>
    </row>
    <row r="197" spans="1:12" x14ac:dyDescent="0.25">
      <c r="A197" s="25">
        <v>0.25</v>
      </c>
      <c r="B197" s="25">
        <v>300</v>
      </c>
      <c r="C197" s="25"/>
    </row>
    <row r="198" spans="1:12" x14ac:dyDescent="0.25">
      <c r="A198" s="25">
        <v>0.18</v>
      </c>
      <c r="B198" s="25">
        <v>200</v>
      </c>
      <c r="C198" s="25"/>
      <c r="D198" s="33">
        <v>1</v>
      </c>
      <c r="E198" s="33">
        <v>1</v>
      </c>
      <c r="F198" s="33">
        <v>1</v>
      </c>
      <c r="G198" s="33">
        <v>1</v>
      </c>
      <c r="H198" s="33">
        <v>1</v>
      </c>
      <c r="I198" s="33">
        <v>1</v>
      </c>
    </row>
    <row r="199" spans="1:12" x14ac:dyDescent="0.25">
      <c r="A199" s="25">
        <v>0.18</v>
      </c>
      <c r="B199" s="25">
        <v>300</v>
      </c>
      <c r="C199" s="25"/>
    </row>
    <row r="200" spans="1:12" x14ac:dyDescent="0.25">
      <c r="A200" s="25">
        <v>0.13</v>
      </c>
      <c r="B200" s="25">
        <v>200</v>
      </c>
      <c r="C200" s="25"/>
      <c r="D200" s="33">
        <v>1</v>
      </c>
      <c r="E200" s="33">
        <v>1</v>
      </c>
      <c r="F200" s="33">
        <v>1</v>
      </c>
      <c r="G200" s="33">
        <v>1</v>
      </c>
      <c r="H200" s="33">
        <v>1</v>
      </c>
      <c r="I200" s="33">
        <v>1</v>
      </c>
    </row>
    <row r="201" spans="1:12" x14ac:dyDescent="0.25">
      <c r="A201" s="25">
        <v>0.13</v>
      </c>
      <c r="B201" s="25">
        <v>300</v>
      </c>
      <c r="C201" s="25"/>
    </row>
    <row r="202" spans="1:12" x14ac:dyDescent="0.25">
      <c r="A202" s="25">
        <v>0.09</v>
      </c>
      <c r="B202" s="25">
        <v>200</v>
      </c>
      <c r="C202" s="25"/>
      <c r="F202" s="33">
        <v>1</v>
      </c>
      <c r="G202" s="33">
        <v>1</v>
      </c>
      <c r="H202" s="33">
        <v>1</v>
      </c>
      <c r="I202" s="33">
        <v>1</v>
      </c>
    </row>
    <row r="203" spans="1:12" x14ac:dyDescent="0.25">
      <c r="A203" s="25">
        <v>0.09</v>
      </c>
      <c r="B203" s="25">
        <v>300</v>
      </c>
      <c r="C203" s="25"/>
      <c r="F203" s="33">
        <v>1</v>
      </c>
      <c r="G203" s="33">
        <v>1</v>
      </c>
      <c r="H203" s="33">
        <v>1</v>
      </c>
      <c r="I203" s="33">
        <v>1</v>
      </c>
    </row>
    <row r="204" spans="1:12" x14ac:dyDescent="0.25">
      <c r="A204" s="25">
        <v>6.5000000000000002E-2</v>
      </c>
      <c r="B204" s="25">
        <v>200</v>
      </c>
      <c r="C204" s="25"/>
    </row>
    <row r="205" spans="1:12" x14ac:dyDescent="0.25">
      <c r="A205" s="25">
        <v>6.5000000000000002E-2</v>
      </c>
      <c r="B205" s="25">
        <v>300</v>
      </c>
      <c r="C205" s="25"/>
    </row>
    <row r="206" spans="1:12" x14ac:dyDescent="0.25">
      <c r="A206" t="s">
        <v>112</v>
      </c>
    </row>
    <row r="207" spans="1:12" x14ac:dyDescent="0.25">
      <c r="A207" s="25">
        <v>0.25</v>
      </c>
      <c r="B207" s="25">
        <v>200</v>
      </c>
      <c r="C207" s="25"/>
    </row>
    <row r="208" spans="1:12" x14ac:dyDescent="0.25">
      <c r="A208" s="25">
        <v>0.25</v>
      </c>
      <c r="B208" s="25">
        <v>300</v>
      </c>
      <c r="C208" s="25"/>
    </row>
    <row r="209" spans="1:9" x14ac:dyDescent="0.25">
      <c r="A209" s="25">
        <v>0.18</v>
      </c>
      <c r="B209" s="25">
        <v>200</v>
      </c>
      <c r="C209" s="25"/>
    </row>
    <row r="210" spans="1:9" x14ac:dyDescent="0.25">
      <c r="A210" s="25">
        <v>0.18</v>
      </c>
      <c r="B210" s="25">
        <v>300</v>
      </c>
      <c r="C210" s="25"/>
    </row>
    <row r="211" spans="1:9" x14ac:dyDescent="0.25">
      <c r="A211" s="25">
        <v>0.13</v>
      </c>
      <c r="B211" s="25">
        <v>200</v>
      </c>
      <c r="C211" s="25"/>
      <c r="E211" s="33">
        <v>1</v>
      </c>
      <c r="F211" s="33"/>
      <c r="G211" s="33"/>
      <c r="H211" s="33"/>
      <c r="I211" s="33"/>
    </row>
    <row r="212" spans="1:9" x14ac:dyDescent="0.25">
      <c r="A212" s="25">
        <v>0.13</v>
      </c>
      <c r="B212" s="25">
        <v>300</v>
      </c>
      <c r="C212" s="25"/>
    </row>
    <row r="213" spans="1:9" x14ac:dyDescent="0.25">
      <c r="A213" s="25">
        <v>0.09</v>
      </c>
      <c r="B213" s="25">
        <v>200</v>
      </c>
      <c r="C213" s="25"/>
      <c r="G213" s="33">
        <v>1</v>
      </c>
      <c r="H213" s="33"/>
      <c r="I213" s="33"/>
    </row>
    <row r="214" spans="1:9" x14ac:dyDescent="0.25">
      <c r="A214" s="25">
        <v>0.09</v>
      </c>
      <c r="B214" s="25">
        <v>300</v>
      </c>
      <c r="C214" s="25"/>
    </row>
    <row r="215" spans="1:9" x14ac:dyDescent="0.25">
      <c r="A215" s="25">
        <v>6.5000000000000002E-2</v>
      </c>
      <c r="B215" s="25">
        <v>200</v>
      </c>
      <c r="C215" s="25"/>
      <c r="I215" s="33">
        <v>1</v>
      </c>
    </row>
    <row r="216" spans="1:9" x14ac:dyDescent="0.25">
      <c r="A216" s="25">
        <v>6.5000000000000002E-2</v>
      </c>
      <c r="B216" s="25">
        <v>300</v>
      </c>
      <c r="C216" s="25"/>
    </row>
    <row r="217" spans="1:9" x14ac:dyDescent="0.25">
      <c r="A217" t="s">
        <v>113</v>
      </c>
    </row>
    <row r="218" spans="1:9" x14ac:dyDescent="0.25">
      <c r="A218" s="25">
        <v>0.25</v>
      </c>
      <c r="B218" s="25">
        <v>200</v>
      </c>
      <c r="C218" s="25"/>
      <c r="D218" s="33">
        <v>1</v>
      </c>
      <c r="E218" s="33">
        <v>1</v>
      </c>
      <c r="F218" s="33">
        <v>1</v>
      </c>
      <c r="G218" s="33">
        <v>1</v>
      </c>
      <c r="H218" s="33">
        <v>1</v>
      </c>
      <c r="I218" s="33">
        <v>1</v>
      </c>
    </row>
    <row r="219" spans="1:9" x14ac:dyDescent="0.25">
      <c r="A219" s="25">
        <v>0.25</v>
      </c>
      <c r="B219" s="25">
        <v>300</v>
      </c>
      <c r="C219" s="25"/>
    </row>
    <row r="220" spans="1:9" x14ac:dyDescent="0.25">
      <c r="A220" s="25">
        <v>0.18</v>
      </c>
      <c r="B220" s="25">
        <v>200</v>
      </c>
      <c r="C220" s="25"/>
      <c r="D220" s="33">
        <v>1</v>
      </c>
      <c r="E220" s="33">
        <v>1</v>
      </c>
      <c r="F220" s="33">
        <v>1</v>
      </c>
      <c r="G220" s="33">
        <v>1</v>
      </c>
      <c r="H220" s="33">
        <v>1</v>
      </c>
      <c r="I220" s="33">
        <v>1</v>
      </c>
    </row>
    <row r="221" spans="1:9" x14ac:dyDescent="0.25">
      <c r="A221" s="25">
        <v>0.18</v>
      </c>
      <c r="B221" s="25">
        <v>300</v>
      </c>
      <c r="C221" s="25"/>
    </row>
    <row r="222" spans="1:9" x14ac:dyDescent="0.25">
      <c r="A222" s="25">
        <v>0.13</v>
      </c>
      <c r="B222" s="25">
        <v>200</v>
      </c>
      <c r="C222" s="25"/>
      <c r="D222" s="33">
        <v>1</v>
      </c>
      <c r="E222" s="33">
        <v>1</v>
      </c>
      <c r="F222" s="33">
        <v>1</v>
      </c>
      <c r="G222" s="33">
        <v>1</v>
      </c>
      <c r="H222" s="33">
        <v>1</v>
      </c>
      <c r="I222" s="33">
        <v>1</v>
      </c>
    </row>
    <row r="223" spans="1:9" x14ac:dyDescent="0.25">
      <c r="A223" s="25">
        <v>0.13</v>
      </c>
      <c r="B223" s="25">
        <v>300</v>
      </c>
      <c r="C223" s="25"/>
      <c r="D223" s="33">
        <v>1</v>
      </c>
      <c r="E223" s="33">
        <v>1</v>
      </c>
      <c r="F223" s="33">
        <v>1</v>
      </c>
      <c r="G223" s="33">
        <v>1</v>
      </c>
      <c r="H223" s="33">
        <v>1</v>
      </c>
      <c r="I223" s="33">
        <v>1</v>
      </c>
    </row>
    <row r="224" spans="1:9" x14ac:dyDescent="0.25">
      <c r="A224" s="25">
        <v>0.09</v>
      </c>
      <c r="B224" s="25">
        <v>200</v>
      </c>
      <c r="C224" s="25"/>
      <c r="F224" s="33">
        <v>1</v>
      </c>
      <c r="G224" s="33">
        <v>1</v>
      </c>
      <c r="H224" s="33">
        <v>1</v>
      </c>
      <c r="I224" s="33">
        <v>1</v>
      </c>
    </row>
    <row r="225" spans="1:9" x14ac:dyDescent="0.25">
      <c r="A225" s="25">
        <v>0.09</v>
      </c>
      <c r="B225" s="25">
        <v>300</v>
      </c>
      <c r="C225" s="25"/>
      <c r="F225" s="33">
        <v>1</v>
      </c>
      <c r="G225" s="33">
        <v>1</v>
      </c>
      <c r="H225" s="33">
        <v>1</v>
      </c>
      <c r="I225" s="33">
        <v>1</v>
      </c>
    </row>
    <row r="226" spans="1:9" x14ac:dyDescent="0.25">
      <c r="A226" s="25">
        <v>6.5000000000000002E-2</v>
      </c>
      <c r="B226" s="25">
        <v>200</v>
      </c>
      <c r="C226" s="25"/>
    </row>
    <row r="227" spans="1:9" x14ac:dyDescent="0.25">
      <c r="A227" s="25">
        <v>6.5000000000000002E-2</v>
      </c>
      <c r="B227" s="25">
        <v>300</v>
      </c>
      <c r="C227" s="25"/>
      <c r="I227" s="33">
        <v>1</v>
      </c>
    </row>
    <row r="228" spans="1:9" x14ac:dyDescent="0.25">
      <c r="A228" t="s">
        <v>155</v>
      </c>
    </row>
    <row r="229" spans="1:9" x14ac:dyDescent="0.25">
      <c r="A229" s="25">
        <v>0.25</v>
      </c>
      <c r="B229" s="25">
        <v>200</v>
      </c>
      <c r="C229" s="29">
        <v>259.30799999999999</v>
      </c>
      <c r="D229">
        <f t="shared" ref="D229:I234" si="33">+$C229/D124</f>
        <v>241.24980744390058</v>
      </c>
      <c r="E229">
        <f t="shared" si="33"/>
        <v>241.24980744390058</v>
      </c>
      <c r="F229">
        <f t="shared" si="33"/>
        <v>241.24980744390058</v>
      </c>
      <c r="G229">
        <f t="shared" si="33"/>
        <v>241.24980744390058</v>
      </c>
      <c r="H229">
        <f t="shared" si="33"/>
        <v>241.24980744390058</v>
      </c>
      <c r="I229">
        <f t="shared" si="33"/>
        <v>241.24980744390058</v>
      </c>
    </row>
    <row r="230" spans="1:9" x14ac:dyDescent="0.25">
      <c r="A230" s="25">
        <v>0.25</v>
      </c>
      <c r="B230" s="25">
        <v>300</v>
      </c>
      <c r="C230" s="29">
        <v>293.21631047047975</v>
      </c>
      <c r="D230">
        <f t="shared" si="33"/>
        <v>268.7754472680503</v>
      </c>
      <c r="E230">
        <f t="shared" si="33"/>
        <v>268.7754472680503</v>
      </c>
      <c r="F230">
        <f t="shared" si="33"/>
        <v>268.7754472680503</v>
      </c>
      <c r="G230">
        <f t="shared" si="33"/>
        <v>268.7754472680503</v>
      </c>
      <c r="H230">
        <f t="shared" si="33"/>
        <v>268.7754472680503</v>
      </c>
      <c r="I230">
        <f t="shared" si="33"/>
        <v>268.7754472680503</v>
      </c>
    </row>
    <row r="231" spans="1:9" x14ac:dyDescent="0.25">
      <c r="A231" s="25">
        <v>0.18</v>
      </c>
      <c r="B231" s="25">
        <v>200</v>
      </c>
      <c r="C231" s="29">
        <v>286.10399999999998</v>
      </c>
      <c r="D231">
        <f t="shared" si="33"/>
        <v>273.30561283333122</v>
      </c>
      <c r="E231">
        <f t="shared" si="33"/>
        <v>273.30561283333122</v>
      </c>
      <c r="F231">
        <f t="shared" si="33"/>
        <v>273.30561283333122</v>
      </c>
      <c r="G231">
        <f t="shared" si="33"/>
        <v>273.30561283333122</v>
      </c>
      <c r="H231">
        <f t="shared" si="33"/>
        <v>273.30561283333122</v>
      </c>
      <c r="I231">
        <f t="shared" si="33"/>
        <v>273.30561283333122</v>
      </c>
    </row>
    <row r="232" spans="1:9" x14ac:dyDescent="0.25">
      <c r="A232" s="25">
        <v>0.18</v>
      </c>
      <c r="B232" s="25">
        <v>300</v>
      </c>
      <c r="C232" s="29">
        <v>320.12400000000002</v>
      </c>
      <c r="D232">
        <f t="shared" si="33"/>
        <v>299.25053893681894</v>
      </c>
      <c r="E232">
        <f t="shared" si="33"/>
        <v>299.25053893681894</v>
      </c>
      <c r="F232">
        <f t="shared" si="33"/>
        <v>299.25053893681894</v>
      </c>
      <c r="G232">
        <f t="shared" si="33"/>
        <v>299.25053893681894</v>
      </c>
      <c r="H232">
        <f t="shared" si="33"/>
        <v>299.25053893681894</v>
      </c>
      <c r="I232">
        <f t="shared" si="33"/>
        <v>299.25053893681894</v>
      </c>
    </row>
    <row r="233" spans="1:9" x14ac:dyDescent="0.25">
      <c r="A233" s="25">
        <v>0.13</v>
      </c>
      <c r="B233" s="25">
        <v>200</v>
      </c>
      <c r="C233" s="29">
        <v>316.84800000000001</v>
      </c>
      <c r="D233">
        <f t="shared" si="33"/>
        <v>303.8948142568326</v>
      </c>
      <c r="E233">
        <f t="shared" si="33"/>
        <v>291.47117271434502</v>
      </c>
      <c r="F233">
        <f t="shared" si="33"/>
        <v>279.55542687107715</v>
      </c>
      <c r="G233">
        <f t="shared" si="33"/>
        <v>279.55542687107715</v>
      </c>
      <c r="H233">
        <f t="shared" si="33"/>
        <v>279.55542687107715</v>
      </c>
      <c r="I233">
        <f t="shared" si="33"/>
        <v>279.55542687107715</v>
      </c>
    </row>
    <row r="234" spans="1:9" x14ac:dyDescent="0.25">
      <c r="A234" s="25">
        <v>0.13</v>
      </c>
      <c r="B234" s="25">
        <v>300</v>
      </c>
      <c r="C234" s="29">
        <v>361.36799999999999</v>
      </c>
      <c r="D234">
        <f t="shared" si="33"/>
        <v>348.20222884642226</v>
      </c>
      <c r="E234">
        <f t="shared" si="33"/>
        <v>335.51612808443525</v>
      </c>
      <c r="F234">
        <f t="shared" si="33"/>
        <v>323.29222181521897</v>
      </c>
      <c r="G234">
        <f t="shared" si="33"/>
        <v>323.29222181521897</v>
      </c>
      <c r="H234">
        <f t="shared" si="33"/>
        <v>323.29222181521897</v>
      </c>
      <c r="I234">
        <f t="shared" si="33"/>
        <v>323.29222181521897</v>
      </c>
    </row>
    <row r="235" spans="1:9" x14ac:dyDescent="0.25">
      <c r="A235" s="25">
        <v>0.09</v>
      </c>
      <c r="B235" s="25">
        <v>200</v>
      </c>
      <c r="C235" s="29">
        <v>367.24799999999999</v>
      </c>
      <c r="F235">
        <f t="shared" ref="F235:I236" si="34">+$C235/F130</f>
        <v>367.24799999999999</v>
      </c>
      <c r="G235">
        <f t="shared" si="34"/>
        <v>355.43431663900725</v>
      </c>
      <c r="H235">
        <f t="shared" si="34"/>
        <v>344.00065744303055</v>
      </c>
      <c r="I235">
        <f t="shared" si="34"/>
        <v>332.93479774330365</v>
      </c>
    </row>
    <row r="236" spans="1:9" x14ac:dyDescent="0.25">
      <c r="A236" s="25">
        <v>0.09</v>
      </c>
      <c r="B236" s="25">
        <v>300</v>
      </c>
      <c r="C236" s="29">
        <v>407.82</v>
      </c>
      <c r="F236">
        <f t="shared" si="34"/>
        <v>407.82</v>
      </c>
      <c r="G236">
        <f t="shared" si="34"/>
        <v>397.08324634322634</v>
      </c>
      <c r="H236">
        <f t="shared" si="34"/>
        <v>386.62916121444601</v>
      </c>
      <c r="I236">
        <f t="shared" si="34"/>
        <v>376.45030274628715</v>
      </c>
    </row>
    <row r="237" spans="1:9" x14ac:dyDescent="0.25">
      <c r="A237" s="25">
        <v>6.5000000000000002E-2</v>
      </c>
      <c r="B237" s="25">
        <v>200</v>
      </c>
      <c r="C237" s="29">
        <v>377.74799999999999</v>
      </c>
      <c r="I237">
        <f>+$C237/I132</f>
        <v>377.74799999999999</v>
      </c>
    </row>
    <row r="238" spans="1:9" x14ac:dyDescent="0.25">
      <c r="A238" s="25">
        <v>6.5000000000000002E-2</v>
      </c>
      <c r="B238" s="25">
        <v>300</v>
      </c>
      <c r="C238" s="29">
        <v>415.12799999999999</v>
      </c>
      <c r="I238">
        <f>+$C238/I133</f>
        <v>415.12799999999999</v>
      </c>
    </row>
    <row r="239" spans="1:9" x14ac:dyDescent="0.25">
      <c r="A239" t="s">
        <v>156</v>
      </c>
    </row>
    <row r="240" spans="1:9" x14ac:dyDescent="0.25">
      <c r="A240" s="25">
        <v>0.25</v>
      </c>
      <c r="B240" s="25">
        <v>200</v>
      </c>
      <c r="C240">
        <v>55.103999999999999</v>
      </c>
      <c r="D240">
        <f t="shared" ref="D240:I240" si="35">+$C240/D124</f>
        <v>51.266560959895948</v>
      </c>
      <c r="E240">
        <f t="shared" si="35"/>
        <v>51.266560959895948</v>
      </c>
      <c r="F240">
        <f t="shared" si="35"/>
        <v>51.266560959895948</v>
      </c>
      <c r="G240">
        <f t="shared" si="35"/>
        <v>51.266560959895948</v>
      </c>
      <c r="H240">
        <f t="shared" si="35"/>
        <v>51.266560959895948</v>
      </c>
      <c r="I240">
        <f t="shared" si="35"/>
        <v>51.266560959895948</v>
      </c>
    </row>
    <row r="241" spans="1:9" x14ac:dyDescent="0.25">
      <c r="A241" s="25">
        <v>0.25</v>
      </c>
      <c r="B241" s="25">
        <v>300</v>
      </c>
    </row>
    <row r="242" spans="1:9" x14ac:dyDescent="0.25">
      <c r="A242" s="25">
        <v>0.18</v>
      </c>
      <c r="B242" s="25">
        <v>200</v>
      </c>
      <c r="C242">
        <v>46.914000000000001</v>
      </c>
      <c r="D242">
        <f t="shared" ref="D242:I245" si="36">+$C242/D126</f>
        <v>44.81538014310496</v>
      </c>
      <c r="E242">
        <f t="shared" si="36"/>
        <v>44.81538014310496</v>
      </c>
      <c r="F242">
        <f t="shared" si="36"/>
        <v>44.81538014310496</v>
      </c>
      <c r="G242">
        <f t="shared" si="36"/>
        <v>44.81538014310496</v>
      </c>
      <c r="H242">
        <f t="shared" si="36"/>
        <v>44.81538014310496</v>
      </c>
      <c r="I242">
        <f t="shared" si="36"/>
        <v>44.81538014310496</v>
      </c>
    </row>
    <row r="243" spans="1:9" x14ac:dyDescent="0.25">
      <c r="A243" s="25">
        <v>0.18</v>
      </c>
      <c r="B243" s="25">
        <v>300</v>
      </c>
      <c r="C243">
        <v>50.768614921586703</v>
      </c>
      <c r="D243">
        <f t="shared" si="36"/>
        <v>47.458282966477512</v>
      </c>
      <c r="E243">
        <f t="shared" si="36"/>
        <v>47.458282966477512</v>
      </c>
      <c r="F243">
        <f t="shared" si="36"/>
        <v>47.458282966477512</v>
      </c>
      <c r="G243">
        <f t="shared" si="36"/>
        <v>47.458282966477512</v>
      </c>
      <c r="H243">
        <f t="shared" si="36"/>
        <v>47.458282966477512</v>
      </c>
      <c r="I243">
        <f t="shared" si="36"/>
        <v>47.458282966477512</v>
      </c>
    </row>
    <row r="244" spans="1:9" x14ac:dyDescent="0.25">
      <c r="A244" s="25">
        <v>0.13</v>
      </c>
      <c r="B244" s="25">
        <v>200</v>
      </c>
      <c r="C244">
        <v>44.141999999999996</v>
      </c>
      <c r="D244">
        <f t="shared" si="36"/>
        <v>42.337413810171135</v>
      </c>
      <c r="E244">
        <f t="shared" si="36"/>
        <v>40.606601606942817</v>
      </c>
      <c r="F244">
        <f t="shared" si="36"/>
        <v>38.946547407410137</v>
      </c>
      <c r="G244">
        <f t="shared" si="36"/>
        <v>38.946547407410137</v>
      </c>
      <c r="H244">
        <f t="shared" si="36"/>
        <v>38.946547407410137</v>
      </c>
      <c r="I244">
        <f t="shared" si="36"/>
        <v>38.946547407410137</v>
      </c>
    </row>
    <row r="245" spans="1:9" x14ac:dyDescent="0.25">
      <c r="A245" s="25">
        <v>0.13</v>
      </c>
      <c r="B245" s="25">
        <v>300</v>
      </c>
      <c r="C245">
        <v>54.69784476476012</v>
      </c>
      <c r="D245">
        <f t="shared" si="36"/>
        <v>52.705030495741411</v>
      </c>
      <c r="E245">
        <f t="shared" si="36"/>
        <v>50.78482070918237</v>
      </c>
      <c r="F245">
        <f t="shared" si="36"/>
        <v>48.934570195765097</v>
      </c>
      <c r="G245">
        <f t="shared" si="36"/>
        <v>48.934570195765097</v>
      </c>
      <c r="H245">
        <f t="shared" si="36"/>
        <v>48.934570195765097</v>
      </c>
      <c r="I245">
        <f t="shared" si="36"/>
        <v>48.934570195765097</v>
      </c>
    </row>
    <row r="246" spans="1:9" x14ac:dyDescent="0.25">
      <c r="A246" s="25">
        <v>0.09</v>
      </c>
      <c r="B246" s="25">
        <v>200</v>
      </c>
      <c r="C246">
        <v>65.772000000000006</v>
      </c>
      <c r="F246">
        <f t="shared" ref="F246:I247" si="37">+$C246/F130</f>
        <v>65.772000000000006</v>
      </c>
      <c r="G246">
        <f t="shared" si="37"/>
        <v>63.656237403555053</v>
      </c>
      <c r="H246">
        <f t="shared" si="37"/>
        <v>61.608534944623273</v>
      </c>
      <c r="I246">
        <f t="shared" si="37"/>
        <v>59.62670325549103</v>
      </c>
    </row>
    <row r="247" spans="1:9" x14ac:dyDescent="0.25">
      <c r="A247" s="25">
        <v>0.09</v>
      </c>
      <c r="B247" s="25">
        <v>300</v>
      </c>
      <c r="C247">
        <v>67.073999999999984</v>
      </c>
      <c r="F247">
        <f t="shared" si="37"/>
        <v>67.073999999999984</v>
      </c>
      <c r="G247">
        <f t="shared" si="37"/>
        <v>65.30813021731538</v>
      </c>
      <c r="H247">
        <f t="shared" si="37"/>
        <v>63.588750819718861</v>
      </c>
      <c r="I247">
        <f t="shared" si="37"/>
        <v>61.914637846119511</v>
      </c>
    </row>
    <row r="248" spans="1:9" x14ac:dyDescent="0.25">
      <c r="A248" s="25">
        <v>6.5000000000000002E-2</v>
      </c>
      <c r="B248" s="25">
        <v>200</v>
      </c>
      <c r="C248">
        <v>35.700000000000003</v>
      </c>
      <c r="I248">
        <f>+$C248/I132</f>
        <v>35.700000000000003</v>
      </c>
    </row>
    <row r="249" spans="1:9" x14ac:dyDescent="0.25">
      <c r="A249" s="25">
        <v>6.5000000000000002E-2</v>
      </c>
      <c r="B249" s="25">
        <v>300</v>
      </c>
      <c r="C249">
        <v>30.533999999999999</v>
      </c>
      <c r="I249">
        <f>+$C249/I133</f>
        <v>30.533999999999999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10.199999999999999" x14ac:dyDescent="0.2"/>
  <cols>
    <col min="1" max="16384" width="8.88671875" style="25"/>
  </cols>
  <sheetData>
    <row r="1" spans="1:10" x14ac:dyDescent="0.2">
      <c r="A1" s="25" t="s">
        <v>115</v>
      </c>
    </row>
    <row r="2" spans="1:10" x14ac:dyDescent="0.2">
      <c r="C2" s="34">
        <v>2001</v>
      </c>
      <c r="D2" s="34">
        <v>2002</v>
      </c>
      <c r="E2" s="34">
        <v>2003</v>
      </c>
      <c r="F2" s="34">
        <v>2004</v>
      </c>
      <c r="G2" s="34">
        <v>2005</v>
      </c>
      <c r="H2" s="34">
        <v>2006</v>
      </c>
    </row>
    <row r="3" spans="1:10" x14ac:dyDescent="0.2">
      <c r="A3" s="25" t="s">
        <v>116</v>
      </c>
      <c r="B3" s="25" t="s">
        <v>134</v>
      </c>
      <c r="C3" s="37">
        <v>18.793993000000004</v>
      </c>
      <c r="D3" s="37">
        <v>24.809638216888903</v>
      </c>
      <c r="E3" s="37">
        <v>31.237472151965836</v>
      </c>
      <c r="F3" s="37">
        <v>38.565158518548238</v>
      </c>
      <c r="G3" s="37">
        <v>36.691244843686917</v>
      </c>
      <c r="H3" s="37">
        <v>42.611822032002038</v>
      </c>
    </row>
    <row r="4" spans="1:10" x14ac:dyDescent="0.2">
      <c r="A4" s="25" t="s">
        <v>3</v>
      </c>
      <c r="B4" s="25" t="s">
        <v>134</v>
      </c>
      <c r="C4" s="37">
        <v>5.4970110000000005</v>
      </c>
      <c r="D4" s="37">
        <v>6.024629</v>
      </c>
      <c r="E4" s="37">
        <v>7.5441370000000001</v>
      </c>
      <c r="F4" s="37">
        <v>10.052299000000001</v>
      </c>
      <c r="G4" s="37">
        <v>12.482667000000001</v>
      </c>
      <c r="H4" s="37">
        <v>14.500266999999999</v>
      </c>
    </row>
    <row r="5" spans="1:10" x14ac:dyDescent="0.2">
      <c r="C5" s="37"/>
      <c r="D5" s="37"/>
      <c r="E5" s="37"/>
      <c r="F5" s="37"/>
      <c r="G5" s="37"/>
      <c r="H5" s="37"/>
    </row>
    <row r="6" spans="1:10" x14ac:dyDescent="0.2">
      <c r="A6" s="25" t="s">
        <v>117</v>
      </c>
      <c r="C6" s="37">
        <f>+fisher!C40</f>
        <v>1</v>
      </c>
      <c r="D6" s="37">
        <f>+fisher!D40</f>
        <v>1.1764262601996218</v>
      </c>
      <c r="E6" s="37">
        <f>+fisher!E40</f>
        <v>1.0814192878026818</v>
      </c>
      <c r="F6" s="37">
        <f>+fisher!F40</f>
        <v>0.92138302339630607</v>
      </c>
      <c r="G6" s="37">
        <f>+fisher!G40</f>
        <v>0.3351436339955377</v>
      </c>
      <c r="H6" s="37">
        <f>+fisher!H40</f>
        <v>0.17183975228494117</v>
      </c>
    </row>
    <row r="7" spans="1:10" x14ac:dyDescent="0.2">
      <c r="A7" s="25" t="s">
        <v>118</v>
      </c>
      <c r="C7" s="37"/>
      <c r="D7" s="37"/>
      <c r="E7" s="37"/>
      <c r="F7" s="37"/>
      <c r="G7" s="37"/>
      <c r="H7" s="37"/>
    </row>
    <row r="8" spans="1:10" x14ac:dyDescent="0.2">
      <c r="C8" s="37"/>
      <c r="D8" s="37"/>
      <c r="E8" s="37"/>
      <c r="F8" s="37"/>
      <c r="G8" s="37"/>
      <c r="H8" s="37"/>
      <c r="J8" s="25" t="s">
        <v>120</v>
      </c>
    </row>
    <row r="9" spans="1:10" x14ac:dyDescent="0.2">
      <c r="A9" s="25" t="s">
        <v>125</v>
      </c>
      <c r="C9" s="37">
        <f t="shared" ref="C9:H9" si="0">+C3/C6</f>
        <v>18.793993000000004</v>
      </c>
      <c r="D9" s="37">
        <f t="shared" si="0"/>
        <v>21.088987092721887</v>
      </c>
      <c r="E9" s="37">
        <f t="shared" si="0"/>
        <v>28.885625126436153</v>
      </c>
      <c r="F9" s="37">
        <f t="shared" si="0"/>
        <v>41.855729419013358</v>
      </c>
      <c r="G9" s="37">
        <f t="shared" si="0"/>
        <v>109.47916392222281</v>
      </c>
      <c r="H9" s="37">
        <f t="shared" si="0"/>
        <v>247.9741821400207</v>
      </c>
      <c r="I9" s="25" t="s">
        <v>121</v>
      </c>
      <c r="J9" s="25" t="s">
        <v>119</v>
      </c>
    </row>
    <row r="10" spans="1:10" x14ac:dyDescent="0.2">
      <c r="A10" s="25" t="s">
        <v>122</v>
      </c>
      <c r="C10" s="37">
        <f t="shared" ref="C10:H10" si="1">+C9/C4</f>
        <v>3.4189476790204716</v>
      </c>
      <c r="D10" s="37">
        <f t="shared" si="1"/>
        <v>3.5004623675120721</v>
      </c>
      <c r="E10" s="37">
        <f t="shared" si="1"/>
        <v>3.8288839566985797</v>
      </c>
      <c r="F10" s="37">
        <f t="shared" si="1"/>
        <v>4.163796701531993</v>
      </c>
      <c r="G10" s="37">
        <f t="shared" si="1"/>
        <v>8.7704946324549713</v>
      </c>
      <c r="H10" s="37">
        <f t="shared" si="1"/>
        <v>17.101352833021675</v>
      </c>
      <c r="I10" s="36">
        <f>+(H10/C10)^(1/5)-1</f>
        <v>0.37983641622802078</v>
      </c>
      <c r="J10" s="36">
        <f>+(4)^(1/3)-1</f>
        <v>0.58740105196819936</v>
      </c>
    </row>
    <row r="11" spans="1:10" x14ac:dyDescent="0.2">
      <c r="C11" s="37"/>
      <c r="D11" s="37"/>
      <c r="E11" s="37"/>
      <c r="F11" s="37"/>
      <c r="G11" s="37"/>
      <c r="H11" s="37"/>
    </row>
    <row r="12" spans="1:10" x14ac:dyDescent="0.2">
      <c r="A12" s="25" t="s">
        <v>17</v>
      </c>
      <c r="C12" s="37"/>
      <c r="D12" s="37"/>
      <c r="E12" s="37"/>
      <c r="F12" s="37"/>
      <c r="G12" s="37"/>
      <c r="H12" s="37"/>
    </row>
    <row r="13" spans="1:10" x14ac:dyDescent="0.2">
      <c r="A13" s="25">
        <v>-1.5</v>
      </c>
      <c r="C13" s="38">
        <v>-1.5</v>
      </c>
      <c r="D13" s="38">
        <v>-1.5</v>
      </c>
      <c r="E13" s="38">
        <v>-1.5</v>
      </c>
      <c r="F13" s="38">
        <v>-1.5</v>
      </c>
      <c r="G13" s="38">
        <v>-1.5</v>
      </c>
      <c r="H13" s="38">
        <v>-1.5</v>
      </c>
    </row>
    <row r="14" spans="1:10" x14ac:dyDescent="0.2">
      <c r="A14" s="25" t="s">
        <v>13</v>
      </c>
      <c r="C14" s="37"/>
      <c r="D14" s="37" t="s">
        <v>16</v>
      </c>
      <c r="E14" s="37"/>
      <c r="F14" s="37"/>
      <c r="G14" s="37"/>
      <c r="H14" s="37"/>
    </row>
    <row r="15" spans="1:10" x14ac:dyDescent="0.2">
      <c r="A15" s="25" t="s">
        <v>14</v>
      </c>
      <c r="B15" s="25" t="s">
        <v>123</v>
      </c>
      <c r="C15" s="37">
        <f t="shared" ref="C15:H15" si="2">+C9+C16*C6</f>
        <v>46.984982500000015</v>
      </c>
      <c r="D15" s="37">
        <f t="shared" si="2"/>
        <v>52.722467731804713</v>
      </c>
      <c r="E15" s="37">
        <f t="shared" si="2"/>
        <v>72.214062816090376</v>
      </c>
      <c r="F15" s="37">
        <f t="shared" si="2"/>
        <v>104.63932354753339</v>
      </c>
      <c r="G15" s="37">
        <f t="shared" si="2"/>
        <v>273.697909805557</v>
      </c>
      <c r="H15" s="37">
        <f t="shared" si="2"/>
        <v>619.93545535005171</v>
      </c>
    </row>
    <row r="16" spans="1:10" x14ac:dyDescent="0.2">
      <c r="A16" s="25" t="s">
        <v>15</v>
      </c>
      <c r="B16" s="25" t="s">
        <v>124</v>
      </c>
      <c r="C16" s="37">
        <f t="shared" ref="C16:H16" si="3">-C13*C9/C6</f>
        <v>28.190989500000008</v>
      </c>
      <c r="D16" s="37">
        <f t="shared" si="3"/>
        <v>26.889471707062288</v>
      </c>
      <c r="E16" s="37">
        <f t="shared" si="3"/>
        <v>40.066270482092634</v>
      </c>
      <c r="F16" s="37">
        <f t="shared" si="3"/>
        <v>68.140602262340039</v>
      </c>
      <c r="G16" s="37">
        <f t="shared" si="3"/>
        <v>489.99512216759189</v>
      </c>
      <c r="H16" s="37">
        <f t="shared" si="3"/>
        <v>2164.5822242181334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workbookViewId="0"/>
  </sheetViews>
  <sheetFormatPr defaultRowHeight="10.199999999999999" x14ac:dyDescent="0.2"/>
  <cols>
    <col min="1" max="1" width="9.6640625" style="25" customWidth="1"/>
    <col min="2" max="16384" width="8.88671875" style="25"/>
  </cols>
  <sheetData>
    <row r="1" spans="1:8" x14ac:dyDescent="0.2">
      <c r="C1" s="34">
        <v>2001</v>
      </c>
      <c r="D1" s="34">
        <v>2002</v>
      </c>
      <c r="E1" s="34">
        <v>2003</v>
      </c>
      <c r="F1" s="34">
        <v>2004</v>
      </c>
      <c r="G1" s="34">
        <v>2005</v>
      </c>
      <c r="H1" s="34">
        <v>2006</v>
      </c>
    </row>
    <row r="2" spans="1:8" x14ac:dyDescent="0.2">
      <c r="A2" s="25" t="s">
        <v>126</v>
      </c>
      <c r="B2" s="25" t="s">
        <v>127</v>
      </c>
    </row>
    <row r="3" spans="1:8" x14ac:dyDescent="0.2">
      <c r="A3" s="25">
        <v>0.25</v>
      </c>
      <c r="B3" s="25">
        <v>200</v>
      </c>
      <c r="C3" s="35">
        <f>+'LEM cost side'!D5</f>
        <v>9.9614689515043331</v>
      </c>
      <c r="D3" s="35">
        <f>+'LEM cost side'!E5</f>
        <v>9.9614689515043331</v>
      </c>
      <c r="E3" s="35">
        <f>+'LEM cost side'!F5</f>
        <v>9.9614689515043331</v>
      </c>
      <c r="F3" s="35">
        <f>+'LEM cost side'!G5</f>
        <v>9.9614689515043331</v>
      </c>
      <c r="G3" s="35">
        <f>+'LEM cost side'!H5</f>
        <v>9.9614689515043331</v>
      </c>
      <c r="H3" s="35">
        <f>+'LEM cost side'!I5</f>
        <v>9.9614689515043331</v>
      </c>
    </row>
    <row r="4" spans="1:8" x14ac:dyDescent="0.2">
      <c r="A4" s="25">
        <v>0.25</v>
      </c>
      <c r="B4" s="25">
        <v>300</v>
      </c>
      <c r="C4" s="35">
        <f>+'LEM cost side'!D6</f>
        <v>0</v>
      </c>
      <c r="D4" s="35">
        <f>+'LEM cost side'!E6</f>
        <v>0</v>
      </c>
      <c r="E4" s="35">
        <f>+'LEM cost side'!F6</f>
        <v>0</v>
      </c>
      <c r="F4" s="35">
        <f>+'LEM cost side'!G6</f>
        <v>0</v>
      </c>
      <c r="G4" s="35">
        <f>+'LEM cost side'!H6</f>
        <v>0</v>
      </c>
      <c r="H4" s="35">
        <f>+'LEM cost side'!I6</f>
        <v>0</v>
      </c>
    </row>
    <row r="5" spans="1:8" x14ac:dyDescent="0.2">
      <c r="A5" s="25">
        <v>0.18</v>
      </c>
      <c r="B5" s="25">
        <v>200</v>
      </c>
      <c r="C5" s="35">
        <f>+'LEM cost side'!D7</f>
        <v>41.325090585110253</v>
      </c>
      <c r="D5" s="35">
        <f>+'LEM cost side'!E7</f>
        <v>41.325090585110253</v>
      </c>
      <c r="E5" s="35">
        <f>+'LEM cost side'!F7</f>
        <v>41.325090585110253</v>
      </c>
      <c r="F5" s="35">
        <f>+'LEM cost side'!G7</f>
        <v>41.325090585110253</v>
      </c>
      <c r="G5" s="35">
        <f>+'LEM cost side'!H7</f>
        <v>41.325090585110253</v>
      </c>
      <c r="H5" s="35">
        <f>+'LEM cost side'!I7</f>
        <v>41.325090585110253</v>
      </c>
    </row>
    <row r="6" spans="1:8" x14ac:dyDescent="0.2">
      <c r="A6" s="25">
        <v>0.18</v>
      </c>
      <c r="B6" s="25">
        <v>300</v>
      </c>
      <c r="C6" s="35">
        <f>+'LEM cost side'!D8</f>
        <v>0</v>
      </c>
      <c r="D6" s="35">
        <f>+'LEM cost side'!E8</f>
        <v>0</v>
      </c>
      <c r="E6" s="35">
        <f>+'LEM cost side'!F8</f>
        <v>0</v>
      </c>
      <c r="F6" s="35">
        <f>+'LEM cost side'!G8</f>
        <v>0</v>
      </c>
      <c r="G6" s="35">
        <f>+'LEM cost side'!H8</f>
        <v>0</v>
      </c>
      <c r="H6" s="35">
        <f>+'LEM cost side'!I8</f>
        <v>0</v>
      </c>
    </row>
    <row r="7" spans="1:8" x14ac:dyDescent="0.2">
      <c r="A7" s="25">
        <v>0.13</v>
      </c>
      <c r="B7" s="25">
        <v>200</v>
      </c>
      <c r="C7" s="35">
        <f>+'LEM cost side'!D9</f>
        <v>18.183152360347155</v>
      </c>
      <c r="D7" s="35">
        <f>+'LEM cost side'!E9</f>
        <v>18.183152360347155</v>
      </c>
      <c r="E7" s="35">
        <f>+'LEM cost side'!F9</f>
        <v>18.183152360347155</v>
      </c>
      <c r="F7" s="35">
        <f>+'LEM cost side'!G9</f>
        <v>18.183152360347155</v>
      </c>
      <c r="G7" s="35">
        <f>+'LEM cost side'!H9</f>
        <v>18.183152360347155</v>
      </c>
      <c r="H7" s="35">
        <f>+'LEM cost side'!I9</f>
        <v>18.183152360347155</v>
      </c>
    </row>
    <row r="8" spans="1:8" x14ac:dyDescent="0.2">
      <c r="A8" s="25">
        <v>0.13</v>
      </c>
      <c r="B8" s="25">
        <v>300</v>
      </c>
      <c r="C8" s="35">
        <f>+'LEM cost side'!D10</f>
        <v>5.7131634666806175</v>
      </c>
      <c r="D8" s="35">
        <f>+'LEM cost side'!E10</f>
        <v>5.7131634666806175</v>
      </c>
      <c r="E8" s="35">
        <f>+'LEM cost side'!F10</f>
        <v>5.7131634666806175</v>
      </c>
      <c r="F8" s="35">
        <f>+'LEM cost side'!G10</f>
        <v>5.7131634666806175</v>
      </c>
      <c r="G8" s="35">
        <f>+'LEM cost side'!H10</f>
        <v>5.7131634666806175</v>
      </c>
      <c r="H8" s="35">
        <f>+'LEM cost side'!I10</f>
        <v>5.7131634666806175</v>
      </c>
    </row>
    <row r="9" spans="1:8" x14ac:dyDescent="0.2">
      <c r="A9" s="25">
        <v>0.09</v>
      </c>
      <c r="B9" s="25">
        <v>200</v>
      </c>
      <c r="C9" s="35">
        <f>+'LEM cost side'!D11</f>
        <v>0</v>
      </c>
      <c r="D9" s="35">
        <f>+'LEM cost side'!E11</f>
        <v>0</v>
      </c>
      <c r="E9" s="35">
        <f>+'LEM cost side'!F11</f>
        <v>0</v>
      </c>
      <c r="F9" s="35">
        <f>+'LEM cost side'!G11</f>
        <v>0</v>
      </c>
      <c r="G9" s="35">
        <f>+'LEM cost side'!H11</f>
        <v>0</v>
      </c>
      <c r="H9" s="35">
        <f>+'LEM cost side'!I11</f>
        <v>0</v>
      </c>
    </row>
    <row r="10" spans="1:8" x14ac:dyDescent="0.2">
      <c r="A10" s="25">
        <v>0.09</v>
      </c>
      <c r="B10" s="25">
        <v>300</v>
      </c>
      <c r="C10" s="35">
        <f>+'LEM cost side'!D12</f>
        <v>0</v>
      </c>
      <c r="D10" s="35">
        <f>+'LEM cost side'!E12</f>
        <v>0</v>
      </c>
      <c r="E10" s="35">
        <f>+'LEM cost side'!F12</f>
        <v>0</v>
      </c>
      <c r="F10" s="35">
        <f>+'LEM cost side'!G12</f>
        <v>0</v>
      </c>
      <c r="G10" s="35">
        <f>+'LEM cost side'!H12</f>
        <v>0</v>
      </c>
      <c r="H10" s="35">
        <f>+'LEM cost side'!I12</f>
        <v>0</v>
      </c>
    </row>
    <row r="11" spans="1:8" x14ac:dyDescent="0.2">
      <c r="A11" s="25">
        <v>6.5000000000000002E-2</v>
      </c>
      <c r="B11" s="25">
        <v>200</v>
      </c>
      <c r="C11" s="35">
        <f>+'LEM cost side'!D13</f>
        <v>0</v>
      </c>
      <c r="D11" s="35">
        <f>+'LEM cost side'!E13</f>
        <v>0</v>
      </c>
      <c r="E11" s="35">
        <f>+'LEM cost side'!F13</f>
        <v>0</v>
      </c>
      <c r="F11" s="35">
        <f>+'LEM cost side'!G13</f>
        <v>0</v>
      </c>
      <c r="G11" s="35">
        <f>+'LEM cost side'!H13</f>
        <v>0</v>
      </c>
      <c r="H11" s="35">
        <f>+'LEM cost side'!I13</f>
        <v>0</v>
      </c>
    </row>
    <row r="12" spans="1:8" x14ac:dyDescent="0.2">
      <c r="A12" s="25">
        <v>6.5000000000000002E-2</v>
      </c>
      <c r="B12" s="25">
        <v>300</v>
      </c>
      <c r="C12" s="35">
        <f>+'LEM cost side'!D14</f>
        <v>0</v>
      </c>
      <c r="D12" s="35">
        <f>+'LEM cost side'!E14</f>
        <v>0</v>
      </c>
      <c r="E12" s="35">
        <f>+'LEM cost side'!F14</f>
        <v>0</v>
      </c>
      <c r="F12" s="35">
        <f>+'LEM cost side'!G14</f>
        <v>0</v>
      </c>
      <c r="G12" s="35">
        <f>+'LEM cost side'!H14</f>
        <v>0</v>
      </c>
      <c r="H12" s="35">
        <f>+'LEM cost side'!I14</f>
        <v>0</v>
      </c>
    </row>
    <row r="13" spans="1:8" x14ac:dyDescent="0.2">
      <c r="B13" s="25" t="s">
        <v>129</v>
      </c>
      <c r="C13" s="35">
        <f t="shared" ref="C13:H13" si="0">+SUM(C3:C12)</f>
        <v>75.182875363642353</v>
      </c>
      <c r="D13" s="35">
        <f t="shared" si="0"/>
        <v>75.182875363642353</v>
      </c>
      <c r="E13" s="35">
        <f t="shared" si="0"/>
        <v>75.182875363642353</v>
      </c>
      <c r="F13" s="35">
        <f t="shared" si="0"/>
        <v>75.182875363642353</v>
      </c>
      <c r="G13" s="35">
        <f t="shared" si="0"/>
        <v>75.182875363642353</v>
      </c>
      <c r="H13" s="35">
        <f t="shared" si="0"/>
        <v>75.182875363642353</v>
      </c>
    </row>
    <row r="14" spans="1:8" x14ac:dyDescent="0.2">
      <c r="A14" s="25" t="s">
        <v>128</v>
      </c>
      <c r="C14" s="35"/>
      <c r="D14" s="35"/>
      <c r="E14" s="35"/>
      <c r="F14" s="35"/>
      <c r="G14" s="35"/>
      <c r="H14" s="35"/>
    </row>
    <row r="15" spans="1:8" x14ac:dyDescent="0.2">
      <c r="A15" s="25">
        <v>0.25</v>
      </c>
      <c r="B15" s="25">
        <v>200</v>
      </c>
      <c r="C15" s="35">
        <f>12*20*C3*'LEM cost side'!D76/1000000</f>
        <v>1.0109346511196204</v>
      </c>
      <c r="D15" s="35">
        <f>12*20*D3*'LEM cost side'!E76/1000000</f>
        <v>1.0404346187468805</v>
      </c>
      <c r="E15" s="35">
        <f>12*20*E3*'LEM cost side'!F76/1000000</f>
        <v>1.0404347052431813</v>
      </c>
      <c r="F15" s="35">
        <f>12*20*F3*'LEM cost side'!G76/1000000</f>
        <v>1.0404347052431813</v>
      </c>
      <c r="G15" s="35">
        <f>12*20*G3*'LEM cost side'!H76/1000000</f>
        <v>1.0404347052431813</v>
      </c>
      <c r="H15" s="35">
        <f>12*20*H3*'LEM cost side'!I76/1000000</f>
        <v>1.0404347052431813</v>
      </c>
    </row>
    <row r="16" spans="1:8" x14ac:dyDescent="0.2">
      <c r="A16" s="25">
        <v>0.25</v>
      </c>
      <c r="B16" s="25">
        <v>300</v>
      </c>
      <c r="C16" s="35">
        <f>12*20*C4*'LEM cost side'!D77/1000000</f>
        <v>0</v>
      </c>
      <c r="D16" s="35">
        <f>12*20*D4*'LEM cost side'!E77/1000000</f>
        <v>0</v>
      </c>
      <c r="E16" s="35">
        <f>12*20*E4*'LEM cost side'!F77/1000000</f>
        <v>0</v>
      </c>
      <c r="F16" s="35">
        <f>12*20*F4*'LEM cost side'!G77/1000000</f>
        <v>0</v>
      </c>
      <c r="G16" s="35">
        <f>12*20*G4*'LEM cost side'!H77/1000000</f>
        <v>0</v>
      </c>
      <c r="H16" s="35">
        <f>12*20*H4*'LEM cost side'!I77/1000000</f>
        <v>0</v>
      </c>
    </row>
    <row r="17" spans="1:8" x14ac:dyDescent="0.2">
      <c r="A17" s="25">
        <v>0.18</v>
      </c>
      <c r="B17" s="25">
        <v>200</v>
      </c>
      <c r="C17" s="35">
        <f>12*20*C5*'LEM cost side'!D78/1000000</f>
        <v>4.0437386044784818</v>
      </c>
      <c r="D17" s="35">
        <f>12*20*D5*'LEM cost side'!E78/1000000</f>
        <v>4.1920588460272246</v>
      </c>
      <c r="E17" s="35">
        <f>12*20*E5*'LEM cost side'!F78/1000000</f>
        <v>4.2772426168484232</v>
      </c>
      <c r="F17" s="35">
        <f>12*20*F5*'LEM cost side'!G78/1000000</f>
        <v>4.316236684315073</v>
      </c>
      <c r="G17" s="35">
        <f>12*20*G5*'LEM cost side'!H78/1000000</f>
        <v>4.3162369395879256</v>
      </c>
      <c r="H17" s="35">
        <f>12*20*H5*'LEM cost side'!I78/1000000</f>
        <v>4.3162367569869202</v>
      </c>
    </row>
    <row r="18" spans="1:8" x14ac:dyDescent="0.2">
      <c r="A18" s="25">
        <v>0.18</v>
      </c>
      <c r="B18" s="25">
        <v>300</v>
      </c>
      <c r="C18" s="35">
        <f>12*20*C6*'LEM cost side'!D79/1000000</f>
        <v>0</v>
      </c>
      <c r="D18" s="35">
        <f>12*20*D6*'LEM cost side'!E79/1000000</f>
        <v>0</v>
      </c>
      <c r="E18" s="35">
        <f>12*20*E6*'LEM cost side'!F79/1000000</f>
        <v>0</v>
      </c>
      <c r="F18" s="35">
        <f>12*20*F6*'LEM cost side'!G79/1000000</f>
        <v>0</v>
      </c>
      <c r="G18" s="35">
        <f>12*20*G6*'LEM cost side'!H79/1000000</f>
        <v>0</v>
      </c>
      <c r="H18" s="35">
        <f>12*20*H6*'LEM cost side'!I79/1000000</f>
        <v>0</v>
      </c>
    </row>
    <row r="19" spans="1:8" x14ac:dyDescent="0.2">
      <c r="A19" s="25">
        <v>0.13</v>
      </c>
      <c r="B19" s="25">
        <v>200</v>
      </c>
      <c r="C19" s="35">
        <f>12*20*C7*'LEM cost side'!D80/1000000</f>
        <v>1.1879779350235569</v>
      </c>
      <c r="D19" s="35">
        <f>12*20*D7*'LEM cost side'!E80/1000000</f>
        <v>1.5755353914580696</v>
      </c>
      <c r="E19" s="35">
        <f>12*20*E7*'LEM cost side'!F80/1000000</f>
        <v>1.8187070857255616</v>
      </c>
      <c r="F19" s="35">
        <f>12*20*F7*'LEM cost side'!G80/1000000</f>
        <v>1.8560395373933509</v>
      </c>
      <c r="G19" s="35">
        <f>12*20*G7*'LEM cost side'!H80/1000000</f>
        <v>1.8800309213486015</v>
      </c>
      <c r="H19" s="35">
        <f>12*20*H7*'LEM cost side'!I80/1000000</f>
        <v>1.8991556123009563</v>
      </c>
    </row>
    <row r="20" spans="1:8" x14ac:dyDescent="0.2">
      <c r="A20" s="25">
        <v>0.13</v>
      </c>
      <c r="B20" s="25">
        <v>300</v>
      </c>
      <c r="C20" s="35">
        <f>12*20*C8*'LEM cost side'!D81/1000000</f>
        <v>0.49691316090257082</v>
      </c>
      <c r="D20" s="35">
        <f>12*20*D8*'LEM cost side'!E81/1000000</f>
        <v>0.71287319238726776</v>
      </c>
      <c r="E20" s="35">
        <f>12*20*E8*'LEM cost side'!F81/1000000</f>
        <v>1.034346023029036</v>
      </c>
      <c r="F20" s="35">
        <f>12*20*F8*'LEM cost side'!G81/1000000</f>
        <v>1.2570096884964757</v>
      </c>
      <c r="G20" s="35">
        <f>12*20*G8*'LEM cost side'!H81/1000000</f>
        <v>1.3426123166834281</v>
      </c>
      <c r="H20" s="35">
        <f>12*20*H8*'LEM cost side'!I81/1000000</f>
        <v>1.3426123166834281</v>
      </c>
    </row>
    <row r="21" spans="1:8" x14ac:dyDescent="0.2">
      <c r="A21" s="25">
        <v>0.09</v>
      </c>
      <c r="B21" s="25">
        <v>200</v>
      </c>
      <c r="C21" s="35">
        <f>12*20*C9*'LEM cost side'!D82/1000000</f>
        <v>0</v>
      </c>
      <c r="D21" s="35">
        <f>12*20*D9*'LEM cost side'!E82/1000000</f>
        <v>0</v>
      </c>
      <c r="E21" s="35">
        <f>12*20*E9*'LEM cost side'!F82/1000000</f>
        <v>0</v>
      </c>
      <c r="F21" s="35">
        <f>12*20*F9*'LEM cost side'!G82/1000000</f>
        <v>0</v>
      </c>
      <c r="G21" s="35">
        <f>12*20*G9*'LEM cost side'!H82/1000000</f>
        <v>0</v>
      </c>
      <c r="H21" s="35">
        <f>12*20*H9*'LEM cost side'!I82/1000000</f>
        <v>0</v>
      </c>
    </row>
    <row r="22" spans="1:8" x14ac:dyDescent="0.2">
      <c r="A22" s="25">
        <v>0.09</v>
      </c>
      <c r="B22" s="25">
        <v>300</v>
      </c>
      <c r="C22" s="35">
        <f>12*20*C10*'LEM cost side'!D83/1000000</f>
        <v>0</v>
      </c>
      <c r="D22" s="35">
        <f>12*20*D10*'LEM cost side'!E83/1000000</f>
        <v>0</v>
      </c>
      <c r="E22" s="35">
        <f>12*20*E10*'LEM cost side'!F83/1000000</f>
        <v>0</v>
      </c>
      <c r="F22" s="35">
        <f>12*20*F10*'LEM cost side'!G83/1000000</f>
        <v>0</v>
      </c>
      <c r="G22" s="35">
        <f>12*20*G10*'LEM cost side'!H83/1000000</f>
        <v>0</v>
      </c>
      <c r="H22" s="35">
        <f>12*20*H10*'LEM cost side'!I83/1000000</f>
        <v>0</v>
      </c>
    </row>
    <row r="23" spans="1:8" x14ac:dyDescent="0.2">
      <c r="A23" s="25">
        <v>6.5000000000000002E-2</v>
      </c>
      <c r="B23" s="25">
        <v>200</v>
      </c>
      <c r="C23" s="35">
        <f>12*20*C11*'LEM cost side'!D84/1000000</f>
        <v>0</v>
      </c>
      <c r="D23" s="35">
        <f>12*20*D11*'LEM cost side'!E84/1000000</f>
        <v>0</v>
      </c>
      <c r="E23" s="35">
        <f>12*20*E11*'LEM cost side'!F84/1000000</f>
        <v>0</v>
      </c>
      <c r="F23" s="35">
        <f>12*20*F11*'LEM cost side'!G84/1000000</f>
        <v>0</v>
      </c>
      <c r="G23" s="35">
        <f>12*20*G11*'LEM cost side'!H84/1000000</f>
        <v>0</v>
      </c>
      <c r="H23" s="35">
        <f>12*20*H11*'LEM cost side'!I84/1000000</f>
        <v>0</v>
      </c>
    </row>
    <row r="24" spans="1:8" x14ac:dyDescent="0.2">
      <c r="A24" s="25">
        <v>6.5000000000000002E-2</v>
      </c>
      <c r="B24" s="25">
        <v>300</v>
      </c>
      <c r="C24" s="35">
        <f>12*20*C12*'LEM cost side'!D85/1000000</f>
        <v>0</v>
      </c>
      <c r="D24" s="35">
        <f>12*20*D12*'LEM cost side'!E85/1000000</f>
        <v>0</v>
      </c>
      <c r="E24" s="35">
        <f>12*20*E12*'LEM cost side'!F85/1000000</f>
        <v>0</v>
      </c>
      <c r="F24" s="35">
        <f>12*20*F12*'LEM cost side'!G85/1000000</f>
        <v>0</v>
      </c>
      <c r="G24" s="35">
        <f>12*20*G12*'LEM cost side'!H85/1000000</f>
        <v>0</v>
      </c>
      <c r="H24" s="35">
        <f>12*20*H12*'LEM cost side'!I85/1000000</f>
        <v>0</v>
      </c>
    </row>
    <row r="25" spans="1:8" x14ac:dyDescent="0.2">
      <c r="A25" s="25" t="s">
        <v>92</v>
      </c>
      <c r="C25" s="35">
        <f t="shared" ref="C25:H25" si="1">+SUM(C15:C24)</f>
        <v>6.7395643515242298</v>
      </c>
      <c r="D25" s="35">
        <f t="shared" si="1"/>
        <v>7.5209020486194431</v>
      </c>
      <c r="E25" s="35">
        <f t="shared" si="1"/>
        <v>8.1707304308462021</v>
      </c>
      <c r="F25" s="35">
        <f t="shared" si="1"/>
        <v>8.4697206154480806</v>
      </c>
      <c r="G25" s="35">
        <f t="shared" si="1"/>
        <v>8.5793148828631374</v>
      </c>
      <c r="H25" s="35">
        <f t="shared" si="1"/>
        <v>8.5984393912144856</v>
      </c>
    </row>
    <row r="26" spans="1:8" x14ac:dyDescent="0.2">
      <c r="A26" s="25" t="s">
        <v>132</v>
      </c>
    </row>
    <row r="27" spans="1:8" x14ac:dyDescent="0.2">
      <c r="A27" s="25">
        <v>0.25</v>
      </c>
      <c r="B27" s="25">
        <v>200</v>
      </c>
      <c r="C27" s="35">
        <f>+C15*'LEM Demand Calibration'!C$10</f>
        <v>3.4563326790867963</v>
      </c>
      <c r="D27" s="35">
        <f>+D15*'LEM Demand Calibration'!D$10</f>
        <v>3.6420022287802252</v>
      </c>
      <c r="E27" s="35">
        <f>+E15*'LEM Demand Calibration'!E$10</f>
        <v>3.9837037508980324</v>
      </c>
      <c r="F27" s="35">
        <f>+F15*'LEM Demand Calibration'!F$10</f>
        <v>4.3321585938509699</v>
      </c>
      <c r="G27" s="35">
        <f>+G15*'LEM Demand Calibration'!G$10</f>
        <v>9.1251269977551921</v>
      </c>
      <c r="H27" s="35">
        <f>+H15*'LEM Demand Calibration'!H$10</f>
        <v>17.79284099408455</v>
      </c>
    </row>
    <row r="28" spans="1:8" x14ac:dyDescent="0.2">
      <c r="A28" s="25">
        <v>0.25</v>
      </c>
      <c r="B28" s="25">
        <v>300</v>
      </c>
      <c r="C28" s="35">
        <f>+C16*'LEM Demand Calibration'!C$10</f>
        <v>0</v>
      </c>
      <c r="D28" s="35">
        <f>+D16*'LEM Demand Calibration'!D$10</f>
        <v>0</v>
      </c>
      <c r="E28" s="35">
        <f>+E16*'LEM Demand Calibration'!E$10</f>
        <v>0</v>
      </c>
      <c r="F28" s="35">
        <f>+F16*'LEM Demand Calibration'!F$10</f>
        <v>0</v>
      </c>
      <c r="G28" s="35">
        <f>+G16*'LEM Demand Calibration'!G$10</f>
        <v>0</v>
      </c>
      <c r="H28" s="35">
        <f>+H16*'LEM Demand Calibration'!H$10</f>
        <v>0</v>
      </c>
    </row>
    <row r="29" spans="1:8" x14ac:dyDescent="0.2">
      <c r="A29" s="25">
        <v>0.18</v>
      </c>
      <c r="B29" s="25">
        <v>200</v>
      </c>
      <c r="C29" s="35">
        <f>+C17*'LEM Demand Calibration'!C$10</f>
        <v>13.825330716347185</v>
      </c>
      <c r="D29" s="35">
        <f>+D17*'LEM Demand Calibration'!D$10</f>
        <v>14.674144232914383</v>
      </c>
      <c r="E29" s="35">
        <f>+E17*'LEM Demand Calibration'!E$10</f>
        <v>16.377065634558377</v>
      </c>
      <c r="F29" s="35">
        <f>+F17*'LEM Demand Calibration'!F$10</f>
        <v>17.971932069182486</v>
      </c>
      <c r="G29" s="35">
        <f>+G17*'LEM Demand Calibration'!G$10</f>
        <v>37.855532911059775</v>
      </c>
      <c r="H29" s="35">
        <f>+H17*'LEM Demand Calibration'!H$10</f>
        <v>73.813487692090561</v>
      </c>
    </row>
    <row r="30" spans="1:8" x14ac:dyDescent="0.2">
      <c r="A30" s="25">
        <v>0.18</v>
      </c>
      <c r="B30" s="25">
        <v>300</v>
      </c>
      <c r="C30" s="35">
        <f>+C18*'LEM Demand Calibration'!C$10</f>
        <v>0</v>
      </c>
      <c r="D30" s="35">
        <f>+D18*'LEM Demand Calibration'!D$10</f>
        <v>0</v>
      </c>
      <c r="E30" s="35">
        <f>+E18*'LEM Demand Calibration'!E$10</f>
        <v>0</v>
      </c>
      <c r="F30" s="35">
        <f>+F18*'LEM Demand Calibration'!F$10</f>
        <v>0</v>
      </c>
      <c r="G30" s="35">
        <f>+G18*'LEM Demand Calibration'!G$10</f>
        <v>0</v>
      </c>
      <c r="H30" s="35">
        <f>+H18*'LEM Demand Calibration'!H$10</f>
        <v>0</v>
      </c>
    </row>
    <row r="31" spans="1:8" x14ac:dyDescent="0.2">
      <c r="A31" s="25">
        <v>0.13</v>
      </c>
      <c r="B31" s="25">
        <v>200</v>
      </c>
      <c r="C31" s="35">
        <f>+C19*'LEM Demand Calibration'!C$10</f>
        <v>4.0616344036763223</v>
      </c>
      <c r="D31" s="35">
        <f>+D19*'LEM Demand Calibration'!D$10</f>
        <v>5.5151023464823741</v>
      </c>
      <c r="E31" s="35">
        <f>+E19*'LEM Demand Calibration'!E$10</f>
        <v>6.9636183824686313</v>
      </c>
      <c r="F31" s="35">
        <f>+F19*'LEM Demand Calibration'!F$10</f>
        <v>7.7281713037114006</v>
      </c>
      <c r="G31" s="35">
        <f>+G19*'LEM Demand Calibration'!G$10</f>
        <v>16.488801104537284</v>
      </c>
      <c r="H31" s="35">
        <f>+H19*'LEM Demand Calibration'!H$10</f>
        <v>32.478130210771972</v>
      </c>
    </row>
    <row r="32" spans="1:8" x14ac:dyDescent="0.2">
      <c r="A32" s="25">
        <v>0.13</v>
      </c>
      <c r="B32" s="25">
        <v>300</v>
      </c>
      <c r="C32" s="35">
        <f>+C20*'LEM Demand Calibration'!C$10</f>
        <v>1.6989200981425707</v>
      </c>
      <c r="D32" s="35">
        <f>+D20*'LEM Demand Calibration'!D$10</f>
        <v>2.4953857827598243</v>
      </c>
      <c r="E32" s="35">
        <f>+E20*'LEM Demand Calibration'!E$10</f>
        <v>3.9603908932508558</v>
      </c>
      <c r="F32" s="35">
        <f>+F20*'LEM Demand Calibration'!F$10</f>
        <v>5.2339327947553835</v>
      </c>
      <c r="G32" s="35">
        <f>+G20*'LEM Demand Calibration'!G$10</f>
        <v>11.77537411693994</v>
      </c>
      <c r="H32" s="35">
        <f>+H20*'LEM Demand Calibration'!H$10</f>
        <v>22.960486945563936</v>
      </c>
    </row>
    <row r="33" spans="1:8" x14ac:dyDescent="0.2">
      <c r="A33" s="25">
        <v>0.09</v>
      </c>
      <c r="B33" s="25">
        <v>200</v>
      </c>
      <c r="C33" s="35">
        <f>+C21*'LEM Demand Calibration'!C$10</f>
        <v>0</v>
      </c>
      <c r="D33" s="35">
        <f>+D21*'LEM Demand Calibration'!D$10</f>
        <v>0</v>
      </c>
      <c r="E33" s="35">
        <f>+E21*'LEM Demand Calibration'!E$10</f>
        <v>0</v>
      </c>
      <c r="F33" s="35">
        <f>+F21*'LEM Demand Calibration'!F$10</f>
        <v>0</v>
      </c>
      <c r="G33" s="35">
        <f>+G21*'LEM Demand Calibration'!G$10</f>
        <v>0</v>
      </c>
      <c r="H33" s="35">
        <f>+H21*'LEM Demand Calibration'!H$10</f>
        <v>0</v>
      </c>
    </row>
    <row r="34" spans="1:8" x14ac:dyDescent="0.2">
      <c r="A34" s="25">
        <v>0.09</v>
      </c>
      <c r="B34" s="25">
        <v>300</v>
      </c>
      <c r="C34" s="35">
        <f>+C22*'LEM Demand Calibration'!C$10</f>
        <v>0</v>
      </c>
      <c r="D34" s="35">
        <f>+D22*'LEM Demand Calibration'!D$10</f>
        <v>0</v>
      </c>
      <c r="E34" s="35">
        <f>+E22*'LEM Demand Calibration'!E$10</f>
        <v>0</v>
      </c>
      <c r="F34" s="35">
        <f>+F22*'LEM Demand Calibration'!F$10</f>
        <v>0</v>
      </c>
      <c r="G34" s="35">
        <f>+G22*'LEM Demand Calibration'!G$10</f>
        <v>0</v>
      </c>
      <c r="H34" s="35">
        <f>+H22*'LEM Demand Calibration'!H$10</f>
        <v>0</v>
      </c>
    </row>
    <row r="35" spans="1:8" x14ac:dyDescent="0.2">
      <c r="A35" s="25">
        <v>6.5000000000000002E-2</v>
      </c>
      <c r="B35" s="25">
        <v>200</v>
      </c>
      <c r="C35" s="35">
        <f>+C23*'LEM Demand Calibration'!C$10</f>
        <v>0</v>
      </c>
      <c r="D35" s="35">
        <f>+D23*'LEM Demand Calibration'!D$10</f>
        <v>0</v>
      </c>
      <c r="E35" s="35">
        <f>+E23*'LEM Demand Calibration'!E$10</f>
        <v>0</v>
      </c>
      <c r="F35" s="35">
        <f>+F23*'LEM Demand Calibration'!F$10</f>
        <v>0</v>
      </c>
      <c r="G35" s="35">
        <f>+G23*'LEM Demand Calibration'!G$10</f>
        <v>0</v>
      </c>
      <c r="H35" s="35">
        <f>+H23*'LEM Demand Calibration'!H$10</f>
        <v>0</v>
      </c>
    </row>
    <row r="36" spans="1:8" x14ac:dyDescent="0.2">
      <c r="A36" s="25">
        <v>6.5000000000000002E-2</v>
      </c>
      <c r="B36" s="25">
        <v>300</v>
      </c>
      <c r="C36" s="35">
        <f>+C24*'LEM Demand Calibration'!C$10</f>
        <v>0</v>
      </c>
      <c r="D36" s="35">
        <f>+D24*'LEM Demand Calibration'!D$10</f>
        <v>0</v>
      </c>
      <c r="E36" s="35">
        <f>+E24*'LEM Demand Calibration'!E$10</f>
        <v>0</v>
      </c>
      <c r="F36" s="35">
        <f>+F24*'LEM Demand Calibration'!F$10</f>
        <v>0</v>
      </c>
      <c r="G36" s="35">
        <f>+G24*'LEM Demand Calibration'!G$10</f>
        <v>0</v>
      </c>
      <c r="H36" s="35">
        <f>+H24*'LEM Demand Calibration'!H$10</f>
        <v>0</v>
      </c>
    </row>
    <row r="37" spans="1:8" x14ac:dyDescent="0.2">
      <c r="A37" s="25" t="s">
        <v>92</v>
      </c>
      <c r="C37" s="35">
        <f t="shared" ref="C37:H37" si="2">+SUM(C27:C36)</f>
        <v>23.042217897252876</v>
      </c>
      <c r="D37" s="35">
        <f t="shared" si="2"/>
        <v>26.326634590936806</v>
      </c>
      <c r="E37" s="35">
        <f t="shared" si="2"/>
        <v>31.284778661175899</v>
      </c>
      <c r="F37" s="35">
        <f t="shared" si="2"/>
        <v>35.266194761500238</v>
      </c>
      <c r="G37" s="35">
        <f t="shared" si="2"/>
        <v>75.244835130292202</v>
      </c>
      <c r="H37" s="35">
        <f t="shared" si="2"/>
        <v>147.04494584251103</v>
      </c>
    </row>
    <row r="38" spans="1:8" x14ac:dyDescent="0.2">
      <c r="A38" s="25" t="s">
        <v>133</v>
      </c>
      <c r="C38" s="35"/>
      <c r="D38" s="35" t="s">
        <v>135</v>
      </c>
      <c r="E38" s="35"/>
      <c r="F38" s="35"/>
      <c r="G38" s="35"/>
      <c r="H38" s="35"/>
    </row>
    <row r="39" spans="1:8" x14ac:dyDescent="0.2">
      <c r="A39" s="25" t="s">
        <v>136</v>
      </c>
      <c r="C39" s="35">
        <f>-(C37-'LEM Demand Calibration'!C15)/'LEM Demand Calibration'!C16</f>
        <v>0.8493055769733493</v>
      </c>
      <c r="D39" s="35">
        <f>-(D37-'LEM Demand Calibration'!D15)/'LEM Demand Calibration'!D16</f>
        <v>0.98164193883865958</v>
      </c>
      <c r="E39" s="35">
        <f>-(E37-'LEM Demand Calibration'!E15)/'LEM Demand Calibration'!E16</f>
        <v>1.0215396557363021</v>
      </c>
      <c r="F39" s="35">
        <f>-(F37-'LEM Demand Calibration'!F15)/'LEM Demand Calibration'!F16</f>
        <v>1.0180879898734667</v>
      </c>
      <c r="G39" s="35">
        <f>-(G37-'LEM Demand Calibration'!G15)/'LEM Demand Calibration'!G16</f>
        <v>0.40501030662788595</v>
      </c>
      <c r="H39" s="35">
        <f>-(H37-'LEM Demand Calibration'!H15)/'LEM Demand Calibration'!H16</f>
        <v>0.21846733481254241</v>
      </c>
    </row>
    <row r="40" spans="1:8" x14ac:dyDescent="0.2">
      <c r="A40" s="25" t="s">
        <v>137</v>
      </c>
      <c r="C40" s="35">
        <f>+C39*'LEM Demand Calibration'!C10</f>
        <v>2.9037313311721751</v>
      </c>
      <c r="D40" s="35">
        <f>+D39*'LEM Demand Calibration'!D10</f>
        <v>3.4362006652763148</v>
      </c>
      <c r="E40" s="35">
        <f>+E39*'LEM Demand Calibration'!E10</f>
        <v>3.9113567989801172</v>
      </c>
      <c r="F40" s="35">
        <f>+F39*'LEM Demand Calibration'!F10</f>
        <v>4.2391114141044781</v>
      </c>
      <c r="G40" s="35">
        <f>+G39*'LEM Demand Calibration'!G10</f>
        <v>3.5521407203688158</v>
      </c>
      <c r="H40" s="35">
        <f>+H39*'LEM Demand Calibration'!H10</f>
        <v>3.736086975119167</v>
      </c>
    </row>
    <row r="41" spans="1:8" x14ac:dyDescent="0.2">
      <c r="A41" s="25" t="s">
        <v>167</v>
      </c>
      <c r="C41" s="35">
        <v>0.7</v>
      </c>
      <c r="D41" s="35">
        <v>0.7</v>
      </c>
      <c r="E41" s="35">
        <v>0.7</v>
      </c>
      <c r="F41" s="35">
        <v>0.7</v>
      </c>
      <c r="G41" s="35">
        <v>0.7</v>
      </c>
      <c r="H41" s="35">
        <v>0.7</v>
      </c>
    </row>
    <row r="42" spans="1:8" x14ac:dyDescent="0.2">
      <c r="A42" s="25" t="s">
        <v>138</v>
      </c>
      <c r="C42" s="35"/>
      <c r="D42" s="35"/>
      <c r="E42" s="35"/>
      <c r="F42" s="35"/>
      <c r="G42" s="35"/>
      <c r="H42" s="35"/>
    </row>
    <row r="43" spans="1:8" x14ac:dyDescent="0.2">
      <c r="A43" s="25">
        <v>0.25</v>
      </c>
      <c r="B43" s="25">
        <v>200</v>
      </c>
      <c r="C43" s="35">
        <f>+'LEM cost side'!D100+C$41</f>
        <v>1.8955682361671522</v>
      </c>
      <c r="D43" s="35">
        <f>+'LEM cost side'!E100+D$41</f>
        <v>1.8616696868228502</v>
      </c>
      <c r="E43" s="35">
        <f>+'LEM cost side'!F100+E$41</f>
        <v>1.8616695902477067</v>
      </c>
      <c r="F43" s="35">
        <f>+'LEM cost side'!G100+F$41</f>
        <v>1.8616695902477067</v>
      </c>
      <c r="G43" s="35">
        <f>+'LEM cost side'!H100+G$41</f>
        <v>1.8616695902477067</v>
      </c>
      <c r="H43" s="35">
        <f>+'LEM cost side'!I100+H$41</f>
        <v>1.8616695902477067</v>
      </c>
    </row>
    <row r="44" spans="1:8" x14ac:dyDescent="0.2">
      <c r="A44" s="25">
        <v>0.25</v>
      </c>
      <c r="B44" s="25">
        <v>300</v>
      </c>
      <c r="C44" s="35">
        <f>+'LEM cost side'!D101+C$41</f>
        <v>0.7</v>
      </c>
      <c r="D44" s="35">
        <f>+'LEM cost side'!E101+D$41</f>
        <v>0.7</v>
      </c>
      <c r="E44" s="35">
        <f>+'LEM cost side'!F101+E$41</f>
        <v>0.7</v>
      </c>
      <c r="F44" s="35">
        <f>+'LEM cost side'!G101+F$41</f>
        <v>0.7</v>
      </c>
      <c r="G44" s="35">
        <f>+'LEM cost side'!H101+G$41</f>
        <v>0.7</v>
      </c>
      <c r="H44" s="35">
        <f>+'LEM cost side'!I101+H$41</f>
        <v>0.7</v>
      </c>
    </row>
    <row r="45" spans="1:8" x14ac:dyDescent="0.2">
      <c r="A45" s="25">
        <v>0.18</v>
      </c>
      <c r="B45" s="25">
        <v>200</v>
      </c>
      <c r="C45" s="35">
        <f>+'LEM cost side'!D102+C$41</f>
        <v>2.0840873512135571</v>
      </c>
      <c r="D45" s="35">
        <f>+'LEM cost side'!E102+D$41</f>
        <v>2.0351166239893668</v>
      </c>
      <c r="E45" s="35">
        <f>+'LEM cost side'!F102+E$41</f>
        <v>2.0085270010230456</v>
      </c>
      <c r="F45" s="35">
        <f>+'LEM cost side'!G102+F$41</f>
        <v>1.9967054087676328</v>
      </c>
      <c r="G45" s="35">
        <f>+'LEM cost side'!H102+G$41</f>
        <v>1.9967053320772905</v>
      </c>
      <c r="H45" s="35">
        <f>+'LEM cost side'!I102+H$41</f>
        <v>1.9967053869351936</v>
      </c>
    </row>
    <row r="46" spans="1:8" x14ac:dyDescent="0.2">
      <c r="A46" s="25">
        <v>0.18</v>
      </c>
      <c r="B46" s="25">
        <v>300</v>
      </c>
      <c r="C46" s="35">
        <f>+'LEM cost side'!D103+C$41</f>
        <v>0.7</v>
      </c>
      <c r="D46" s="35">
        <f>+'LEM cost side'!E103+D$41</f>
        <v>0.7</v>
      </c>
      <c r="E46" s="35">
        <f>+'LEM cost side'!F103+E$41</f>
        <v>0.7</v>
      </c>
      <c r="F46" s="35">
        <f>+'LEM cost side'!G103+F$41</f>
        <v>0.7</v>
      </c>
      <c r="G46" s="35">
        <f>+'LEM cost side'!H103+G$41</f>
        <v>0.7</v>
      </c>
      <c r="H46" s="35">
        <f>+'LEM cost side'!I103+H$41</f>
        <v>0.7</v>
      </c>
    </row>
    <row r="47" spans="1:8" x14ac:dyDescent="0.2">
      <c r="A47" s="25">
        <v>0.13</v>
      </c>
      <c r="B47" s="25">
        <v>200</v>
      </c>
      <c r="C47" s="35">
        <f>+'LEM cost side'!D104+C$41</f>
        <v>2.9355781588550851</v>
      </c>
      <c r="D47" s="35">
        <f>+'LEM cost side'!E104+D$41</f>
        <v>2.3856603406938506</v>
      </c>
      <c r="E47" s="35">
        <f>+'LEM cost side'!F104+E$41</f>
        <v>2.1602777685230756</v>
      </c>
      <c r="F47" s="35">
        <f>+'LEM cost side'!G104+F$41</f>
        <v>2.1309056845148344</v>
      </c>
      <c r="G47" s="35">
        <f>+'LEM cost side'!H104+G$41</f>
        <v>2.1126456616124871</v>
      </c>
      <c r="H47" s="35">
        <f>+'LEM cost side'!I104+H$41</f>
        <v>2.0984201755446072</v>
      </c>
    </row>
    <row r="48" spans="1:8" x14ac:dyDescent="0.2">
      <c r="A48" s="25">
        <v>0.13</v>
      </c>
      <c r="B48" s="25">
        <v>300</v>
      </c>
      <c r="C48" s="35">
        <f>+'LEM cost side'!D105+C$41</f>
        <v>3.2285242039817152</v>
      </c>
      <c r="D48" s="35">
        <f>+'LEM cost side'!E105+D$41</f>
        <v>2.4625251840535505</v>
      </c>
      <c r="E48" s="35">
        <f>+'LEM cost side'!F105+E$41</f>
        <v>1.9147356171387724</v>
      </c>
      <c r="F48" s="35">
        <f>+'LEM cost side'!G105+F$41</f>
        <v>1.6995602787454043</v>
      </c>
      <c r="G48" s="35">
        <f>+'LEM cost side'!H105+G$41</f>
        <v>1.6358300523586427</v>
      </c>
      <c r="H48" s="35">
        <f>+'LEM cost side'!I105+H$41</f>
        <v>1.6358300523586427</v>
      </c>
    </row>
    <row r="49" spans="1:8" x14ac:dyDescent="0.2">
      <c r="A49" s="25">
        <v>0.09</v>
      </c>
      <c r="B49" s="25">
        <v>200</v>
      </c>
      <c r="C49" s="35">
        <f>+'LEM cost side'!D106+C$41</f>
        <v>0.7</v>
      </c>
      <c r="D49" s="35">
        <f>+'LEM cost side'!E106+D$41</f>
        <v>0.7</v>
      </c>
      <c r="E49" s="35">
        <f>+'LEM cost side'!F106+E$41</f>
        <v>3.9518411862966598</v>
      </c>
      <c r="F49" s="35">
        <f>+'LEM cost side'!G106+F$41</f>
        <v>3.0825000730234207</v>
      </c>
      <c r="G49" s="35">
        <f>+'LEM cost side'!H106+G$41</f>
        <v>2.6220089758574505</v>
      </c>
      <c r="H49" s="35">
        <f>+'LEM cost side'!I106+H$41</f>
        <v>2.4160692904488643</v>
      </c>
    </row>
    <row r="50" spans="1:8" x14ac:dyDescent="0.2">
      <c r="A50" s="25">
        <v>0.09</v>
      </c>
      <c r="B50" s="25">
        <v>300</v>
      </c>
      <c r="C50" s="35">
        <f>+'LEM cost side'!D107+C$41</f>
        <v>0.7</v>
      </c>
      <c r="D50" s="35">
        <f>+'LEM cost side'!E107+D$41</f>
        <v>0.7</v>
      </c>
      <c r="E50" s="35">
        <f>+'LEM cost side'!F107+E$41</f>
        <v>3.8047351819731183</v>
      </c>
      <c r="F50" s="35">
        <f>+'LEM cost side'!G107+F$41</f>
        <v>2.9132286535231673</v>
      </c>
      <c r="G50" s="35">
        <f>+'LEM cost side'!H107+G$41</f>
        <v>2.213316162223685</v>
      </c>
      <c r="H50" s="35">
        <f>+'LEM cost side'!I107+H$41</f>
        <v>1.886308422486803</v>
      </c>
    </row>
    <row r="51" spans="1:8" x14ac:dyDescent="0.2">
      <c r="A51" s="25">
        <v>6.5000000000000002E-2</v>
      </c>
      <c r="B51" s="25">
        <v>200</v>
      </c>
      <c r="C51" s="35">
        <f>+'LEM cost side'!D108+C$41</f>
        <v>0.7</v>
      </c>
      <c r="D51" s="35">
        <f>+'LEM cost side'!E108+D$41</f>
        <v>0.7</v>
      </c>
      <c r="E51" s="35">
        <f>+'LEM cost side'!F108+E$41</f>
        <v>0.7</v>
      </c>
      <c r="F51" s="35">
        <f>+'LEM cost side'!G108+F$41</f>
        <v>0.7</v>
      </c>
      <c r="G51" s="35">
        <f>+'LEM cost side'!H108+G$41</f>
        <v>0.7</v>
      </c>
      <c r="H51" s="35">
        <f>+'LEM cost side'!I108+H$41</f>
        <v>0.7</v>
      </c>
    </row>
    <row r="52" spans="1:8" x14ac:dyDescent="0.2">
      <c r="A52" s="25">
        <v>6.5000000000000002E-2</v>
      </c>
      <c r="B52" s="25">
        <v>300</v>
      </c>
      <c r="C52" s="35">
        <f>+'LEM cost side'!D109+C$41</f>
        <v>0.7</v>
      </c>
      <c r="D52" s="35">
        <f>+'LEM cost side'!E109+D$41</f>
        <v>0.7</v>
      </c>
      <c r="E52" s="35">
        <f>+'LEM cost side'!F109+E$41</f>
        <v>0.7</v>
      </c>
      <c r="F52" s="35">
        <f>+'LEM cost side'!G109+F$41</f>
        <v>0.7</v>
      </c>
      <c r="G52" s="35">
        <f>+'LEM cost side'!H109+G$41</f>
        <v>0.7</v>
      </c>
      <c r="H52" s="35">
        <f>+'LEM cost side'!I109+H$41</f>
        <v>3.5973228824600403</v>
      </c>
    </row>
    <row r="54" spans="1:8" x14ac:dyDescent="0.2">
      <c r="A54" s="25" t="s">
        <v>139</v>
      </c>
    </row>
    <row r="55" spans="1:8" x14ac:dyDescent="0.2">
      <c r="A55" s="25">
        <v>0.25</v>
      </c>
      <c r="B55" s="25">
        <v>200</v>
      </c>
      <c r="C55" s="35">
        <f t="shared" ref="C55:H62" si="3">+IF(C43&gt;C$40,0,C3)</f>
        <v>9.9614689515043331</v>
      </c>
      <c r="D55" s="35">
        <f t="shared" si="3"/>
        <v>9.9614689515043331</v>
      </c>
      <c r="E55" s="35">
        <f t="shared" si="3"/>
        <v>9.9614689515043331</v>
      </c>
      <c r="F55" s="35">
        <f t="shared" si="3"/>
        <v>9.9614689515043331</v>
      </c>
      <c r="G55" s="35">
        <f t="shared" si="3"/>
        <v>9.9614689515043331</v>
      </c>
      <c r="H55" s="35">
        <f t="shared" si="3"/>
        <v>9.9614689515043331</v>
      </c>
    </row>
    <row r="56" spans="1:8" x14ac:dyDescent="0.2">
      <c r="A56" s="25">
        <v>0.25</v>
      </c>
      <c r="B56" s="25">
        <v>300</v>
      </c>
      <c r="C56" s="35">
        <f t="shared" si="3"/>
        <v>0</v>
      </c>
      <c r="D56" s="35">
        <f t="shared" si="3"/>
        <v>0</v>
      </c>
      <c r="E56" s="35">
        <f t="shared" si="3"/>
        <v>0</v>
      </c>
      <c r="F56" s="35">
        <f t="shared" si="3"/>
        <v>0</v>
      </c>
      <c r="G56" s="35">
        <f t="shared" si="3"/>
        <v>0</v>
      </c>
      <c r="H56" s="35">
        <f t="shared" si="3"/>
        <v>0</v>
      </c>
    </row>
    <row r="57" spans="1:8" x14ac:dyDescent="0.2">
      <c r="A57" s="25">
        <v>0.18</v>
      </c>
      <c r="B57" s="25">
        <v>200</v>
      </c>
      <c r="C57" s="35">
        <f t="shared" si="3"/>
        <v>41.325090585110253</v>
      </c>
      <c r="D57" s="35">
        <f t="shared" si="3"/>
        <v>41.325090585110253</v>
      </c>
      <c r="E57" s="35">
        <f t="shared" si="3"/>
        <v>41.325090585110253</v>
      </c>
      <c r="F57" s="35">
        <f t="shared" si="3"/>
        <v>41.325090585110253</v>
      </c>
      <c r="G57" s="35">
        <f t="shared" si="3"/>
        <v>41.325090585110253</v>
      </c>
      <c r="H57" s="35">
        <f t="shared" si="3"/>
        <v>41.325090585110253</v>
      </c>
    </row>
    <row r="58" spans="1:8" x14ac:dyDescent="0.2">
      <c r="A58" s="25">
        <v>0.18</v>
      </c>
      <c r="B58" s="25">
        <v>300</v>
      </c>
      <c r="C58" s="35">
        <f t="shared" si="3"/>
        <v>0</v>
      </c>
      <c r="D58" s="35">
        <f t="shared" si="3"/>
        <v>0</v>
      </c>
      <c r="E58" s="35">
        <f t="shared" si="3"/>
        <v>0</v>
      </c>
      <c r="F58" s="35">
        <f t="shared" si="3"/>
        <v>0</v>
      </c>
      <c r="G58" s="35">
        <f t="shared" si="3"/>
        <v>0</v>
      </c>
      <c r="H58" s="35">
        <f t="shared" si="3"/>
        <v>0</v>
      </c>
    </row>
    <row r="59" spans="1:8" x14ac:dyDescent="0.2">
      <c r="A59" s="25">
        <v>0.13</v>
      </c>
      <c r="B59" s="25">
        <v>200</v>
      </c>
      <c r="C59" s="35">
        <f t="shared" si="3"/>
        <v>0</v>
      </c>
      <c r="D59" s="35">
        <f t="shared" si="3"/>
        <v>18.183152360347155</v>
      </c>
      <c r="E59" s="35">
        <f t="shared" si="3"/>
        <v>18.183152360347155</v>
      </c>
      <c r="F59" s="35">
        <f t="shared" si="3"/>
        <v>18.183152360347155</v>
      </c>
      <c r="G59" s="35">
        <f t="shared" si="3"/>
        <v>18.183152360347155</v>
      </c>
      <c r="H59" s="35">
        <f t="shared" si="3"/>
        <v>18.183152360347155</v>
      </c>
    </row>
    <row r="60" spans="1:8" x14ac:dyDescent="0.2">
      <c r="A60" s="25">
        <v>0.13</v>
      </c>
      <c r="B60" s="25">
        <v>300</v>
      </c>
      <c r="C60" s="35">
        <f t="shared" si="3"/>
        <v>0</v>
      </c>
      <c r="D60" s="35">
        <f t="shared" si="3"/>
        <v>5.7131634666806175</v>
      </c>
      <c r="E60" s="35">
        <f t="shared" si="3"/>
        <v>5.7131634666806175</v>
      </c>
      <c r="F60" s="35">
        <f t="shared" si="3"/>
        <v>5.7131634666806175</v>
      </c>
      <c r="G60" s="35">
        <f t="shared" si="3"/>
        <v>5.7131634666806175</v>
      </c>
      <c r="H60" s="35">
        <f t="shared" si="3"/>
        <v>5.7131634666806175</v>
      </c>
    </row>
    <row r="61" spans="1:8" x14ac:dyDescent="0.2">
      <c r="A61" s="25">
        <v>0.09</v>
      </c>
      <c r="B61" s="25">
        <v>200</v>
      </c>
      <c r="C61" s="35">
        <f t="shared" si="3"/>
        <v>0</v>
      </c>
      <c r="D61" s="35">
        <f t="shared" si="3"/>
        <v>0</v>
      </c>
      <c r="E61" s="35">
        <f t="shared" si="3"/>
        <v>0</v>
      </c>
      <c r="F61" s="35">
        <f t="shared" si="3"/>
        <v>0</v>
      </c>
      <c r="G61" s="35">
        <f t="shared" si="3"/>
        <v>0</v>
      </c>
      <c r="H61" s="35">
        <f t="shared" si="3"/>
        <v>0</v>
      </c>
    </row>
    <row r="62" spans="1:8" x14ac:dyDescent="0.2">
      <c r="A62" s="25">
        <v>0.09</v>
      </c>
      <c r="B62" s="25">
        <v>300</v>
      </c>
      <c r="C62" s="35">
        <f t="shared" si="3"/>
        <v>0</v>
      </c>
      <c r="D62" s="35">
        <f t="shared" si="3"/>
        <v>0</v>
      </c>
      <c r="E62" s="35">
        <f t="shared" si="3"/>
        <v>0</v>
      </c>
      <c r="F62" s="35">
        <f t="shared" si="3"/>
        <v>0</v>
      </c>
      <c r="G62" s="35">
        <f t="shared" si="3"/>
        <v>0</v>
      </c>
      <c r="H62" s="35">
        <f t="shared" si="3"/>
        <v>0</v>
      </c>
    </row>
    <row r="63" spans="1:8" x14ac:dyDescent="0.2">
      <c r="A63" s="25">
        <v>6.5000000000000002E-2</v>
      </c>
      <c r="B63" s="25">
        <v>200</v>
      </c>
      <c r="C63" s="35">
        <f t="shared" ref="C63:H63" si="4">+IF(C51&gt;C$40,0,C11)</f>
        <v>0</v>
      </c>
      <c r="D63" s="35">
        <f t="shared" si="4"/>
        <v>0</v>
      </c>
      <c r="E63" s="35">
        <f t="shared" si="4"/>
        <v>0</v>
      </c>
      <c r="F63" s="35">
        <f t="shared" si="4"/>
        <v>0</v>
      </c>
      <c r="G63" s="35">
        <f t="shared" si="4"/>
        <v>0</v>
      </c>
      <c r="H63" s="35">
        <f t="shared" si="4"/>
        <v>0</v>
      </c>
    </row>
    <row r="64" spans="1:8" x14ac:dyDescent="0.2">
      <c r="A64" s="25">
        <v>6.5000000000000002E-2</v>
      </c>
      <c r="B64" s="25">
        <v>300</v>
      </c>
      <c r="C64" s="35">
        <f t="shared" ref="C64:H64" si="5">+IF(C52&gt;C$40,0,C12)</f>
        <v>0</v>
      </c>
      <c r="D64" s="35">
        <f t="shared" si="5"/>
        <v>0</v>
      </c>
      <c r="E64" s="35">
        <f t="shared" si="5"/>
        <v>0</v>
      </c>
      <c r="F64" s="35">
        <f t="shared" si="5"/>
        <v>0</v>
      </c>
      <c r="G64" s="35">
        <f t="shared" si="5"/>
        <v>0</v>
      </c>
      <c r="H64" s="35">
        <f t="shared" si="5"/>
        <v>0</v>
      </c>
    </row>
    <row r="65" spans="1:8" x14ac:dyDescent="0.2">
      <c r="A65" s="25" t="s">
        <v>140</v>
      </c>
      <c r="C65" s="35">
        <f t="shared" ref="C65:H65" si="6">+SUM(C55:C64)</f>
        <v>51.28655953661459</v>
      </c>
      <c r="D65" s="35">
        <f t="shared" si="6"/>
        <v>75.182875363642353</v>
      </c>
      <c r="E65" s="35">
        <f t="shared" si="6"/>
        <v>75.182875363642353</v>
      </c>
      <c r="F65" s="35">
        <f t="shared" si="6"/>
        <v>75.182875363642353</v>
      </c>
      <c r="G65" s="35">
        <f t="shared" si="6"/>
        <v>75.182875363642353</v>
      </c>
      <c r="H65" s="35">
        <f t="shared" si="6"/>
        <v>75.182875363642353</v>
      </c>
    </row>
    <row r="67" spans="1:8" x14ac:dyDescent="0.2">
      <c r="A67" s="25" t="s">
        <v>168</v>
      </c>
    </row>
    <row r="68" spans="1:8" x14ac:dyDescent="0.2">
      <c r="A68" s="25">
        <v>0.25</v>
      </c>
      <c r="B68" s="25">
        <v>200</v>
      </c>
      <c r="C68" s="35">
        <f t="shared" ref="C68:H75" si="7">+C3-C55</f>
        <v>0</v>
      </c>
      <c r="D68" s="35">
        <f t="shared" si="7"/>
        <v>0</v>
      </c>
      <c r="E68" s="35">
        <f t="shared" si="7"/>
        <v>0</v>
      </c>
      <c r="F68" s="35">
        <f t="shared" si="7"/>
        <v>0</v>
      </c>
      <c r="G68" s="35">
        <f t="shared" si="7"/>
        <v>0</v>
      </c>
      <c r="H68" s="35">
        <f t="shared" si="7"/>
        <v>0</v>
      </c>
    </row>
    <row r="69" spans="1:8" x14ac:dyDescent="0.2">
      <c r="A69" s="25">
        <v>0.25</v>
      </c>
      <c r="B69" s="25">
        <v>300</v>
      </c>
      <c r="C69" s="35">
        <f t="shared" si="7"/>
        <v>0</v>
      </c>
      <c r="D69" s="35">
        <f t="shared" si="7"/>
        <v>0</v>
      </c>
      <c r="E69" s="35">
        <f t="shared" si="7"/>
        <v>0</v>
      </c>
      <c r="F69" s="35">
        <f t="shared" si="7"/>
        <v>0</v>
      </c>
      <c r="G69" s="35">
        <f t="shared" si="7"/>
        <v>0</v>
      </c>
      <c r="H69" s="35">
        <f t="shared" si="7"/>
        <v>0</v>
      </c>
    </row>
    <row r="70" spans="1:8" x14ac:dyDescent="0.2">
      <c r="A70" s="25">
        <v>0.18</v>
      </c>
      <c r="B70" s="25">
        <v>200</v>
      </c>
      <c r="C70" s="35">
        <f t="shared" si="7"/>
        <v>0</v>
      </c>
      <c r="D70" s="35">
        <f t="shared" si="7"/>
        <v>0</v>
      </c>
      <c r="E70" s="35">
        <f t="shared" si="7"/>
        <v>0</v>
      </c>
      <c r="F70" s="35">
        <f t="shared" si="7"/>
        <v>0</v>
      </c>
      <c r="G70" s="35">
        <f t="shared" si="7"/>
        <v>0</v>
      </c>
      <c r="H70" s="35">
        <f t="shared" si="7"/>
        <v>0</v>
      </c>
    </row>
    <row r="71" spans="1:8" x14ac:dyDescent="0.2">
      <c r="A71" s="25">
        <v>0.18</v>
      </c>
      <c r="B71" s="25">
        <v>300</v>
      </c>
      <c r="C71" s="35">
        <f t="shared" si="7"/>
        <v>0</v>
      </c>
      <c r="D71" s="35">
        <f t="shared" si="7"/>
        <v>0</v>
      </c>
      <c r="E71" s="35">
        <f t="shared" si="7"/>
        <v>0</v>
      </c>
      <c r="F71" s="35">
        <f t="shared" si="7"/>
        <v>0</v>
      </c>
      <c r="G71" s="35">
        <f t="shared" si="7"/>
        <v>0</v>
      </c>
      <c r="H71" s="35">
        <f t="shared" si="7"/>
        <v>0</v>
      </c>
    </row>
    <row r="72" spans="1:8" x14ac:dyDescent="0.2">
      <c r="A72" s="25">
        <v>0.13</v>
      </c>
      <c r="B72" s="25">
        <v>200</v>
      </c>
      <c r="C72" s="35">
        <f t="shared" si="7"/>
        <v>18.183152360347155</v>
      </c>
      <c r="D72" s="35">
        <f t="shared" si="7"/>
        <v>0</v>
      </c>
      <c r="E72" s="35">
        <f t="shared" si="7"/>
        <v>0</v>
      </c>
      <c r="F72" s="35">
        <f t="shared" si="7"/>
        <v>0</v>
      </c>
      <c r="G72" s="35">
        <f t="shared" si="7"/>
        <v>0</v>
      </c>
      <c r="H72" s="35">
        <f t="shared" si="7"/>
        <v>0</v>
      </c>
    </row>
    <row r="73" spans="1:8" x14ac:dyDescent="0.2">
      <c r="A73" s="25">
        <v>0.13</v>
      </c>
      <c r="B73" s="25">
        <v>300</v>
      </c>
      <c r="C73" s="35">
        <f t="shared" si="7"/>
        <v>5.7131634666806175</v>
      </c>
      <c r="D73" s="35">
        <f t="shared" si="7"/>
        <v>0</v>
      </c>
      <c r="E73" s="35">
        <f t="shared" si="7"/>
        <v>0</v>
      </c>
      <c r="F73" s="35">
        <f t="shared" si="7"/>
        <v>0</v>
      </c>
      <c r="G73" s="35">
        <f t="shared" si="7"/>
        <v>0</v>
      </c>
      <c r="H73" s="35">
        <f t="shared" si="7"/>
        <v>0</v>
      </c>
    </row>
    <row r="74" spans="1:8" x14ac:dyDescent="0.2">
      <c r="A74" s="25">
        <v>0.09</v>
      </c>
      <c r="B74" s="25">
        <v>200</v>
      </c>
      <c r="C74" s="35">
        <f t="shared" si="7"/>
        <v>0</v>
      </c>
      <c r="D74" s="35">
        <f t="shared" si="7"/>
        <v>0</v>
      </c>
      <c r="E74" s="35">
        <f t="shared" si="7"/>
        <v>0</v>
      </c>
      <c r="F74" s="35">
        <f t="shared" si="7"/>
        <v>0</v>
      </c>
      <c r="G74" s="35">
        <f t="shared" si="7"/>
        <v>0</v>
      </c>
      <c r="H74" s="35">
        <f t="shared" si="7"/>
        <v>0</v>
      </c>
    </row>
    <row r="75" spans="1:8" x14ac:dyDescent="0.2">
      <c r="A75" s="25">
        <v>0.09</v>
      </c>
      <c r="B75" s="25">
        <v>300</v>
      </c>
      <c r="C75" s="35">
        <f t="shared" si="7"/>
        <v>0</v>
      </c>
      <c r="D75" s="35">
        <f t="shared" si="7"/>
        <v>0</v>
      </c>
      <c r="E75" s="35">
        <f t="shared" si="7"/>
        <v>0</v>
      </c>
      <c r="F75" s="35">
        <f t="shared" si="7"/>
        <v>0</v>
      </c>
      <c r="G75" s="35">
        <f t="shared" si="7"/>
        <v>0</v>
      </c>
      <c r="H75" s="35">
        <f t="shared" si="7"/>
        <v>0</v>
      </c>
    </row>
    <row r="76" spans="1:8" x14ac:dyDescent="0.2">
      <c r="A76" s="25">
        <v>6.5000000000000002E-2</v>
      </c>
      <c r="B76" s="25">
        <v>200</v>
      </c>
      <c r="C76" s="35">
        <f t="shared" ref="C76:H76" si="8">+C11-C63</f>
        <v>0</v>
      </c>
      <c r="D76" s="35">
        <f t="shared" si="8"/>
        <v>0</v>
      </c>
      <c r="E76" s="35">
        <f t="shared" si="8"/>
        <v>0</v>
      </c>
      <c r="F76" s="35">
        <f t="shared" si="8"/>
        <v>0</v>
      </c>
      <c r="G76" s="35">
        <f t="shared" si="8"/>
        <v>0</v>
      </c>
      <c r="H76" s="35">
        <f t="shared" si="8"/>
        <v>0</v>
      </c>
    </row>
    <row r="77" spans="1:8" x14ac:dyDescent="0.2">
      <c r="A77" s="25">
        <v>6.5000000000000002E-2</v>
      </c>
      <c r="B77" s="25">
        <v>300</v>
      </c>
      <c r="C77" s="35">
        <f t="shared" ref="C77:H77" si="9">+C12-C64</f>
        <v>0</v>
      </c>
      <c r="D77" s="35">
        <f t="shared" si="9"/>
        <v>0</v>
      </c>
      <c r="E77" s="35">
        <f t="shared" si="9"/>
        <v>0</v>
      </c>
      <c r="F77" s="35">
        <f t="shared" si="9"/>
        <v>0</v>
      </c>
      <c r="G77" s="35">
        <f t="shared" si="9"/>
        <v>0</v>
      </c>
      <c r="H77" s="35">
        <f t="shared" si="9"/>
        <v>0</v>
      </c>
    </row>
    <row r="78" spans="1:8" x14ac:dyDescent="0.2">
      <c r="A78" s="25" t="s">
        <v>92</v>
      </c>
      <c r="C78" s="35">
        <f t="shared" ref="C78:H78" si="10">+SUM(C68:C77)</f>
        <v>23.89631582702777</v>
      </c>
      <c r="D78" s="35">
        <f t="shared" si="10"/>
        <v>0</v>
      </c>
      <c r="E78" s="35">
        <f t="shared" si="10"/>
        <v>0</v>
      </c>
      <c r="F78" s="35">
        <f t="shared" si="10"/>
        <v>0</v>
      </c>
      <c r="G78" s="35">
        <f t="shared" si="10"/>
        <v>0</v>
      </c>
      <c r="H78" s="35">
        <f t="shared" si="10"/>
        <v>0</v>
      </c>
    </row>
    <row r="79" spans="1:8" x14ac:dyDescent="0.2">
      <c r="A79" s="25" t="s">
        <v>141</v>
      </c>
      <c r="B79" s="25" t="s">
        <v>143</v>
      </c>
    </row>
    <row r="80" spans="1:8" x14ac:dyDescent="0.2">
      <c r="A80" s="25" t="s">
        <v>142</v>
      </c>
      <c r="C80" s="25" t="s">
        <v>144</v>
      </c>
      <c r="D80" s="25" t="s">
        <v>146</v>
      </c>
    </row>
    <row r="81" spans="1:8" x14ac:dyDescent="0.2">
      <c r="A81" s="25">
        <v>0.25</v>
      </c>
      <c r="B81" s="25">
        <v>200</v>
      </c>
      <c r="D81" s="25">
        <f>12*20*'LEM cost side'!E76/1000000</f>
        <v>0.10444590288962946</v>
      </c>
      <c r="E81" s="25">
        <f>12*20*'LEM cost side'!F76/1000000</f>
        <v>0.10444591157271639</v>
      </c>
      <c r="F81" s="25">
        <f>12*20*'LEM cost side'!G76/1000000</f>
        <v>0.10444591157271639</v>
      </c>
      <c r="G81" s="25">
        <f>12*20*'LEM cost side'!H76/1000000</f>
        <v>0.10444591157271639</v>
      </c>
      <c r="H81" s="25">
        <f>12*20*'LEM cost side'!I76/1000000</f>
        <v>0.10444591157271639</v>
      </c>
    </row>
    <row r="82" spans="1:8" x14ac:dyDescent="0.2">
      <c r="A82" s="25">
        <v>0.25</v>
      </c>
      <c r="B82" s="25">
        <v>300</v>
      </c>
      <c r="D82" s="25">
        <f>12*20*'LEM cost side'!E77/1000000</f>
        <v>0</v>
      </c>
      <c r="E82" s="25">
        <f>12*20*'LEM cost side'!F77/1000000</f>
        <v>0</v>
      </c>
      <c r="F82" s="25">
        <f>12*20*'LEM cost side'!G77/1000000</f>
        <v>0</v>
      </c>
      <c r="G82" s="25">
        <f>12*20*'LEM cost side'!H77/1000000</f>
        <v>0</v>
      </c>
      <c r="H82" s="25">
        <f>12*20*'LEM cost side'!I77/1000000</f>
        <v>0</v>
      </c>
    </row>
    <row r="83" spans="1:8" x14ac:dyDescent="0.2">
      <c r="A83" s="25">
        <v>0.18</v>
      </c>
      <c r="B83" s="25">
        <v>200</v>
      </c>
      <c r="D83" s="25">
        <f>12*20*'LEM cost side'!E78/1000000</f>
        <v>0.10144100803345017</v>
      </c>
      <c r="E83" s="25">
        <f>12*20*'LEM cost side'!F78/1000000</f>
        <v>0.10350231678353648</v>
      </c>
      <c r="F83" s="25">
        <f>12*20*'LEM cost side'!G78/1000000</f>
        <v>0.10444590981417586</v>
      </c>
      <c r="G83" s="25">
        <f>12*20*'LEM cost side'!H78/1000000</f>
        <v>0.10444591599136384</v>
      </c>
      <c r="H83" s="25">
        <f>12*20*'LEM cost side'!I78/1000000</f>
        <v>0.10444591157271639</v>
      </c>
    </row>
    <row r="84" spans="1:8" x14ac:dyDescent="0.2">
      <c r="A84" s="25">
        <v>0.18</v>
      </c>
      <c r="B84" s="25">
        <v>300</v>
      </c>
      <c r="D84" s="25">
        <f>12*20*'LEM cost side'!E79/1000000</f>
        <v>0</v>
      </c>
      <c r="E84" s="25">
        <f>12*20*'LEM cost side'!F79/1000000</f>
        <v>0</v>
      </c>
      <c r="F84" s="25">
        <f>12*20*'LEM cost side'!G79/1000000</f>
        <v>0</v>
      </c>
      <c r="G84" s="25">
        <f>12*20*'LEM cost side'!H79/1000000</f>
        <v>0</v>
      </c>
      <c r="H84" s="25">
        <f>12*20*'LEM cost side'!I79/1000000</f>
        <v>0</v>
      </c>
    </row>
    <row r="85" spans="1:8" x14ac:dyDescent="0.2">
      <c r="A85" s="25">
        <v>0.13</v>
      </c>
      <c r="B85" s="25">
        <v>200</v>
      </c>
      <c r="D85" s="25">
        <f>12*20*'LEM cost side'!E80/1000000</f>
        <v>8.6648088309148913E-2</v>
      </c>
      <c r="E85" s="25">
        <f>12*20*'LEM cost side'!F80/1000000</f>
        <v>0.10002155015165032</v>
      </c>
      <c r="F85" s="25">
        <f>12*20*'LEM cost side'!G80/1000000</f>
        <v>0.10207468433476377</v>
      </c>
      <c r="G85" s="25">
        <f>12*20*'LEM cost side'!H80/1000000</f>
        <v>0.10339411363281938</v>
      </c>
      <c r="H85" s="25">
        <f>12*20*'LEM cost side'!I80/1000000</f>
        <v>0.10444589445571238</v>
      </c>
    </row>
    <row r="86" spans="1:8" x14ac:dyDescent="0.2">
      <c r="A86" s="25">
        <v>0.13</v>
      </c>
      <c r="B86" s="25">
        <v>300</v>
      </c>
      <c r="D86" s="25">
        <f>12*20*'LEM cost side'!E81/1000000</f>
        <v>0.1247773141001077</v>
      </c>
      <c r="E86" s="25">
        <f>12*20*'LEM cost side'!F81/1000000</f>
        <v>0.18104611027872397</v>
      </c>
      <c r="F86" s="25">
        <f>12*20*'LEM cost side'!G81/1000000</f>
        <v>0.22001990592907117</v>
      </c>
      <c r="G86" s="25">
        <f>12*20*'LEM cost side'!H81/1000000</f>
        <v>0.23500330850212725</v>
      </c>
      <c r="H86" s="25">
        <f>12*20*'LEM cost side'!I81/1000000</f>
        <v>0.23500330850212725</v>
      </c>
    </row>
    <row r="87" spans="1:8" x14ac:dyDescent="0.2">
      <c r="A87" s="25">
        <v>0.09</v>
      </c>
      <c r="B87" s="25">
        <v>200</v>
      </c>
      <c r="D87" s="25">
        <f>12*20*'LEM cost side'!E82/1000000</f>
        <v>0</v>
      </c>
      <c r="E87" s="25">
        <f>12*20*'LEM cost side'!F82/1000000</f>
        <v>5.2580523507781432E-2</v>
      </c>
      <c r="F87" s="25">
        <f>12*20*'LEM cost side'!G82/1000000</f>
        <v>7.1766424637571255E-2</v>
      </c>
      <c r="G87" s="25">
        <f>12*20*'LEM cost side'!H82/1000000</f>
        <v>8.8960829053029711E-2</v>
      </c>
      <c r="H87" s="25">
        <f>12*20*'LEM cost side'!I82/1000000</f>
        <v>9.9636717987605233E-2</v>
      </c>
    </row>
    <row r="88" spans="1:8" x14ac:dyDescent="0.2">
      <c r="A88" s="25">
        <v>0.09</v>
      </c>
      <c r="B88" s="25">
        <v>300</v>
      </c>
      <c r="D88" s="25">
        <f>12*20*'LEM cost side'!E83/1000000</f>
        <v>0</v>
      </c>
      <c r="E88" s="25">
        <f>12*20*'LEM cost side'!F83/1000000</f>
        <v>7.9648603860263512E-2</v>
      </c>
      <c r="F88" s="25">
        <f>12*20*'LEM cost side'!G83/1000000</f>
        <v>0.111731710235339</v>
      </c>
      <c r="G88" s="25">
        <f>12*20*'LEM cost side'!H83/1000000</f>
        <v>0.16340790429187799</v>
      </c>
      <c r="H88" s="25">
        <f>12*20*'LEM cost side'!I83/1000000</f>
        <v>0.20845154422963813</v>
      </c>
    </row>
    <row r="89" spans="1:8" x14ac:dyDescent="0.2">
      <c r="A89" s="25">
        <v>6.5000000000000002E-2</v>
      </c>
      <c r="B89" s="25">
        <v>200</v>
      </c>
      <c r="D89" s="25">
        <f>12*20*'LEM cost side'!E84/1000000</f>
        <v>0</v>
      </c>
      <c r="E89" s="25">
        <f>12*20*'LEM cost side'!F84/1000000</f>
        <v>0</v>
      </c>
      <c r="F89" s="25">
        <f>12*20*'LEM cost side'!G84/1000000</f>
        <v>0</v>
      </c>
      <c r="G89" s="25">
        <f>12*20*'LEM cost side'!H84/1000000</f>
        <v>0</v>
      </c>
      <c r="H89" s="25">
        <f>12*20*'LEM cost side'!I84/1000000</f>
        <v>0</v>
      </c>
    </row>
    <row r="90" spans="1:8" x14ac:dyDescent="0.2">
      <c r="A90" s="25">
        <v>6.5000000000000002E-2</v>
      </c>
      <c r="B90" s="25">
        <v>300</v>
      </c>
      <c r="D90" s="25">
        <f>12*20*'LEM cost side'!E85/1000000</f>
        <v>0</v>
      </c>
      <c r="E90" s="25">
        <f>12*20*'LEM cost side'!F85/1000000</f>
        <v>0</v>
      </c>
      <c r="F90" s="25">
        <f>12*20*'LEM cost side'!G85/1000000</f>
        <v>0</v>
      </c>
      <c r="G90" s="25">
        <f>12*20*'LEM cost side'!H85/1000000</f>
        <v>0</v>
      </c>
      <c r="H90" s="25">
        <f>12*20*'LEM cost side'!I85/1000000</f>
        <v>9.5282757186385986E-2</v>
      </c>
    </row>
    <row r="92" spans="1:8" x14ac:dyDescent="0.2">
      <c r="A92" s="25" t="s">
        <v>145</v>
      </c>
    </row>
    <row r="93" spans="1:8" x14ac:dyDescent="0.2">
      <c r="A93" s="25">
        <v>0.25</v>
      </c>
      <c r="B93" s="25">
        <v>200</v>
      </c>
      <c r="C93" s="25">
        <f>+C81*'LEM Demand Calibration'!C$10+'Capacity&amp;Price Calculation'!C$37</f>
        <v>23.042217897252876</v>
      </c>
      <c r="D93" s="25">
        <f>+D81*'LEM Demand Calibration'!D$10+'Capacity&amp;Price Calculation'!D$37</f>
        <v>26.692243543442775</v>
      </c>
      <c r="E93" s="25">
        <f>+E81*'LEM Demand Calibration'!E$10+'Capacity&amp;Price Calculation'!E$37</f>
        <v>31.684689936339431</v>
      </c>
      <c r="F93" s="25">
        <f>+F81*'LEM Demand Calibration'!F$10+'Capacity&amp;Price Calculation'!F$37</f>
        <v>35.701086303595218</v>
      </c>
      <c r="G93" s="25">
        <f>+G81*'LEM Demand Calibration'!G$10+'Capacity&amp;Price Calculation'!G$37</f>
        <v>76.160877437122579</v>
      </c>
      <c r="H93" s="25">
        <f>+H81*'LEM Demand Calibration'!H$10+'Capacity&amp;Price Calculation'!H$37</f>
        <v>148.83111222828262</v>
      </c>
    </row>
    <row r="94" spans="1:8" x14ac:dyDescent="0.2">
      <c r="A94" s="25">
        <v>0.25</v>
      </c>
      <c r="B94" s="25">
        <v>300</v>
      </c>
    </row>
    <row r="95" spans="1:8" x14ac:dyDescent="0.2">
      <c r="A95" s="25">
        <v>0.18</v>
      </c>
      <c r="B95" s="25">
        <v>200</v>
      </c>
      <c r="C95" s="25">
        <f>+C83*'LEM Demand Calibration'!C$10+'Capacity&amp;Price Calculation'!C$37</f>
        <v>23.042217897252876</v>
      </c>
      <c r="D95" s="25">
        <f>+D83*'LEM Demand Calibration'!D$10+'Capacity&amp;Price Calculation'!D$37</f>
        <v>26.681725022080389</v>
      </c>
      <c r="E95" s="25">
        <f>+E83*'LEM Demand Calibration'!E$10+'Capacity&amp;Price Calculation'!E$37</f>
        <v>31.681077021389516</v>
      </c>
      <c r="F95" s="25">
        <f>+F83*'LEM Demand Calibration'!F$10+'Capacity&amp;Price Calculation'!F$37</f>
        <v>35.701086296273012</v>
      </c>
      <c r="G95" s="25">
        <f>+G83*'LEM Demand Calibration'!G$10+'Capacity&amp;Price Calculation'!G$37</f>
        <v>76.160877475876305</v>
      </c>
      <c r="H95" s="25">
        <f>+H83*'LEM Demand Calibration'!H$10+'Capacity&amp;Price Calculation'!H$37</f>
        <v>148.83111222828262</v>
      </c>
    </row>
    <row r="96" spans="1:8" x14ac:dyDescent="0.2">
      <c r="A96" s="25">
        <v>0.18</v>
      </c>
      <c r="B96" s="25">
        <v>300</v>
      </c>
    </row>
    <row r="97" spans="1:8" x14ac:dyDescent="0.2">
      <c r="A97" s="25">
        <v>0.13</v>
      </c>
      <c r="B97" s="25">
        <v>200</v>
      </c>
      <c r="C97" s="25">
        <f>+C85*'LEM Demand Calibration'!C$10+'Capacity&amp;Price Calculation'!C$37</f>
        <v>23.042217897252876</v>
      </c>
      <c r="D97" s="25">
        <f>+D85*'LEM Demand Calibration'!D$10+'Capacity&amp;Price Calculation'!D$37</f>
        <v>26.629942963279845</v>
      </c>
      <c r="E97" s="25">
        <f>+E85*'LEM Demand Calibration'!E$10+'Capacity&amp;Price Calculation'!E$37</f>
        <v>31.667749569875674</v>
      </c>
      <c r="F97" s="25">
        <f>+F85*'LEM Demand Calibration'!F$10+'Capacity&amp;Price Calculation'!F$37</f>
        <v>35.691212995443244</v>
      </c>
      <c r="G97" s="25">
        <f>+G85*'LEM Demand Calibration'!G$10+'Capacity&amp;Price Calculation'!G$37</f>
        <v>76.151652648936278</v>
      </c>
      <c r="H97" s="25">
        <f>+H85*'LEM Demand Calibration'!H$10+'Capacity&amp;Price Calculation'!H$37</f>
        <v>148.83111193555871</v>
      </c>
    </row>
    <row r="98" spans="1:8" x14ac:dyDescent="0.2">
      <c r="A98" s="25">
        <v>0.13</v>
      </c>
      <c r="B98" s="25">
        <v>300</v>
      </c>
      <c r="C98" s="25">
        <f>+C86*'LEM Demand Calibration'!C$10+'Capacity&amp;Price Calculation'!C$37</f>
        <v>23.042217897252876</v>
      </c>
      <c r="D98" s="25">
        <f>+D86*'LEM Demand Calibration'!D$10+'Capacity&amp;Price Calculation'!D$37</f>
        <v>26.763412883263467</v>
      </c>
      <c r="E98" s="25">
        <f>+E86*'LEM Demand Calibration'!E$10+'Capacity&amp;Price Calculation'!E$37</f>
        <v>31.977983208244787</v>
      </c>
      <c r="F98" s="25">
        <f>+F86*'LEM Demand Calibration'!F$10+'Capacity&amp;Price Calculation'!F$37</f>
        <v>36.182312920079085</v>
      </c>
      <c r="G98" s="25">
        <f>+G86*'LEM Demand Calibration'!G$10+'Capacity&amp;Price Calculation'!G$37</f>
        <v>77.305930386119272</v>
      </c>
      <c r="H98" s="25">
        <f>+H86*'LEM Demand Calibration'!H$10+'Capacity&amp;Price Calculation'!H$37</f>
        <v>151.06382033813335</v>
      </c>
    </row>
    <row r="99" spans="1:8" x14ac:dyDescent="0.2">
      <c r="A99" s="25">
        <v>0.09</v>
      </c>
      <c r="B99" s="25">
        <v>200</v>
      </c>
      <c r="E99" s="25">
        <f>+E87*'LEM Demand Calibration'!E$10+'Capacity&amp;Price Calculation'!E$37</f>
        <v>31.486103384069654</v>
      </c>
      <c r="F99" s="25">
        <f>+F87*'LEM Demand Calibration'!F$10+'Capacity&amp;Price Calculation'!F$37</f>
        <v>35.565015563686899</v>
      </c>
      <c r="G99" s="25">
        <f>+G87*'LEM Demand Calibration'!G$10+'Capacity&amp;Price Calculation'!G$37</f>
        <v>76.025065604000545</v>
      </c>
      <c r="H99" s="25">
        <f>+H87*'LEM Demand Calibration'!H$10+'Capacity&amp;Price Calculation'!H$37</f>
        <v>148.74886851194134</v>
      </c>
    </row>
    <row r="100" spans="1:8" x14ac:dyDescent="0.2">
      <c r="A100" s="25">
        <v>0.09</v>
      </c>
      <c r="B100" s="25">
        <v>300</v>
      </c>
      <c r="E100" s="25">
        <f>+E88*'LEM Demand Calibration'!E$10+'Capacity&amp;Price Calculation'!E$37</f>
        <v>31.589743922669903</v>
      </c>
      <c r="F100" s="25">
        <f>+F88*'LEM Demand Calibration'!F$10+'Capacity&amp;Price Calculation'!F$37</f>
        <v>35.731422888034672</v>
      </c>
      <c r="G100" s="25">
        <f>+G88*'LEM Demand Calibration'!G$10+'Capacity&amp;Price Calculation'!G$37</f>
        <v>76.678003277784839</v>
      </c>
      <c r="H100" s="25">
        <f>+H88*'LEM Demand Calibration'!H$10+'Capacity&amp;Price Calculation'!H$37</f>
        <v>150.6097492489703</v>
      </c>
    </row>
    <row r="101" spans="1:8" x14ac:dyDescent="0.2">
      <c r="A101" s="25">
        <v>6.5000000000000002E-2</v>
      </c>
      <c r="B101" s="25">
        <v>200</v>
      </c>
    </row>
    <row r="102" spans="1:8" x14ac:dyDescent="0.2">
      <c r="A102" s="25">
        <v>6.5000000000000002E-2</v>
      </c>
      <c r="B102" s="25">
        <v>300</v>
      </c>
      <c r="H102" s="25">
        <f>+H90*'LEM Demand Calibration'!H$10+'Capacity&amp;Price Calculation'!H$37</f>
        <v>148.67440989205855</v>
      </c>
    </row>
    <row r="103" spans="1:8" x14ac:dyDescent="0.2">
      <c r="A103" s="25" t="s">
        <v>147</v>
      </c>
    </row>
    <row r="104" spans="1:8" x14ac:dyDescent="0.2">
      <c r="A104" s="25">
        <v>0.25</v>
      </c>
      <c r="B104" s="25">
        <v>200</v>
      </c>
      <c r="C104" s="25">
        <f>-(C93-'LEM Demand Calibration'!C$15)/'LEM Demand Calibration'!C$16</f>
        <v>0.8493055769733493</v>
      </c>
      <c r="D104" s="25">
        <f>-(D93-'LEM Demand Calibration'!D$15)/'LEM Demand Calibration'!D$16</f>
        <v>0.96804520638928448</v>
      </c>
      <c r="E104" s="25">
        <f>-(E93-'LEM Demand Calibration'!E$15)/'LEM Demand Calibration'!E$16</f>
        <v>1.0115584104057125</v>
      </c>
      <c r="F104" s="25">
        <f>-(F93-'LEM Demand Calibration'!F$15)/'LEM Demand Calibration'!F$16</f>
        <v>1.0117057225078119</v>
      </c>
      <c r="G104" s="25">
        <f>-(G93-'LEM Demand Calibration'!G$15)/'LEM Demand Calibration'!G$16</f>
        <v>0.40314081392196249</v>
      </c>
      <c r="H104" s="25">
        <f>-(H93-'LEM Demand Calibration'!H$15)/'LEM Demand Calibration'!H$16</f>
        <v>0.21764215646367335</v>
      </c>
    </row>
    <row r="105" spans="1:8" x14ac:dyDescent="0.2">
      <c r="A105" s="25">
        <v>0.25</v>
      </c>
      <c r="B105" s="25">
        <v>300</v>
      </c>
    </row>
    <row r="106" spans="1:8" x14ac:dyDescent="0.2">
      <c r="A106" s="25">
        <v>0.18</v>
      </c>
      <c r="B106" s="25">
        <v>200</v>
      </c>
      <c r="C106" s="25">
        <f>-(C95-'LEM Demand Calibration'!C$15)/'LEM Demand Calibration'!C$16</f>
        <v>0.8493055769733493</v>
      </c>
      <c r="D106" s="25">
        <f>-(D95-'LEM Demand Calibration'!D$15)/'LEM Demand Calibration'!D$16</f>
        <v>0.96843638258928477</v>
      </c>
      <c r="E106" s="25">
        <f>-(E95-'LEM Demand Calibration'!E$15)/'LEM Demand Calibration'!E$16</f>
        <v>1.0116485838834643</v>
      </c>
      <c r="F106" s="25">
        <f>-(F95-'LEM Demand Calibration'!F$15)/'LEM Demand Calibration'!F$16</f>
        <v>1.0117057226152693</v>
      </c>
      <c r="G106" s="25">
        <f>-(G95-'LEM Demand Calibration'!G$15)/'LEM Demand Calibration'!G$16</f>
        <v>0.40314081384287243</v>
      </c>
      <c r="H106" s="25">
        <f>-(H95-'LEM Demand Calibration'!H$15)/'LEM Demand Calibration'!H$16</f>
        <v>0.21764215646367335</v>
      </c>
    </row>
    <row r="107" spans="1:8" x14ac:dyDescent="0.2">
      <c r="A107" s="25">
        <v>0.18</v>
      </c>
      <c r="B107" s="25">
        <v>300</v>
      </c>
    </row>
    <row r="108" spans="1:8" x14ac:dyDescent="0.2">
      <c r="A108" s="25">
        <v>0.13</v>
      </c>
      <c r="B108" s="25">
        <v>200</v>
      </c>
      <c r="C108" s="25">
        <f>-(C97-'LEM Demand Calibration'!C$15)/'LEM Demand Calibration'!C$16</f>
        <v>0.8493055769733493</v>
      </c>
      <c r="D108" s="25">
        <f>-(D97-'LEM Demand Calibration'!D$15)/'LEM Demand Calibration'!D$16</f>
        <v>0.970362119895122</v>
      </c>
      <c r="E108" s="25">
        <f>-(E97-'LEM Demand Calibration'!E$15)/'LEM Demand Calibration'!E$16</f>
        <v>1.0119812190739494</v>
      </c>
      <c r="F108" s="25">
        <f>-(F97-'LEM Demand Calibration'!F$15)/'LEM Demand Calibration'!F$16</f>
        <v>1.0118506186170946</v>
      </c>
      <c r="G108" s="25">
        <f>-(G97-'LEM Demand Calibration'!G$15)/'LEM Demand Calibration'!G$16</f>
        <v>0.403159640207713</v>
      </c>
      <c r="H108" s="25">
        <f>-(H97-'LEM Demand Calibration'!H$15)/'LEM Demand Calibration'!H$16</f>
        <v>0.21764215659890679</v>
      </c>
    </row>
    <row r="109" spans="1:8" x14ac:dyDescent="0.2">
      <c r="A109" s="25">
        <v>0.13</v>
      </c>
      <c r="B109" s="25">
        <v>300</v>
      </c>
      <c r="C109" s="25">
        <f>-(C98-'LEM Demand Calibration'!C$15)/'LEM Demand Calibration'!C$16</f>
        <v>0.8493055769733493</v>
      </c>
      <c r="D109" s="25">
        <f>-(D98-'LEM Demand Calibration'!D$15)/'LEM Demand Calibration'!D$16</f>
        <v>0.96539847012774604</v>
      </c>
      <c r="E109" s="25">
        <f>-(E98-'LEM Demand Calibration'!E$15)/'LEM Demand Calibration'!E$16</f>
        <v>1.0042382064442172</v>
      </c>
      <c r="F109" s="25">
        <f>-(F98-'LEM Demand Calibration'!F$15)/'LEM Demand Calibration'!F$16</f>
        <v>1.0046434629957643</v>
      </c>
      <c r="G109" s="25">
        <f>-(G98-'LEM Demand Calibration'!G$15)/'LEM Demand Calibration'!G$16</f>
        <v>0.40080394790596763</v>
      </c>
      <c r="H109" s="25">
        <f>-(H98-'LEM Demand Calibration'!H$15)/'LEM Demand Calibration'!H$16</f>
        <v>0.21661068346862128</v>
      </c>
    </row>
    <row r="110" spans="1:8" x14ac:dyDescent="0.2">
      <c r="A110" s="25">
        <v>0.09</v>
      </c>
      <c r="B110" s="25">
        <v>200</v>
      </c>
      <c r="E110" s="25">
        <f>-(E99-'LEM Demand Calibration'!E$15)/'LEM Demand Calibration'!E$16</f>
        <v>1.0165148625506293</v>
      </c>
      <c r="F110" s="25">
        <f>-(F99-'LEM Demand Calibration'!F$15)/'LEM Demand Calibration'!F$16</f>
        <v>1.0137026338263302</v>
      </c>
      <c r="G110" s="25">
        <f>-(G99-'LEM Demand Calibration'!G$15)/'LEM Demand Calibration'!G$16</f>
        <v>0.40341798368749249</v>
      </c>
      <c r="H110" s="25">
        <f>-(H99-'LEM Demand Calibration'!H$15)/'LEM Demand Calibration'!H$16</f>
        <v>0.21768015165527252</v>
      </c>
    </row>
    <row r="111" spans="1:8" x14ac:dyDescent="0.2">
      <c r="A111" s="25">
        <v>0.09</v>
      </c>
      <c r="B111" s="25">
        <v>300</v>
      </c>
      <c r="E111" s="25">
        <f>-(E100-'LEM Demand Calibration'!E$15)/'LEM Demand Calibration'!E$16</f>
        <v>1.0139281346782016</v>
      </c>
      <c r="F111" s="25">
        <f>-(F100-'LEM Demand Calibration'!F$15)/'LEM Demand Calibration'!F$16</f>
        <v>1.0112605168091207</v>
      </c>
      <c r="G111" s="25">
        <f>-(G100-'LEM Demand Calibration'!G$15)/'LEM Demand Calibration'!G$16</f>
        <v>0.40208544455751927</v>
      </c>
      <c r="H111" s="25">
        <f>-(H100-'LEM Demand Calibration'!H$15)/'LEM Demand Calibration'!H$16</f>
        <v>0.21682045655281407</v>
      </c>
    </row>
    <row r="112" spans="1:8" x14ac:dyDescent="0.2">
      <c r="A112" s="25">
        <v>6.5000000000000002E-2</v>
      </c>
      <c r="B112" s="25">
        <v>200</v>
      </c>
    </row>
    <row r="113" spans="1:8" x14ac:dyDescent="0.2">
      <c r="A113" s="25">
        <v>6.5000000000000002E-2</v>
      </c>
      <c r="B113" s="25">
        <v>300</v>
      </c>
      <c r="H113" s="25">
        <f>-(H102-'LEM Demand Calibration'!H$15)/'LEM Demand Calibration'!H$16</f>
        <v>0.21771455026533673</v>
      </c>
    </row>
    <row r="114" spans="1:8" x14ac:dyDescent="0.2">
      <c r="A114" s="25" t="s">
        <v>148</v>
      </c>
      <c r="C114" s="35">
        <f t="shared" ref="C114:H114" si="11">+C40</f>
        <v>2.9037313311721751</v>
      </c>
      <c r="D114" s="35">
        <f t="shared" si="11"/>
        <v>3.4362006652763148</v>
      </c>
      <c r="E114" s="35">
        <f t="shared" si="11"/>
        <v>3.9113567989801172</v>
      </c>
      <c r="F114" s="35">
        <f t="shared" si="11"/>
        <v>4.2391114141044781</v>
      </c>
      <c r="G114" s="35">
        <f t="shared" si="11"/>
        <v>3.5521407203688158</v>
      </c>
      <c r="H114" s="35">
        <f t="shared" si="11"/>
        <v>3.736086975119167</v>
      </c>
    </row>
    <row r="115" spans="1:8" x14ac:dyDescent="0.2">
      <c r="A115" s="25">
        <v>0.25</v>
      </c>
      <c r="B115" s="25">
        <v>200</v>
      </c>
      <c r="C115" s="25">
        <f>+C152*'LEM Demand Calibration'!C$10</f>
        <v>2.9037313311721751</v>
      </c>
      <c r="D115" s="25">
        <f>+D104*'LEM Demand Calibration'!D$10</f>
        <v>3.3886058150161471</v>
      </c>
      <c r="E115" s="25">
        <f>+E104*'LEM Demand Calibration'!E$10</f>
        <v>3.8731397688659501</v>
      </c>
      <c r="F115" s="25">
        <f>+F104*'LEM Demand Calibration'!F$10</f>
        <v>4.2125369502990688</v>
      </c>
      <c r="G115" s="25">
        <f>+G104*'LEM Demand Calibration'!G$10</f>
        <v>3.5357443446261003</v>
      </c>
      <c r="H115" s="25">
        <f>+H104*'LEM Demand Calibration'!H$10</f>
        <v>3.721975309024987</v>
      </c>
    </row>
    <row r="116" spans="1:8" x14ac:dyDescent="0.2">
      <c r="A116" s="25">
        <v>0.25</v>
      </c>
      <c r="B116" s="25">
        <v>300</v>
      </c>
      <c r="C116" s="25">
        <f>+C105*'LEM Demand Calibration'!C$10</f>
        <v>0</v>
      </c>
      <c r="D116" s="25">
        <f>+D105*'LEM Demand Calibration'!D$10</f>
        <v>0</v>
      </c>
      <c r="E116" s="25">
        <f>+E105*'LEM Demand Calibration'!E$10</f>
        <v>0</v>
      </c>
      <c r="F116" s="25">
        <f>+F105*'LEM Demand Calibration'!F$10</f>
        <v>0</v>
      </c>
      <c r="G116" s="25">
        <f>+G105*'LEM Demand Calibration'!G$10</f>
        <v>0</v>
      </c>
      <c r="H116" s="25">
        <f>+H105*'LEM Demand Calibration'!H$10</f>
        <v>0</v>
      </c>
    </row>
    <row r="117" spans="1:8" x14ac:dyDescent="0.2">
      <c r="A117" s="25">
        <v>0.18</v>
      </c>
      <c r="B117" s="25">
        <v>200</v>
      </c>
      <c r="C117" s="25">
        <f>+C106*'LEM Demand Calibration'!C$10</f>
        <v>2.9037313311721751</v>
      </c>
      <c r="D117" s="25">
        <f>+D106*'LEM Demand Calibration'!D$10</f>
        <v>3.3899751125833144</v>
      </c>
      <c r="E117" s="25">
        <f>+E106*'LEM Demand Calibration'!E$10</f>
        <v>3.873485032648234</v>
      </c>
      <c r="F117" s="25">
        <f>+F106*'LEM Demand Calibration'!F$10</f>
        <v>4.2125369507464994</v>
      </c>
      <c r="G117" s="25">
        <f>+G106*'LEM Demand Calibration'!G$10</f>
        <v>3.5357443439324414</v>
      </c>
      <c r="H117" s="25">
        <f>+H106*'LEM Demand Calibration'!H$10</f>
        <v>3.721975309024987</v>
      </c>
    </row>
    <row r="118" spans="1:8" x14ac:dyDescent="0.2">
      <c r="A118" s="25">
        <v>0.18</v>
      </c>
      <c r="B118" s="25">
        <v>300</v>
      </c>
      <c r="C118" s="25">
        <f>+C107*'LEM Demand Calibration'!C$10</f>
        <v>0</v>
      </c>
      <c r="D118" s="25">
        <f>+D107*'LEM Demand Calibration'!D$10</f>
        <v>0</v>
      </c>
      <c r="E118" s="25">
        <f>+E107*'LEM Demand Calibration'!E$10</f>
        <v>0</v>
      </c>
      <c r="F118" s="25">
        <f>+F107*'LEM Demand Calibration'!F$10</f>
        <v>0</v>
      </c>
      <c r="G118" s="25">
        <f>+G107*'LEM Demand Calibration'!G$10</f>
        <v>0</v>
      </c>
      <c r="H118" s="25">
        <f>+H107*'LEM Demand Calibration'!H$10</f>
        <v>0</v>
      </c>
    </row>
    <row r="119" spans="1:8" x14ac:dyDescent="0.2">
      <c r="A119" s="25">
        <v>0.13</v>
      </c>
      <c r="B119" s="25">
        <v>200</v>
      </c>
      <c r="C119" s="25">
        <f>+C108*'LEM Demand Calibration'!C$10</f>
        <v>2.9037313311721751</v>
      </c>
      <c r="D119" s="25">
        <f>+D108*'LEM Demand Calibration'!D$10</f>
        <v>3.396716083552112</v>
      </c>
      <c r="E119" s="25">
        <f>+E108*'LEM Demand Calibration'!E$10</f>
        <v>3.8747586541925156</v>
      </c>
      <c r="F119" s="25">
        <f>+F108*'LEM Demand Calibration'!F$10</f>
        <v>4.2131402682409647</v>
      </c>
      <c r="G119" s="25">
        <f>+G108*'LEM Demand Calibration'!G$10</f>
        <v>3.5359094604642243</v>
      </c>
      <c r="H119" s="25">
        <f>+H108*'LEM Demand Calibration'!H$10</f>
        <v>3.7219753113376615</v>
      </c>
    </row>
    <row r="120" spans="1:8" x14ac:dyDescent="0.2">
      <c r="A120" s="25">
        <v>0.13</v>
      </c>
      <c r="B120" s="25">
        <v>300</v>
      </c>
      <c r="C120" s="25">
        <f>+C109*'LEM Demand Calibration'!C$10</f>
        <v>2.9037313311721751</v>
      </c>
      <c r="D120" s="25">
        <f>+D109*'LEM Demand Calibration'!D$10</f>
        <v>3.3793410143359024</v>
      </c>
      <c r="E120" s="25">
        <f>+E109*'LEM Demand Calibration'!E$10</f>
        <v>3.8451115573580195</v>
      </c>
      <c r="F120" s="25">
        <f>+F109*'LEM Demand Calibration'!F$10</f>
        <v>4.1831311374374422</v>
      </c>
      <c r="G120" s="25">
        <f>+G109*'LEM Demand Calibration'!G$10</f>
        <v>3.5152488737760512</v>
      </c>
      <c r="H120" s="25">
        <f>+H109*'LEM Demand Calibration'!H$10</f>
        <v>3.704335725398868</v>
      </c>
    </row>
    <row r="121" spans="1:8" x14ac:dyDescent="0.2">
      <c r="A121" s="25">
        <v>0.09</v>
      </c>
      <c r="B121" s="25">
        <v>200</v>
      </c>
      <c r="C121" s="25">
        <f>+C110*'LEM Demand Calibration'!C$10</f>
        <v>0</v>
      </c>
      <c r="D121" s="25">
        <f>+D110*'LEM Demand Calibration'!D$10</f>
        <v>0</v>
      </c>
      <c r="E121" s="25">
        <f>+E110*'LEM Demand Calibration'!E$10</f>
        <v>3.8921174489657662</v>
      </c>
      <c r="F121" s="25">
        <f>+F110*'LEM Demand Calibration'!F$10</f>
        <v>4.2208516830603671</v>
      </c>
      <c r="G121" s="25">
        <f>+G110*'LEM Demand Calibration'!G$10</f>
        <v>3.5381752605669599</v>
      </c>
      <c r="H121" s="25">
        <f>+H110*'LEM Demand Calibration'!H$10</f>
        <v>3.7226250782024826</v>
      </c>
    </row>
    <row r="122" spans="1:8" x14ac:dyDescent="0.2">
      <c r="A122" s="25">
        <v>0.09</v>
      </c>
      <c r="B122" s="25">
        <v>300</v>
      </c>
      <c r="C122" s="25">
        <f>+C111*'LEM Demand Calibration'!C$10</f>
        <v>0</v>
      </c>
      <c r="D122" s="25">
        <f>+D111*'LEM Demand Calibration'!D$10</f>
        <v>0</v>
      </c>
      <c r="E122" s="25">
        <f>+E111*'LEM Demand Calibration'!E$10</f>
        <v>3.8822131681146832</v>
      </c>
      <c r="F122" s="25">
        <f>+F111*'LEM Demand Calibration'!F$10</f>
        <v>4.2106832042793547</v>
      </c>
      <c r="G122" s="25">
        <f>+G111*'LEM Demand Calibration'!G$10</f>
        <v>3.5264882332799936</v>
      </c>
      <c r="H122" s="25">
        <f>+H111*'LEM Demand Calibration'!H$10</f>
        <v>3.7079231289265198</v>
      </c>
    </row>
    <row r="123" spans="1:8" x14ac:dyDescent="0.2">
      <c r="A123" s="25">
        <v>6.5000000000000002E-2</v>
      </c>
      <c r="B123" s="25">
        <v>200</v>
      </c>
      <c r="C123" s="25">
        <f>+C112*'LEM Demand Calibration'!C$10</f>
        <v>0</v>
      </c>
      <c r="D123" s="25">
        <f>+D112*'LEM Demand Calibration'!D$10</f>
        <v>0</v>
      </c>
      <c r="E123" s="25">
        <f>+E112*'LEM Demand Calibration'!E$10</f>
        <v>0</v>
      </c>
      <c r="F123" s="25">
        <f>+F112*'LEM Demand Calibration'!F$10</f>
        <v>0</v>
      </c>
      <c r="G123" s="25">
        <f>+G112*'LEM Demand Calibration'!G$10</f>
        <v>0</v>
      </c>
      <c r="H123" s="25">
        <f>+H112*'LEM Demand Calibration'!H$10</f>
        <v>0</v>
      </c>
    </row>
    <row r="124" spans="1:8" x14ac:dyDescent="0.2">
      <c r="A124" s="25">
        <v>6.5000000000000002E-2</v>
      </c>
      <c r="B124" s="25">
        <v>300</v>
      </c>
      <c r="C124" s="25">
        <f>+C113*'LEM Demand Calibration'!C$10</f>
        <v>0</v>
      </c>
      <c r="D124" s="25">
        <f>+D113*'LEM Demand Calibration'!D$10</f>
        <v>0</v>
      </c>
      <c r="E124" s="25">
        <f>+E113*'LEM Demand Calibration'!E$10</f>
        <v>0</v>
      </c>
      <c r="F124" s="25">
        <f>+F113*'LEM Demand Calibration'!F$10</f>
        <v>0</v>
      </c>
      <c r="G124" s="25">
        <f>+G113*'LEM Demand Calibration'!G$10</f>
        <v>0</v>
      </c>
      <c r="H124" s="25">
        <f>+H113*'LEM Demand Calibration'!H$10</f>
        <v>3.723213340970156</v>
      </c>
    </row>
    <row r="126" spans="1:8" x14ac:dyDescent="0.2">
      <c r="A126" s="25" t="s">
        <v>160</v>
      </c>
      <c r="C126" s="25" t="s">
        <v>161</v>
      </c>
    </row>
    <row r="127" spans="1:8" x14ac:dyDescent="0.2">
      <c r="A127" s="25" t="s">
        <v>162</v>
      </c>
      <c r="C127" s="25" t="s">
        <v>134</v>
      </c>
    </row>
    <row r="128" spans="1:8" x14ac:dyDescent="0.2">
      <c r="A128" s="25">
        <v>0.25</v>
      </c>
      <c r="B128" s="25">
        <v>200</v>
      </c>
    </row>
    <row r="129" spans="1:8" x14ac:dyDescent="0.2">
      <c r="A129" s="25">
        <v>0.25</v>
      </c>
      <c r="B129" s="25">
        <v>300</v>
      </c>
    </row>
    <row r="130" spans="1:8" x14ac:dyDescent="0.2">
      <c r="A130" s="25">
        <v>0.18</v>
      </c>
      <c r="B130" s="25">
        <v>200</v>
      </c>
      <c r="D130" s="25">
        <f>+D83-D81</f>
        <v>-3.0048948561792882E-3</v>
      </c>
      <c r="E130" s="25">
        <f>+E83-E81</f>
        <v>-9.4359478917990791E-4</v>
      </c>
      <c r="F130" s="25">
        <f>+F83-F81</f>
        <v>-1.7585405354125783E-9</v>
      </c>
      <c r="G130" s="25">
        <f>+G83-G81</f>
        <v>4.4186474479346316E-9</v>
      </c>
      <c r="H130" s="25">
        <f>+H83-H81</f>
        <v>0</v>
      </c>
    </row>
    <row r="131" spans="1:8" x14ac:dyDescent="0.2">
      <c r="A131" s="25">
        <v>0.18</v>
      </c>
      <c r="B131" s="25">
        <v>300</v>
      </c>
    </row>
    <row r="132" spans="1:8" x14ac:dyDescent="0.2">
      <c r="A132" s="25">
        <v>0.13</v>
      </c>
      <c r="B132" s="25">
        <v>200</v>
      </c>
      <c r="D132" s="25">
        <f>+D85-D83</f>
        <v>-1.4792919724301259E-2</v>
      </c>
      <c r="E132" s="25">
        <f>+E85-E83</f>
        <v>-3.4807666318861646E-3</v>
      </c>
      <c r="F132" s="25">
        <f>+F85-F83</f>
        <v>-2.3712254794120841E-3</v>
      </c>
      <c r="G132" s="25">
        <f>+G85-G83</f>
        <v>-1.0518023585444625E-3</v>
      </c>
      <c r="H132" s="25">
        <f>+H85-H83</f>
        <v>-1.7117004008637693E-8</v>
      </c>
    </row>
    <row r="133" spans="1:8" x14ac:dyDescent="0.2">
      <c r="A133" s="25">
        <v>0.13</v>
      </c>
      <c r="B133" s="25">
        <v>300</v>
      </c>
    </row>
    <row r="134" spans="1:8" x14ac:dyDescent="0.2">
      <c r="A134" s="25">
        <v>0.09</v>
      </c>
      <c r="B134" s="25">
        <v>200</v>
      </c>
    </row>
    <row r="135" spans="1:8" x14ac:dyDescent="0.2">
      <c r="A135" s="25">
        <v>0.09</v>
      </c>
      <c r="B135" s="25">
        <v>300</v>
      </c>
    </row>
    <row r="136" spans="1:8" x14ac:dyDescent="0.2">
      <c r="A136" s="25">
        <v>6.5000000000000002E-2</v>
      </c>
      <c r="B136" s="25">
        <v>200</v>
      </c>
    </row>
    <row r="137" spans="1:8" x14ac:dyDescent="0.2">
      <c r="A137" s="25">
        <v>6.5000000000000002E-2</v>
      </c>
      <c r="B137" s="25">
        <v>300</v>
      </c>
    </row>
    <row r="138" spans="1:8" x14ac:dyDescent="0.2">
      <c r="A138" s="25" t="s">
        <v>163</v>
      </c>
    </row>
    <row r="139" spans="1:8" x14ac:dyDescent="0.2">
      <c r="A139" s="25">
        <v>0.25</v>
      </c>
      <c r="B139" s="25">
        <v>200</v>
      </c>
    </row>
    <row r="140" spans="1:8" x14ac:dyDescent="0.2">
      <c r="A140" s="25">
        <v>0.25</v>
      </c>
      <c r="B140" s="25">
        <v>300</v>
      </c>
    </row>
    <row r="141" spans="1:8" x14ac:dyDescent="0.2">
      <c r="A141" s="25">
        <v>0.18</v>
      </c>
      <c r="B141" s="25">
        <v>200</v>
      </c>
      <c r="C141" s="25">
        <f>+C$37+C130*'LEM Demand Calibration'!C$10</f>
        <v>23.042217897252876</v>
      </c>
      <c r="D141" s="25">
        <f>+D$37+D130*'LEM Demand Calibration'!D$10</f>
        <v>26.31611606957442</v>
      </c>
      <c r="E141" s="25">
        <f>+E$37+E130*'LEM Demand Calibration'!E$10</f>
        <v>31.281165746225984</v>
      </c>
      <c r="F141" s="25">
        <f>+F$37+F130*'LEM Demand Calibration'!F$10</f>
        <v>35.266194754178031</v>
      </c>
      <c r="G141" s="25">
        <f>+G$37+G130*'LEM Demand Calibration'!G$10</f>
        <v>75.244835169045928</v>
      </c>
      <c r="H141" s="25">
        <f>+H$37+H130*'LEM Demand Calibration'!H$10</f>
        <v>147.04494584251103</v>
      </c>
    </row>
    <row r="142" spans="1:8" x14ac:dyDescent="0.2">
      <c r="A142" s="25">
        <v>0.18</v>
      </c>
      <c r="B142" s="25">
        <v>300</v>
      </c>
    </row>
    <row r="143" spans="1:8" x14ac:dyDescent="0.2">
      <c r="A143" s="25">
        <v>0.13</v>
      </c>
      <c r="B143" s="25">
        <v>200</v>
      </c>
      <c r="C143" s="25">
        <f>+C$37+C132*'LEM Demand Calibration'!C$10</f>
        <v>23.042217897252876</v>
      </c>
      <c r="D143" s="25">
        <f>+D$37+D132*'LEM Demand Calibration'!D$10</f>
        <v>26.274852532136261</v>
      </c>
      <c r="E143" s="25">
        <f>+E$37+E132*'LEM Demand Calibration'!E$10</f>
        <v>31.271451209662057</v>
      </c>
      <c r="F143" s="25">
        <f>+F$37+F132*'LEM Demand Calibration'!F$10</f>
        <v>35.25632146067047</v>
      </c>
      <c r="G143" s="25">
        <f>+G$37+G132*'LEM Demand Calibration'!G$10</f>
        <v>75.235610303352189</v>
      </c>
      <c r="H143" s="25">
        <f>+H$37+H132*'LEM Demand Calibration'!H$10</f>
        <v>147.04494554978712</v>
      </c>
    </row>
    <row r="144" spans="1:8" x14ac:dyDescent="0.2">
      <c r="A144" s="25">
        <v>0.13</v>
      </c>
      <c r="B144" s="25">
        <v>300</v>
      </c>
    </row>
    <row r="145" spans="1:8" x14ac:dyDescent="0.2">
      <c r="A145" s="25">
        <v>0.09</v>
      </c>
      <c r="B145" s="25">
        <v>200</v>
      </c>
    </row>
    <row r="146" spans="1:8" x14ac:dyDescent="0.2">
      <c r="A146" s="25">
        <v>0.09</v>
      </c>
      <c r="B146" s="25">
        <v>300</v>
      </c>
    </row>
    <row r="147" spans="1:8" x14ac:dyDescent="0.2">
      <c r="A147" s="25">
        <v>6.5000000000000002E-2</v>
      </c>
      <c r="B147" s="25">
        <v>200</v>
      </c>
    </row>
    <row r="148" spans="1:8" x14ac:dyDescent="0.2">
      <c r="A148" s="25">
        <v>6.5000000000000002E-2</v>
      </c>
      <c r="B148" s="25">
        <v>300</v>
      </c>
    </row>
    <row r="149" spans="1:8" x14ac:dyDescent="0.2">
      <c r="A149" s="25" t="s">
        <v>164</v>
      </c>
    </row>
    <row r="150" spans="1:8" x14ac:dyDescent="0.2">
      <c r="A150" s="25">
        <v>0.25</v>
      </c>
      <c r="B150" s="25">
        <v>200</v>
      </c>
    </row>
    <row r="151" spans="1:8" x14ac:dyDescent="0.2">
      <c r="A151" s="25">
        <v>0.25</v>
      </c>
      <c r="B151" s="25">
        <v>300</v>
      </c>
    </row>
    <row r="152" spans="1:8" x14ac:dyDescent="0.2">
      <c r="A152" s="25">
        <v>0.18</v>
      </c>
      <c r="B152" s="25">
        <v>200</v>
      </c>
      <c r="C152" s="25">
        <f>-(C141-'LEM Demand Calibration'!C$15)/'LEM Demand Calibration'!C$16</f>
        <v>0.8493055769733493</v>
      </c>
      <c r="D152" s="25">
        <f>-(D141-'LEM Demand Calibration'!D$15)/'LEM Demand Calibration'!D$16</f>
        <v>0.98203311503865998</v>
      </c>
      <c r="E152" s="25">
        <f>-(E141-'LEM Demand Calibration'!E$15)/'LEM Demand Calibration'!E$16</f>
        <v>1.0216298292140542</v>
      </c>
      <c r="F152" s="25">
        <f>-(F141-'LEM Demand Calibration'!F$15)/'LEM Demand Calibration'!F$16</f>
        <v>1.0180879899809239</v>
      </c>
      <c r="G152" s="25">
        <f>-(G141-'LEM Demand Calibration'!G$15)/'LEM Demand Calibration'!G$16</f>
        <v>0.40501030654879588</v>
      </c>
      <c r="H152" s="25">
        <f>-(H141-'LEM Demand Calibration'!H$15)/'LEM Demand Calibration'!H$16</f>
        <v>0.21846733481254241</v>
      </c>
    </row>
    <row r="153" spans="1:8" x14ac:dyDescent="0.2">
      <c r="A153" s="25">
        <v>0.18</v>
      </c>
      <c r="B153" s="25">
        <v>300</v>
      </c>
    </row>
    <row r="154" spans="1:8" x14ac:dyDescent="0.2">
      <c r="A154" s="25">
        <v>0.13</v>
      </c>
      <c r="B154" s="25">
        <v>200</v>
      </c>
      <c r="C154" s="25">
        <f>-(C143-'LEM Demand Calibration'!C$15)/'LEM Demand Calibration'!C$16</f>
        <v>0.8493055769733493</v>
      </c>
      <c r="D154" s="25">
        <f>-(D143-'LEM Demand Calibration'!D$15)/'LEM Demand Calibration'!D$16</f>
        <v>0.98356767614449681</v>
      </c>
      <c r="E154" s="25">
        <f>-(E143-'LEM Demand Calibration'!E$15)/'LEM Demand Calibration'!E$16</f>
        <v>1.0218722909267872</v>
      </c>
      <c r="F154" s="25">
        <f>-(F143-'LEM Demand Calibration'!F$15)/'LEM Demand Calibration'!F$16</f>
        <v>1.0182328858752916</v>
      </c>
      <c r="G154" s="25">
        <f>-(G143-'LEM Demand Calibration'!G$15)/'LEM Demand Calibration'!G$16</f>
        <v>0.40502913299272642</v>
      </c>
      <c r="H154" s="25">
        <f>-(H143-'LEM Demand Calibration'!H$15)/'LEM Demand Calibration'!H$16</f>
        <v>0.21846733494777584</v>
      </c>
    </row>
    <row r="155" spans="1:8" x14ac:dyDescent="0.2">
      <c r="A155" s="25">
        <v>0.13</v>
      </c>
      <c r="B155" s="25">
        <v>300</v>
      </c>
    </row>
    <row r="156" spans="1:8" x14ac:dyDescent="0.2">
      <c r="A156" s="25">
        <v>0.09</v>
      </c>
      <c r="B156" s="25">
        <v>200</v>
      </c>
    </row>
    <row r="157" spans="1:8" x14ac:dyDescent="0.2">
      <c r="A157" s="25">
        <v>0.09</v>
      </c>
      <c r="B157" s="25">
        <v>300</v>
      </c>
    </row>
    <row r="158" spans="1:8" x14ac:dyDescent="0.2">
      <c r="A158" s="25">
        <v>6.5000000000000002E-2</v>
      </c>
      <c r="B158" s="25">
        <v>200</v>
      </c>
    </row>
    <row r="159" spans="1:8" x14ac:dyDescent="0.2">
      <c r="A159" s="25">
        <v>6.5000000000000002E-2</v>
      </c>
      <c r="B159" s="25">
        <v>300</v>
      </c>
    </row>
    <row r="160" spans="1:8" x14ac:dyDescent="0.2">
      <c r="A160" s="25" t="s">
        <v>165</v>
      </c>
    </row>
    <row r="161" spans="1:8" x14ac:dyDescent="0.2">
      <c r="A161" s="25">
        <v>0.25</v>
      </c>
      <c r="B161" s="25">
        <v>200</v>
      </c>
    </row>
    <row r="162" spans="1:8" x14ac:dyDescent="0.2">
      <c r="A162" s="25">
        <v>0.25</v>
      </c>
      <c r="B162" s="25">
        <v>300</v>
      </c>
    </row>
    <row r="163" spans="1:8" x14ac:dyDescent="0.2">
      <c r="A163" s="25">
        <v>0.18</v>
      </c>
      <c r="B163" s="25">
        <v>200</v>
      </c>
      <c r="C163" s="25">
        <f>+C152*'LEM Demand Calibration'!C$10</f>
        <v>2.9037313311721751</v>
      </c>
      <c r="D163" s="25">
        <f>+D152*'LEM Demand Calibration'!D$10</f>
        <v>3.4375699628434826</v>
      </c>
      <c r="E163" s="25">
        <f>+E152*'LEM Demand Calibration'!E$10</f>
        <v>3.911702062762402</v>
      </c>
      <c r="F163" s="25">
        <f>+F152*'LEM Demand Calibration'!F$10</f>
        <v>4.2391114145519078</v>
      </c>
      <c r="G163" s="25">
        <f>+G152*'LEM Demand Calibration'!G$10</f>
        <v>3.5521407196751569</v>
      </c>
      <c r="H163" s="25">
        <f>+H152*'LEM Demand Calibration'!H$10</f>
        <v>3.736086975119167</v>
      </c>
    </row>
    <row r="164" spans="1:8" x14ac:dyDescent="0.2">
      <c r="A164" s="25">
        <v>0.18</v>
      </c>
      <c r="B164" s="25">
        <v>300</v>
      </c>
    </row>
    <row r="165" spans="1:8" x14ac:dyDescent="0.2">
      <c r="A165" s="25">
        <v>0.13</v>
      </c>
      <c r="B165" s="25">
        <v>200</v>
      </c>
      <c r="C165" s="25">
        <f>+C154*'LEM Demand Calibration'!C$10</f>
        <v>2.9037313311721751</v>
      </c>
      <c r="D165" s="25">
        <f>+D154*'LEM Demand Calibration'!D$10</f>
        <v>3.4429416362451124</v>
      </c>
      <c r="E165" s="25">
        <f>+E154*'LEM Demand Calibration'!E$10</f>
        <v>3.9126304205243994</v>
      </c>
      <c r="F165" s="25">
        <f>+F154*'LEM Demand Calibration'!F$10</f>
        <v>4.2397147315989416</v>
      </c>
      <c r="G165" s="25">
        <f>+G154*'LEM Demand Calibration'!G$10</f>
        <v>3.5523058369005978</v>
      </c>
      <c r="H165" s="25">
        <f>+H154*'LEM Demand Calibration'!H$10</f>
        <v>3.7360869774318415</v>
      </c>
    </row>
    <row r="166" spans="1:8" x14ac:dyDescent="0.2">
      <c r="A166" s="25">
        <v>0.13</v>
      </c>
      <c r="B166" s="25">
        <v>300</v>
      </c>
    </row>
    <row r="167" spans="1:8" x14ac:dyDescent="0.2">
      <c r="A167" s="25">
        <v>0.09</v>
      </c>
      <c r="B167" s="25">
        <v>200</v>
      </c>
    </row>
    <row r="168" spans="1:8" x14ac:dyDescent="0.2">
      <c r="A168" s="25">
        <v>0.09</v>
      </c>
      <c r="B168" s="25">
        <v>300</v>
      </c>
    </row>
    <row r="169" spans="1:8" x14ac:dyDescent="0.2">
      <c r="A169" s="25">
        <v>6.5000000000000002E-2</v>
      </c>
      <c r="B169" s="25">
        <v>200</v>
      </c>
    </row>
    <row r="170" spans="1:8" x14ac:dyDescent="0.2">
      <c r="A170" s="25">
        <v>6.5000000000000002E-2</v>
      </c>
      <c r="B170" s="25">
        <v>300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/>
  </sheetViews>
  <sheetFormatPr defaultRowHeight="10.199999999999999" x14ac:dyDescent="0.2"/>
  <cols>
    <col min="1" max="16384" width="8.88671875" style="25"/>
  </cols>
  <sheetData>
    <row r="1" spans="1:20" ht="13.2" x14ac:dyDescent="0.25">
      <c r="A1" s="25" t="s">
        <v>149</v>
      </c>
      <c r="D1" s="34">
        <v>2001</v>
      </c>
      <c r="E1" s="34">
        <v>2002</v>
      </c>
      <c r="F1" s="34">
        <v>2003</v>
      </c>
      <c r="G1" s="34">
        <v>2004</v>
      </c>
      <c r="H1" s="34">
        <v>2005</v>
      </c>
      <c r="I1" s="34">
        <v>2006</v>
      </c>
      <c r="K1"/>
      <c r="L1" s="9" t="s">
        <v>64</v>
      </c>
      <c r="M1"/>
      <c r="N1"/>
      <c r="O1" s="34">
        <v>2001</v>
      </c>
      <c r="P1" s="34">
        <v>2002</v>
      </c>
      <c r="Q1" s="34">
        <v>2003</v>
      </c>
      <c r="R1" s="34">
        <v>2004</v>
      </c>
      <c r="S1" s="34">
        <v>2005</v>
      </c>
      <c r="T1" s="34">
        <v>2006</v>
      </c>
    </row>
    <row r="2" spans="1:20" ht="13.2" x14ac:dyDescent="0.25">
      <c r="A2" s="25" t="s">
        <v>150</v>
      </c>
      <c r="D2" s="39"/>
      <c r="E2" s="39"/>
      <c r="F2" s="39"/>
      <c r="G2" s="39"/>
      <c r="H2" s="39"/>
      <c r="I2" s="39"/>
      <c r="K2" t="s">
        <v>58</v>
      </c>
      <c r="L2"/>
      <c r="M2"/>
      <c r="N2" s="15">
        <v>0.15</v>
      </c>
    </row>
    <row r="3" spans="1:20" x14ac:dyDescent="0.2">
      <c r="A3" s="25" t="s">
        <v>151</v>
      </c>
      <c r="B3" s="25" t="s">
        <v>153</v>
      </c>
      <c r="D3" s="39"/>
      <c r="E3" s="39"/>
      <c r="F3" s="39"/>
      <c r="G3" s="39"/>
      <c r="H3" s="39"/>
      <c r="I3" s="39"/>
    </row>
    <row r="4" spans="1:20" x14ac:dyDescent="0.2">
      <c r="A4" s="25">
        <v>0.25</v>
      </c>
      <c r="B4" s="25">
        <v>200</v>
      </c>
      <c r="D4" s="42">
        <f>+'LEM cost side'!$C229/'LEM cost side'!D124</f>
        <v>241.24980744390058</v>
      </c>
      <c r="E4" s="35"/>
      <c r="F4" s="35"/>
      <c r="G4" s="35"/>
      <c r="H4" s="35"/>
      <c r="I4" s="35"/>
      <c r="J4" s="35"/>
    </row>
    <row r="5" spans="1:20" x14ac:dyDescent="0.2">
      <c r="A5" s="25">
        <v>0.25</v>
      </c>
      <c r="B5" s="25">
        <v>300</v>
      </c>
      <c r="D5" s="42">
        <f>+'LEM cost side'!$C230/'LEM cost side'!D125</f>
        <v>268.7754472680503</v>
      </c>
      <c r="E5" s="35"/>
      <c r="F5" s="35"/>
      <c r="G5" s="35"/>
      <c r="H5" s="35"/>
      <c r="I5" s="35"/>
      <c r="J5" s="35"/>
    </row>
    <row r="6" spans="1:20" x14ac:dyDescent="0.2">
      <c r="A6" s="25">
        <v>0.18</v>
      </c>
      <c r="B6" s="25">
        <v>200</v>
      </c>
      <c r="D6" s="42">
        <f>+'LEM cost side'!$C231/'LEM cost side'!D126</f>
        <v>273.30561283333122</v>
      </c>
      <c r="E6" s="35"/>
      <c r="F6" s="35"/>
      <c r="G6" s="35"/>
      <c r="H6" s="35"/>
      <c r="I6" s="35"/>
      <c r="J6" s="35"/>
    </row>
    <row r="7" spans="1:20" x14ac:dyDescent="0.2">
      <c r="A7" s="25">
        <v>0.18</v>
      </c>
      <c r="B7" s="25">
        <v>300</v>
      </c>
      <c r="D7" s="42">
        <f>+'LEM cost side'!$C232/'LEM cost side'!D127</f>
        <v>299.25053893681894</v>
      </c>
      <c r="E7" s="35"/>
      <c r="F7" s="35"/>
      <c r="G7" s="35"/>
      <c r="H7" s="35"/>
      <c r="I7" s="35"/>
      <c r="J7" s="35"/>
    </row>
    <row r="8" spans="1:20" x14ac:dyDescent="0.2">
      <c r="A8" s="25">
        <v>0.13</v>
      </c>
      <c r="B8" s="25">
        <v>200</v>
      </c>
      <c r="D8" s="42">
        <f>+'LEM cost side'!$C233/'LEM cost side'!D128</f>
        <v>303.8948142568326</v>
      </c>
      <c r="E8" s="35"/>
      <c r="F8" s="35"/>
      <c r="G8" s="35"/>
      <c r="H8" s="35"/>
      <c r="I8" s="35"/>
      <c r="J8" s="35"/>
    </row>
    <row r="9" spans="1:20" x14ac:dyDescent="0.2">
      <c r="A9" s="25">
        <v>0.13</v>
      </c>
      <c r="B9" s="25">
        <v>300</v>
      </c>
      <c r="D9" s="42">
        <f>+'LEM cost side'!$C234/'LEM cost side'!D129</f>
        <v>348.20222884642226</v>
      </c>
      <c r="E9" s="35"/>
      <c r="F9" s="35"/>
      <c r="G9" s="35"/>
      <c r="H9" s="35"/>
      <c r="I9" s="35"/>
      <c r="J9" s="35"/>
    </row>
    <row r="10" spans="1:20" x14ac:dyDescent="0.2">
      <c r="A10" s="25">
        <v>0.09</v>
      </c>
      <c r="B10" s="25">
        <v>200</v>
      </c>
      <c r="D10" s="42"/>
      <c r="E10" s="35"/>
      <c r="F10" s="35"/>
      <c r="G10" s="35"/>
      <c r="H10" s="35"/>
      <c r="I10" s="35"/>
      <c r="J10" s="35"/>
    </row>
    <row r="11" spans="1:20" x14ac:dyDescent="0.2">
      <c r="A11" s="25">
        <v>0.09</v>
      </c>
      <c r="B11" s="25">
        <v>300</v>
      </c>
      <c r="D11" s="42"/>
      <c r="E11" s="35"/>
      <c r="F11" s="35"/>
      <c r="G11" s="35"/>
      <c r="H11" s="35"/>
      <c r="I11" s="35"/>
      <c r="J11" s="35"/>
    </row>
    <row r="12" spans="1:20" x14ac:dyDescent="0.2">
      <c r="A12" s="25">
        <v>6.5000000000000002E-2</v>
      </c>
      <c r="B12" s="25">
        <v>200</v>
      </c>
      <c r="D12" s="42"/>
      <c r="E12" s="35"/>
      <c r="F12" s="35"/>
      <c r="G12" s="35"/>
      <c r="H12" s="35"/>
      <c r="I12" s="35"/>
      <c r="J12" s="35"/>
    </row>
    <row r="13" spans="1:20" x14ac:dyDescent="0.2">
      <c r="A13" s="25">
        <v>6.5000000000000002E-2</v>
      </c>
      <c r="B13" s="25">
        <v>300</v>
      </c>
      <c r="D13" s="42"/>
      <c r="E13" s="35"/>
      <c r="F13" s="35"/>
      <c r="G13" s="35"/>
      <c r="H13" s="35"/>
      <c r="I13" s="35"/>
      <c r="J13" s="35"/>
    </row>
    <row r="14" spans="1:20" x14ac:dyDescent="0.2">
      <c r="A14" s="25" t="s">
        <v>152</v>
      </c>
      <c r="B14" s="25" t="s">
        <v>153</v>
      </c>
      <c r="D14" s="43"/>
      <c r="E14" s="35"/>
      <c r="F14" s="35"/>
      <c r="G14" s="35"/>
      <c r="H14" s="35"/>
      <c r="I14" s="35"/>
      <c r="J14" s="35"/>
    </row>
    <row r="15" spans="1:20" x14ac:dyDescent="0.2">
      <c r="A15" s="25">
        <v>0.25</v>
      </c>
      <c r="B15" s="25">
        <v>200</v>
      </c>
      <c r="D15" s="42">
        <f>'LEM cost side'!D136*20</f>
        <v>492.17573169615122</v>
      </c>
      <c r="E15" s="35"/>
      <c r="F15" s="35"/>
      <c r="G15" s="35"/>
      <c r="H15" s="35"/>
      <c r="I15" s="35"/>
      <c r="J15" s="35"/>
    </row>
    <row r="16" spans="1:20" x14ac:dyDescent="0.2">
      <c r="A16" s="25">
        <v>0.25</v>
      </c>
      <c r="B16" s="25">
        <v>300</v>
      </c>
      <c r="D16" s="42">
        <f>'LEM cost side'!D137*20</f>
        <v>656.56402695720158</v>
      </c>
      <c r="E16" s="35"/>
      <c r="F16" s="35"/>
      <c r="G16" s="35"/>
      <c r="H16" s="35"/>
      <c r="I16" s="35"/>
      <c r="J16" s="35"/>
    </row>
    <row r="17" spans="1:21" x14ac:dyDescent="0.2">
      <c r="A17" s="25">
        <v>0.18</v>
      </c>
      <c r="B17" s="25">
        <v>200</v>
      </c>
      <c r="D17" s="42">
        <f>'LEM cost side'!D138*20</f>
        <v>582.37067786167881</v>
      </c>
      <c r="E17" s="35"/>
      <c r="F17" s="35"/>
      <c r="G17" s="35"/>
      <c r="H17" s="35"/>
      <c r="I17" s="35"/>
      <c r="J17" s="35"/>
    </row>
    <row r="18" spans="1:21" x14ac:dyDescent="0.2">
      <c r="A18" s="25">
        <v>0.18</v>
      </c>
      <c r="B18" s="25">
        <v>300</v>
      </c>
      <c r="D18" s="42">
        <f>'LEM cost side'!D139*20</f>
        <v>793.98604092779124</v>
      </c>
      <c r="E18" s="35"/>
      <c r="F18" s="35"/>
      <c r="G18" s="35"/>
      <c r="H18" s="35"/>
      <c r="I18" s="35"/>
      <c r="J18" s="35"/>
    </row>
    <row r="19" spans="1:21" x14ac:dyDescent="0.2">
      <c r="A19" s="25">
        <v>0.13</v>
      </c>
      <c r="B19" s="25">
        <v>200</v>
      </c>
      <c r="D19" s="42">
        <f>'LEM cost side'!D140*20</f>
        <v>640.10808929359212</v>
      </c>
      <c r="E19" s="35"/>
      <c r="F19" s="35"/>
      <c r="G19" s="35"/>
      <c r="H19" s="35"/>
      <c r="I19" s="35"/>
      <c r="J19" s="35"/>
    </row>
    <row r="20" spans="1:21" x14ac:dyDescent="0.2">
      <c r="A20" s="25">
        <v>0.13</v>
      </c>
      <c r="B20" s="25">
        <v>300</v>
      </c>
      <c r="D20" s="42">
        <f>'LEM cost side'!D141*20</f>
        <v>934.52187084041407</v>
      </c>
      <c r="E20" s="35"/>
      <c r="F20" s="35"/>
      <c r="G20" s="35"/>
      <c r="H20" s="35"/>
      <c r="I20" s="35"/>
      <c r="J20" s="35"/>
    </row>
    <row r="21" spans="1:21" x14ac:dyDescent="0.2">
      <c r="A21" s="25">
        <v>0.09</v>
      </c>
      <c r="B21" s="25">
        <v>200</v>
      </c>
      <c r="D21" s="42"/>
      <c r="E21" s="35"/>
      <c r="F21" s="35"/>
      <c r="G21" s="35"/>
      <c r="H21" s="35"/>
      <c r="I21" s="35"/>
      <c r="J21" s="35"/>
    </row>
    <row r="22" spans="1:21" x14ac:dyDescent="0.2">
      <c r="A22" s="25">
        <v>0.09</v>
      </c>
      <c r="B22" s="25">
        <v>300</v>
      </c>
      <c r="D22" s="42"/>
      <c r="E22" s="35"/>
      <c r="F22" s="35"/>
      <c r="G22" s="35"/>
      <c r="H22" s="35"/>
      <c r="I22" s="35"/>
      <c r="J22" s="35"/>
    </row>
    <row r="23" spans="1:21" x14ac:dyDescent="0.2">
      <c r="A23" s="25">
        <v>6.5000000000000002E-2</v>
      </c>
      <c r="B23" s="25">
        <v>200</v>
      </c>
      <c r="D23" s="42"/>
      <c r="E23" s="35"/>
      <c r="F23" s="35"/>
      <c r="G23" s="35"/>
      <c r="H23" s="35"/>
      <c r="I23" s="35"/>
      <c r="J23" s="35"/>
    </row>
    <row r="24" spans="1:21" x14ac:dyDescent="0.2">
      <c r="A24" s="25">
        <v>6.5000000000000002E-2</v>
      </c>
      <c r="B24" s="25">
        <v>300</v>
      </c>
      <c r="D24" s="42"/>
      <c r="E24" s="35"/>
      <c r="F24" s="35"/>
      <c r="G24" s="35"/>
      <c r="H24" s="35"/>
      <c r="I24" s="35"/>
      <c r="J24" s="35"/>
    </row>
    <row r="25" spans="1:21" x14ac:dyDescent="0.2">
      <c r="A25" s="25" t="s">
        <v>154</v>
      </c>
      <c r="D25" s="35"/>
      <c r="E25" s="35"/>
      <c r="F25" s="35"/>
      <c r="G25" s="35"/>
      <c r="H25" s="35"/>
      <c r="I25" s="35"/>
      <c r="J25" s="35"/>
    </row>
    <row r="26" spans="1:21" x14ac:dyDescent="0.2">
      <c r="A26" s="25">
        <v>0.25</v>
      </c>
      <c r="B26" s="25">
        <v>200</v>
      </c>
      <c r="D26" s="35"/>
      <c r="E26" s="35">
        <f>+'Capacity&amp;Price Calculation'!D43*'Capacity&amp;Price Calculation'!D81*1000</f>
        <v>194.44377132246629</v>
      </c>
      <c r="F26" s="35">
        <f>+'Capacity&amp;Price Calculation'!E43*'Capacity&amp;Price Calculation'!E81*1000</f>
        <v>194.44377740062714</v>
      </c>
      <c r="G26" s="35">
        <f>+'Capacity&amp;Price Calculation'!F43*'Capacity&amp;Price Calculation'!F81*1000</f>
        <v>194.44377740062714</v>
      </c>
      <c r="H26" s="35">
        <f>+'Capacity&amp;Price Calculation'!G43*'Capacity&amp;Price Calculation'!G81*1000</f>
        <v>194.44377740062714</v>
      </c>
      <c r="I26" s="35">
        <f>+'Capacity&amp;Price Calculation'!H43*'Capacity&amp;Price Calculation'!H81*1000</f>
        <v>194.44377740062714</v>
      </c>
      <c r="J26" s="35"/>
      <c r="P26" s="35">
        <f t="shared" ref="P26:P35" si="0">+E26</f>
        <v>194.44377132246629</v>
      </c>
      <c r="Q26" s="35">
        <f t="shared" ref="Q26:Q35" si="1">+F26</f>
        <v>194.44377740062714</v>
      </c>
      <c r="R26" s="35">
        <f t="shared" ref="R26:R35" si="2">+G26</f>
        <v>194.44377740062714</v>
      </c>
      <c r="S26" s="35">
        <f t="shared" ref="S26:S35" si="3">+H26</f>
        <v>194.44377740062714</v>
      </c>
      <c r="T26" s="35">
        <f t="shared" ref="T26:T35" si="4">+I26</f>
        <v>194.44377740062714</v>
      </c>
      <c r="U26" s="35"/>
    </row>
    <row r="27" spans="1:21" x14ac:dyDescent="0.2">
      <c r="A27" s="25">
        <v>0.25</v>
      </c>
      <c r="B27" s="25">
        <v>300</v>
      </c>
      <c r="D27" s="35"/>
      <c r="E27" s="35">
        <f>+'Capacity&amp;Price Calculation'!D44*'Capacity&amp;Price Calculation'!D82*1000</f>
        <v>0</v>
      </c>
      <c r="F27" s="35">
        <f>+'Capacity&amp;Price Calculation'!E44*'Capacity&amp;Price Calculation'!E82*1000</f>
        <v>0</v>
      </c>
      <c r="G27" s="35">
        <f>+'Capacity&amp;Price Calculation'!F44*'Capacity&amp;Price Calculation'!F82*1000</f>
        <v>0</v>
      </c>
      <c r="H27" s="35">
        <f>+'Capacity&amp;Price Calculation'!G44*'Capacity&amp;Price Calculation'!G82*1000</f>
        <v>0</v>
      </c>
      <c r="I27" s="35">
        <f>+'Capacity&amp;Price Calculation'!H44*'Capacity&amp;Price Calculation'!H82*1000</f>
        <v>0</v>
      </c>
      <c r="J27" s="35"/>
      <c r="P27" s="35">
        <f t="shared" si="0"/>
        <v>0</v>
      </c>
      <c r="Q27" s="35">
        <f t="shared" si="1"/>
        <v>0</v>
      </c>
      <c r="R27" s="35">
        <f t="shared" si="2"/>
        <v>0</v>
      </c>
      <c r="S27" s="35">
        <f t="shared" si="3"/>
        <v>0</v>
      </c>
      <c r="T27" s="35">
        <f t="shared" si="4"/>
        <v>0</v>
      </c>
      <c r="U27" s="35"/>
    </row>
    <row r="28" spans="1:21" x14ac:dyDescent="0.2">
      <c r="A28" s="25">
        <v>0.18</v>
      </c>
      <c r="B28" s="25">
        <v>200</v>
      </c>
      <c r="D28" s="35"/>
      <c r="E28" s="35">
        <f>+'Capacity&amp;Price Calculation'!D45*'Capacity&amp;Price Calculation'!D83*1000</f>
        <v>206.44428180311337</v>
      </c>
      <c r="F28" s="35">
        <f>+'Capacity&amp;Price Calculation'!E45*'Capacity&amp;Price Calculation'!E83*1000</f>
        <v>207.88719792817378</v>
      </c>
      <c r="G28" s="35">
        <f>+'Capacity&amp;Price Calculation'!F45*'Capacity&amp;Price Calculation'!F83*1000</f>
        <v>208.54771304962131</v>
      </c>
      <c r="H28" s="35">
        <f>+'Capacity&amp;Price Calculation'!G45*'Capacity&amp;Price Calculation'!G83*1000</f>
        <v>208.54771737365292</v>
      </c>
      <c r="I28" s="35">
        <f>+'Capacity&amp;Price Calculation'!H45*'Capacity&amp;Price Calculation'!H83*1000</f>
        <v>208.54771428059971</v>
      </c>
      <c r="J28" s="35"/>
      <c r="P28" s="35">
        <f t="shared" si="0"/>
        <v>206.44428180311337</v>
      </c>
      <c r="Q28" s="35">
        <f t="shared" si="1"/>
        <v>207.88719792817378</v>
      </c>
      <c r="R28" s="35">
        <f t="shared" si="2"/>
        <v>208.54771304962131</v>
      </c>
      <c r="S28" s="35">
        <f t="shared" si="3"/>
        <v>208.54771737365292</v>
      </c>
      <c r="T28" s="35">
        <f t="shared" si="4"/>
        <v>208.54771428059971</v>
      </c>
      <c r="U28" s="35"/>
    </row>
    <row r="29" spans="1:21" x14ac:dyDescent="0.2">
      <c r="A29" s="25">
        <v>0.18</v>
      </c>
      <c r="B29" s="25">
        <v>300</v>
      </c>
      <c r="D29" s="35"/>
      <c r="E29" s="35">
        <f>+'Capacity&amp;Price Calculation'!D46*'Capacity&amp;Price Calculation'!D84*1000</f>
        <v>0</v>
      </c>
      <c r="F29" s="35">
        <f>+'Capacity&amp;Price Calculation'!E46*'Capacity&amp;Price Calculation'!E84*1000</f>
        <v>0</v>
      </c>
      <c r="G29" s="35">
        <f>+'Capacity&amp;Price Calculation'!F46*'Capacity&amp;Price Calculation'!F84*1000</f>
        <v>0</v>
      </c>
      <c r="H29" s="35">
        <f>+'Capacity&amp;Price Calculation'!G46*'Capacity&amp;Price Calculation'!G84*1000</f>
        <v>0</v>
      </c>
      <c r="I29" s="35">
        <f>+'Capacity&amp;Price Calculation'!H46*'Capacity&amp;Price Calculation'!H84*1000</f>
        <v>0</v>
      </c>
      <c r="J29" s="35"/>
      <c r="P29" s="35">
        <f t="shared" si="0"/>
        <v>0</v>
      </c>
      <c r="Q29" s="35">
        <f t="shared" si="1"/>
        <v>0</v>
      </c>
      <c r="R29" s="35">
        <f t="shared" si="2"/>
        <v>0</v>
      </c>
      <c r="S29" s="35">
        <f t="shared" si="3"/>
        <v>0</v>
      </c>
      <c r="T29" s="35">
        <f t="shared" si="4"/>
        <v>0</v>
      </c>
      <c r="U29" s="35"/>
    </row>
    <row r="30" spans="1:21" x14ac:dyDescent="0.2">
      <c r="A30" s="25">
        <v>0.13</v>
      </c>
      <c r="B30" s="25">
        <v>200</v>
      </c>
      <c r="D30" s="35"/>
      <c r="E30" s="35">
        <f>+'Capacity&amp;Price Calculation'!D47*'Capacity&amp;Price Calculation'!D85*1000</f>
        <v>206.71290787607504</v>
      </c>
      <c r="F30" s="35">
        <f>+'Capacity&amp;Price Calculation'!E47*'Capacity&amp;Price Calculation'!E85*1000</f>
        <v>216.07433116582607</v>
      </c>
      <c r="G30" s="35">
        <f>+'Capacity&amp;Price Calculation'!F47*'Capacity&amp;Price Calculation'!F85*1000</f>
        <v>217.51152509400544</v>
      </c>
      <c r="H30" s="35">
        <f>+'Capacity&amp;Price Calculation'!G47*'Capacity&amp;Price Calculation'!G85*1000</f>
        <v>218.43512560264435</v>
      </c>
      <c r="I30" s="35">
        <f>+'Capacity&amp;Price Calculation'!H47*'Capacity&amp;Price Calculation'!H85*1000</f>
        <v>219.17137217866949</v>
      </c>
      <c r="J30" s="35"/>
      <c r="P30" s="35">
        <f t="shared" si="0"/>
        <v>206.71290787607504</v>
      </c>
      <c r="Q30" s="35">
        <f t="shared" si="1"/>
        <v>216.07433116582607</v>
      </c>
      <c r="R30" s="35">
        <f t="shared" si="2"/>
        <v>217.51152509400544</v>
      </c>
      <c r="S30" s="35">
        <f t="shared" si="3"/>
        <v>218.43512560264435</v>
      </c>
      <c r="T30" s="35">
        <f t="shared" si="4"/>
        <v>219.17137217866949</v>
      </c>
      <c r="U30" s="35"/>
    </row>
    <row r="31" spans="1:21" x14ac:dyDescent="0.2">
      <c r="A31" s="25">
        <v>0.13</v>
      </c>
      <c r="B31" s="25">
        <v>300</v>
      </c>
      <c r="D31" s="35"/>
      <c r="E31" s="35">
        <f>+'Capacity&amp;Price Calculation'!D48*'Capacity&amp;Price Calculation'!D86*1000</f>
        <v>307.26727837007542</v>
      </c>
      <c r="F31" s="35">
        <f>+'Capacity&amp;Price Calculation'!E48*'Capacity&amp;Price Calculation'!E86*1000</f>
        <v>346.65543569510675</v>
      </c>
      <c r="G31" s="35">
        <f>+'Capacity&amp;Price Calculation'!F48*'Capacity&amp;Price Calculation'!F86*1000</f>
        <v>373.93709265034983</v>
      </c>
      <c r="H31" s="35">
        <f>+'Capacity&amp;Price Calculation'!G48*'Capacity&amp;Price Calculation'!G86*1000</f>
        <v>384.42547445148904</v>
      </c>
      <c r="I31" s="35">
        <f>+'Capacity&amp;Price Calculation'!H48*'Capacity&amp;Price Calculation'!H86*1000</f>
        <v>384.42547445148904</v>
      </c>
      <c r="J31" s="35"/>
      <c r="P31" s="35">
        <f t="shared" si="0"/>
        <v>307.26727837007542</v>
      </c>
      <c r="Q31" s="35">
        <f t="shared" si="1"/>
        <v>346.65543569510675</v>
      </c>
      <c r="R31" s="35">
        <f t="shared" si="2"/>
        <v>373.93709265034983</v>
      </c>
      <c r="S31" s="35">
        <f t="shared" si="3"/>
        <v>384.42547445148904</v>
      </c>
      <c r="T31" s="35">
        <f t="shared" si="4"/>
        <v>384.42547445148904</v>
      </c>
      <c r="U31" s="35"/>
    </row>
    <row r="32" spans="1:21" x14ac:dyDescent="0.2">
      <c r="A32" s="25">
        <v>0.09</v>
      </c>
      <c r="B32" s="25">
        <v>200</v>
      </c>
      <c r="D32" s="35"/>
      <c r="E32" s="35">
        <f>+'Capacity&amp;Price Calculation'!D49*'Capacity&amp;Price Calculation'!D87*1000</f>
        <v>0</v>
      </c>
      <c r="F32" s="35">
        <f>+'Capacity&amp;Price Calculation'!E49*'Capacity&amp;Price Calculation'!E87*1000</f>
        <v>207.7898783950904</v>
      </c>
      <c r="G32" s="35">
        <f>+'Capacity&amp;Price Calculation'!F49*'Capacity&amp;Price Calculation'!F87*1000</f>
        <v>221.22000918594321</v>
      </c>
      <c r="H32" s="35">
        <f>+'Capacity&amp;Price Calculation'!G49*'Capacity&amp;Price Calculation'!G87*1000</f>
        <v>233.25609227676418</v>
      </c>
      <c r="I32" s="35">
        <f>+'Capacity&amp;Price Calculation'!H49*'Capacity&amp;Price Calculation'!H87*1000</f>
        <v>240.72921453096697</v>
      </c>
      <c r="J32" s="35"/>
      <c r="P32" s="35">
        <f t="shared" si="0"/>
        <v>0</v>
      </c>
      <c r="Q32" s="35">
        <f t="shared" si="1"/>
        <v>207.7898783950904</v>
      </c>
      <c r="R32" s="35">
        <f t="shared" si="2"/>
        <v>221.22000918594321</v>
      </c>
      <c r="S32" s="35">
        <f t="shared" si="3"/>
        <v>233.25609227676418</v>
      </c>
      <c r="T32" s="35">
        <f t="shared" si="4"/>
        <v>240.72921453096697</v>
      </c>
      <c r="U32" s="35"/>
    </row>
    <row r="33" spans="1:21" x14ac:dyDescent="0.2">
      <c r="A33" s="25">
        <v>0.09</v>
      </c>
      <c r="B33" s="25">
        <v>300</v>
      </c>
      <c r="D33" s="35"/>
      <c r="E33" s="35">
        <f>+'Capacity&amp;Price Calculation'!D50*'Capacity&amp;Price Calculation'!D88*1000</f>
        <v>0</v>
      </c>
      <c r="F33" s="35">
        <f>+'Capacity&amp;Price Calculation'!E50*'Capacity&amp;Price Calculation'!E88*1000</f>
        <v>303.04184530218453</v>
      </c>
      <c r="G33" s="35">
        <f>+'Capacity&amp;Price Calculation'!F50*'Capacity&amp;Price Calculation'!F88*1000</f>
        <v>325.50001976473732</v>
      </c>
      <c r="H33" s="35">
        <f>+'Capacity&amp;Price Calculation'!G50*'Capacity&amp;Price Calculation'!G88*1000</f>
        <v>361.67335560431462</v>
      </c>
      <c r="I33" s="35">
        <f>+'Capacity&amp;Price Calculation'!H50*'Capacity&amp;Price Calculation'!H88*1000</f>
        <v>393.20390356074677</v>
      </c>
      <c r="J33" s="35"/>
      <c r="P33" s="35">
        <f t="shared" si="0"/>
        <v>0</v>
      </c>
      <c r="Q33" s="35">
        <f t="shared" si="1"/>
        <v>303.04184530218453</v>
      </c>
      <c r="R33" s="35">
        <f t="shared" si="2"/>
        <v>325.50001976473732</v>
      </c>
      <c r="S33" s="35">
        <f t="shared" si="3"/>
        <v>361.67335560431462</v>
      </c>
      <c r="T33" s="35">
        <f t="shared" si="4"/>
        <v>393.20390356074677</v>
      </c>
      <c r="U33" s="35"/>
    </row>
    <row r="34" spans="1:21" x14ac:dyDescent="0.2">
      <c r="A34" s="25">
        <v>6.5000000000000002E-2</v>
      </c>
      <c r="B34" s="25">
        <v>200</v>
      </c>
      <c r="D34" s="35"/>
      <c r="E34" s="35">
        <f>+'Capacity&amp;Price Calculation'!D51*'Capacity&amp;Price Calculation'!D89*1000</f>
        <v>0</v>
      </c>
      <c r="F34" s="35">
        <f>+'Capacity&amp;Price Calculation'!E51*'Capacity&amp;Price Calculation'!E89*1000</f>
        <v>0</v>
      </c>
      <c r="G34" s="35">
        <f>+'Capacity&amp;Price Calculation'!F51*'Capacity&amp;Price Calculation'!F89*1000</f>
        <v>0</v>
      </c>
      <c r="H34" s="35">
        <f>+'Capacity&amp;Price Calculation'!G51*'Capacity&amp;Price Calculation'!G89*1000</f>
        <v>0</v>
      </c>
      <c r="I34" s="35">
        <f>+'Capacity&amp;Price Calculation'!H51*'Capacity&amp;Price Calculation'!H89*1000</f>
        <v>0</v>
      </c>
      <c r="J34" s="35"/>
      <c r="P34" s="35">
        <f t="shared" si="0"/>
        <v>0</v>
      </c>
      <c r="Q34" s="35">
        <f t="shared" si="1"/>
        <v>0</v>
      </c>
      <c r="R34" s="35">
        <f t="shared" si="2"/>
        <v>0</v>
      </c>
      <c r="S34" s="35">
        <f t="shared" si="3"/>
        <v>0</v>
      </c>
      <c r="T34" s="35">
        <f t="shared" si="4"/>
        <v>0</v>
      </c>
      <c r="U34" s="35"/>
    </row>
    <row r="35" spans="1:21" x14ac:dyDescent="0.2">
      <c r="A35" s="25">
        <v>6.5000000000000002E-2</v>
      </c>
      <c r="B35" s="25">
        <v>300</v>
      </c>
      <c r="D35" s="35"/>
      <c r="E35" s="35">
        <f>+'Capacity&amp;Price Calculation'!D52*'Capacity&amp;Price Calculation'!D90*1000</f>
        <v>0</v>
      </c>
      <c r="F35" s="35">
        <f>+'Capacity&amp;Price Calculation'!E52*'Capacity&amp;Price Calculation'!E90*1000</f>
        <v>0</v>
      </c>
      <c r="G35" s="35">
        <f>+'Capacity&amp;Price Calculation'!F52*'Capacity&amp;Price Calculation'!F90*1000</f>
        <v>0</v>
      </c>
      <c r="H35" s="35">
        <f>+'Capacity&amp;Price Calculation'!G52*'Capacity&amp;Price Calculation'!G90*1000</f>
        <v>0</v>
      </c>
      <c r="I35" s="35">
        <f>+'Capacity&amp;Price Calculation'!H52*'Capacity&amp;Price Calculation'!H90*1000</f>
        <v>342.76284273047014</v>
      </c>
      <c r="J35" s="35"/>
      <c r="P35" s="35">
        <f t="shared" si="0"/>
        <v>0</v>
      </c>
      <c r="Q35" s="35">
        <f t="shared" si="1"/>
        <v>0</v>
      </c>
      <c r="R35" s="35">
        <f t="shared" si="2"/>
        <v>0</v>
      </c>
      <c r="S35" s="35">
        <f t="shared" si="3"/>
        <v>0</v>
      </c>
      <c r="T35" s="35">
        <f t="shared" si="4"/>
        <v>342.76284273047014</v>
      </c>
      <c r="U35" s="35"/>
    </row>
    <row r="36" spans="1:21" x14ac:dyDescent="0.2">
      <c r="A36" s="25" t="s">
        <v>157</v>
      </c>
      <c r="D36" s="35"/>
      <c r="E36" s="35"/>
      <c r="F36" s="35"/>
      <c r="G36" s="35"/>
      <c r="H36" s="35"/>
      <c r="I36" s="35"/>
      <c r="J36" s="35"/>
    </row>
    <row r="37" spans="1:21" x14ac:dyDescent="0.2">
      <c r="A37" s="25">
        <v>0.25</v>
      </c>
      <c r="B37" s="25">
        <v>200</v>
      </c>
      <c r="D37" s="35"/>
      <c r="E37" s="35">
        <f>+'Capacity&amp;Price Calculation'!D115*'Capacity&amp;Price Calculation'!D81*1000</f>
        <v>353.9259938864102</v>
      </c>
      <c r="F37" s="35">
        <f>+'Capacity&amp;Price Calculation'!E115*'Capacity&amp;Price Calculation'!E81*1000</f>
        <v>404.53361380774425</v>
      </c>
      <c r="G37" s="35">
        <f>+'Capacity&amp;Price Calculation'!F115*'Capacity&amp;Price Calculation'!F81*1000</f>
        <v>439.9822618077369</v>
      </c>
      <c r="H37" s="35">
        <f>+'Capacity&amp;Price Calculation'!G115*'Capacity&amp;Price Calculation'!G81*1000</f>
        <v>369.29404116254977</v>
      </c>
      <c r="I37" s="35">
        <f>+'Capacity&amp;Price Calculation'!H115*'Capacity&amp;Price Calculation'!H81*1000</f>
        <v>388.74510400225756</v>
      </c>
      <c r="J37" s="35"/>
      <c r="O37" s="35">
        <f>+($N$2*'Capacity&amp;Price Calculation'!C$25+'Capacity&amp;Price Calculation'!C81)*1000*'Capacity&amp;Price Calculation'!C115-($N$2*'Capacity&amp;Price Calculation'!C$25*1000*'Capacity&amp;Price Calculation'!C$40)</f>
        <v>0</v>
      </c>
      <c r="P37" s="35">
        <f>+($N$2*'Capacity&amp;Price Calculation'!D$25+'Capacity&amp;Price Calculation'!D81)*1000*'Capacity&amp;Price Calculation'!D115-($N$2*'Capacity&amp;Price Calculation'!D$25*1000*'Capacity&amp;Price Calculation'!D$40)</f>
        <v>300.23256286259448</v>
      </c>
      <c r="Q37" s="35">
        <f>+($N$2*'Capacity&amp;Price Calculation'!E$25+'Capacity&amp;Price Calculation'!E81)*1000*'Capacity&amp;Price Calculation'!E115-($N$2*'Capacity&amp;Price Calculation'!E$25*1000*'Capacity&amp;Price Calculation'!E$40)</f>
        <v>357.69445616818575</v>
      </c>
      <c r="R37" s="35">
        <f>+($N$2*'Capacity&amp;Price Calculation'!F$25+'Capacity&amp;Price Calculation'!F81)*1000*'Capacity&amp;Price Calculation'!F115-($N$2*'Capacity&amp;Price Calculation'!F$25*1000*'Capacity&amp;Price Calculation'!F$40)</f>
        <v>406.22051921716411</v>
      </c>
      <c r="S37" s="35">
        <f>+($N$2*'Capacity&amp;Price Calculation'!G$25+'Capacity&amp;Price Calculation'!G81)*1000*'Capacity&amp;Price Calculation'!G115-($N$2*'Capacity&amp;Price Calculation'!G$25*1000*'Capacity&amp;Price Calculation'!G$40)</f>
        <v>348.19359059737508</v>
      </c>
      <c r="T37" s="35">
        <f>+($N$2*'Capacity&amp;Price Calculation'!H$25+'Capacity&amp;Price Calculation'!H81)*1000*'Capacity&amp;Price Calculation'!H115-($N$2*'Capacity&amp;Price Calculation'!H$25*1000*'Capacity&amp;Price Calculation'!H$40)</f>
        <v>370.54435815927809</v>
      </c>
    </row>
    <row r="38" spans="1:21" x14ac:dyDescent="0.2">
      <c r="A38" s="25">
        <v>0.25</v>
      </c>
      <c r="B38" s="25">
        <v>300</v>
      </c>
      <c r="D38" s="35"/>
      <c r="E38" s="35">
        <f>+'Capacity&amp;Price Calculation'!D116*'Capacity&amp;Price Calculation'!D82*1000</f>
        <v>0</v>
      </c>
      <c r="F38" s="35">
        <f>+'Capacity&amp;Price Calculation'!E116*'Capacity&amp;Price Calculation'!E82*1000</f>
        <v>0</v>
      </c>
      <c r="G38" s="35">
        <f>+'Capacity&amp;Price Calculation'!F116*'Capacity&amp;Price Calculation'!F82*1000</f>
        <v>0</v>
      </c>
      <c r="H38" s="35">
        <f>+'Capacity&amp;Price Calculation'!G116*'Capacity&amp;Price Calculation'!G82*1000</f>
        <v>0</v>
      </c>
      <c r="I38" s="35">
        <f>+'Capacity&amp;Price Calculation'!H116*'Capacity&amp;Price Calculation'!H82*1000</f>
        <v>0</v>
      </c>
      <c r="J38" s="35"/>
      <c r="O38" s="35"/>
      <c r="P38" s="35"/>
      <c r="Q38" s="35"/>
      <c r="R38" s="35"/>
      <c r="S38" s="35"/>
      <c r="T38" s="35"/>
    </row>
    <row r="39" spans="1:21" x14ac:dyDescent="0.2">
      <c r="A39" s="25">
        <v>0.18</v>
      </c>
      <c r="B39" s="25">
        <v>200</v>
      </c>
      <c r="D39" s="35"/>
      <c r="E39" s="35">
        <f>+'Capacity&amp;Price Calculation'!D117*'Capacity&amp;Price Calculation'!D83*1000</f>
        <v>343.88249262876013</v>
      </c>
      <c r="F39" s="35">
        <f>+'Capacity&amp;Price Calculation'!E117*'Capacity&amp;Price Calculation'!E83*1000</f>
        <v>400.91467490544471</v>
      </c>
      <c r="G39" s="35">
        <f>+'Capacity&amp;Price Calculation'!F117*'Capacity&amp;Price Calculation'!F83*1000</f>
        <v>439.98225444655225</v>
      </c>
      <c r="H39" s="35">
        <f>+'Capacity&amp;Price Calculation'!G117*'Capacity&amp;Price Calculation'!G83*1000</f>
        <v>369.29405671330761</v>
      </c>
      <c r="I39" s="35">
        <f>+'Capacity&amp;Price Calculation'!H117*'Capacity&amp;Price Calculation'!H83*1000</f>
        <v>388.74510400225756</v>
      </c>
      <c r="J39" s="35"/>
      <c r="O39" s="35">
        <f>+($N$2*'Capacity&amp;Price Calculation'!C$25+'Capacity&amp;Price Calculation'!C83)*1000*'Capacity&amp;Price Calculation'!C117-($N$2*'Capacity&amp;Price Calculation'!C$25*1000*'Capacity&amp;Price Calculation'!C$40)</f>
        <v>0</v>
      </c>
      <c r="P39" s="35">
        <f>+($N$2*'Capacity&amp;Price Calculation'!D$25+'Capacity&amp;Price Calculation'!D83)*1000*'Capacity&amp;Price Calculation'!D117-($N$2*'Capacity&amp;Price Calculation'!D$25*1000*'Capacity&amp;Price Calculation'!D$40)</f>
        <v>291.73381453665706</v>
      </c>
      <c r="Q39" s="35">
        <f>+($N$2*'Capacity&amp;Price Calculation'!E$25+'Capacity&amp;Price Calculation'!E83)*1000*'Capacity&amp;Price Calculation'!E117-($N$2*'Capacity&amp;Price Calculation'!E$25*1000*'Capacity&amp;Price Calculation'!E$40)</f>
        <v>354.49867585977245</v>
      </c>
      <c r="R39" s="35">
        <f>+($N$2*'Capacity&amp;Price Calculation'!F$25+'Capacity&amp;Price Calculation'!F83)*1000*'Capacity&amp;Price Calculation'!F117-($N$2*'Capacity&amp;Price Calculation'!F$25*1000*'Capacity&amp;Price Calculation'!F$40)</f>
        <v>406.22051242442103</v>
      </c>
      <c r="S39" s="35">
        <f>+($N$2*'Capacity&amp;Price Calculation'!G$25+'Capacity&amp;Price Calculation'!G83)*1000*'Capacity&amp;Price Calculation'!G117-($N$2*'Capacity&amp;Price Calculation'!G$25*1000*'Capacity&amp;Price Calculation'!G$40)</f>
        <v>348.19360525546563</v>
      </c>
      <c r="T39" s="35">
        <f>+($N$2*'Capacity&amp;Price Calculation'!H$25+'Capacity&amp;Price Calculation'!H83)*1000*'Capacity&amp;Price Calculation'!H117-($N$2*'Capacity&amp;Price Calculation'!H$25*1000*'Capacity&amp;Price Calculation'!H$40)</f>
        <v>370.54435815927809</v>
      </c>
    </row>
    <row r="40" spans="1:21" x14ac:dyDescent="0.2">
      <c r="A40" s="25">
        <v>0.18</v>
      </c>
      <c r="B40" s="25">
        <v>300</v>
      </c>
      <c r="D40" s="35"/>
      <c r="E40" s="35">
        <f>+'Capacity&amp;Price Calculation'!D118*'Capacity&amp;Price Calculation'!D84*1000</f>
        <v>0</v>
      </c>
      <c r="F40" s="35">
        <f>+'Capacity&amp;Price Calculation'!E118*'Capacity&amp;Price Calculation'!E84*1000</f>
        <v>0</v>
      </c>
      <c r="G40" s="35">
        <f>+'Capacity&amp;Price Calculation'!F118*'Capacity&amp;Price Calculation'!F84*1000</f>
        <v>0</v>
      </c>
      <c r="H40" s="35">
        <f>+'Capacity&amp;Price Calculation'!G118*'Capacity&amp;Price Calculation'!G84*1000</f>
        <v>0</v>
      </c>
      <c r="I40" s="35">
        <f>+'Capacity&amp;Price Calculation'!H118*'Capacity&amp;Price Calculation'!H84*1000</f>
        <v>0</v>
      </c>
      <c r="J40" s="35"/>
      <c r="O40" s="35"/>
      <c r="P40" s="35"/>
      <c r="Q40" s="35"/>
      <c r="R40" s="35"/>
      <c r="S40" s="35"/>
      <c r="T40" s="35"/>
    </row>
    <row r="41" spans="1:21" x14ac:dyDescent="0.2">
      <c r="A41" s="25">
        <v>0.13</v>
      </c>
      <c r="B41" s="25">
        <v>200</v>
      </c>
      <c r="D41" s="35"/>
      <c r="E41" s="35">
        <f>+'Capacity&amp;Price Calculation'!D119*'Capacity&amp;Price Calculation'!D85*1000</f>
        <v>294.31895516872987</v>
      </c>
      <c r="F41" s="35">
        <f>+'Capacity&amp;Price Calculation'!E119*'Capacity&amp;Price Calculation'!E85*1000</f>
        <v>387.55936705585782</v>
      </c>
      <c r="G41" s="35">
        <f>+'Capacity&amp;Price Calculation'!F119*'Capacity&amp;Price Calculation'!F85*1000</f>
        <v>430.05496293877843</v>
      </c>
      <c r="H41" s="35">
        <f>+'Capacity&amp;Price Calculation'!G119*'Capacity&amp;Price Calculation'!G85*1000</f>
        <v>365.59222455059904</v>
      </c>
      <c r="I41" s="35">
        <f>+'Capacity&amp;Price Calculation'!H119*'Capacity&amp;Price Calculation'!H85*1000</f>
        <v>388.74504053474061</v>
      </c>
      <c r="J41" s="35"/>
      <c r="O41" s="35">
        <f>+($N$2*'Capacity&amp;Price Calculation'!C$25+'Capacity&amp;Price Calculation'!C85)*1000*'Capacity&amp;Price Calculation'!C119-($N$2*'Capacity&amp;Price Calculation'!C$25*1000*'Capacity&amp;Price Calculation'!C$40)</f>
        <v>0</v>
      </c>
      <c r="P41" s="35">
        <f>+($N$2*'Capacity&amp;Price Calculation'!D$25+'Capacity&amp;Price Calculation'!D85)*1000*'Capacity&amp;Price Calculation'!D119-($N$2*'Capacity&amp;Price Calculation'!D$25*1000*'Capacity&amp;Price Calculation'!D$40)</f>
        <v>249.77500443196323</v>
      </c>
      <c r="Q41" s="35">
        <f>+($N$2*'Capacity&amp;Price Calculation'!E$25+'Capacity&amp;Price Calculation'!E85)*1000*'Capacity&amp;Price Calculation'!E119-($N$2*'Capacity&amp;Price Calculation'!E$25*1000*'Capacity&amp;Price Calculation'!E$40)</f>
        <v>342.70433075657274</v>
      </c>
      <c r="R41" s="35">
        <f>+($N$2*'Capacity&amp;Price Calculation'!F$25+'Capacity&amp;Price Calculation'!F85)*1000*'Capacity&amp;Price Calculation'!F119-($N$2*'Capacity&amp;Price Calculation'!F$25*1000*'Capacity&amp;Price Calculation'!F$40)</f>
        <v>397.05971050972676</v>
      </c>
      <c r="S41" s="35">
        <f>+($N$2*'Capacity&amp;Price Calculation'!G$25+'Capacity&amp;Price Calculation'!G85)*1000*'Capacity&amp;Price Calculation'!G119-($N$2*'Capacity&amp;Price Calculation'!G$25*1000*'Capacity&amp;Price Calculation'!G$40)</f>
        <v>344.70426110053631</v>
      </c>
      <c r="T41" s="35">
        <f>+($N$2*'Capacity&amp;Price Calculation'!H$25+'Capacity&amp;Price Calculation'!H85)*1000*'Capacity&amp;Price Calculation'!H119-($N$2*'Capacity&amp;Price Calculation'!H$25*1000*'Capacity&amp;Price Calculation'!H$40)</f>
        <v>370.54429767456986</v>
      </c>
    </row>
    <row r="42" spans="1:21" x14ac:dyDescent="0.2">
      <c r="A42" s="25">
        <v>0.13</v>
      </c>
      <c r="B42" s="25">
        <v>300</v>
      </c>
      <c r="D42" s="35"/>
      <c r="E42" s="35">
        <f>+'Capacity&amp;Price Calculation'!D120*'Capacity&amp;Price Calculation'!D86*1000</f>
        <v>421.66509519716743</v>
      </c>
      <c r="F42" s="35">
        <f>+'Capacity&amp;Price Calculation'!E120*'Capacity&amp;Price Calculation'!E86*1000</f>
        <v>696.14249104743612</v>
      </c>
      <c r="G42" s="35">
        <f>+'Capacity&amp;Price Calculation'!F120*'Capacity&amp;Price Calculation'!F86*1000</f>
        <v>920.37211934795448</v>
      </c>
      <c r="H42" s="35">
        <f>+'Capacity&amp;Price Calculation'!G120*'Capacity&amp;Price Calculation'!G86*1000</f>
        <v>826.09511554574874</v>
      </c>
      <c r="I42" s="35">
        <f>+'Capacity&amp;Price Calculation'!H120*'Capacity&amp;Price Calculation'!H86*1000</f>
        <v>870.53115127136152</v>
      </c>
      <c r="J42" s="35"/>
      <c r="O42" s="35">
        <f>+($N$2*'Capacity&amp;Price Calculation'!C$25+'Capacity&amp;Price Calculation'!C86)*1000*'Capacity&amp;Price Calculation'!C120-($N$2*'Capacity&amp;Price Calculation'!C$25*1000*'Capacity&amp;Price Calculation'!C$40)</f>
        <v>0</v>
      </c>
      <c r="P42" s="35">
        <f>+($N$2*'Capacity&amp;Price Calculation'!D$25+'Capacity&amp;Price Calculation'!D86)*1000*'Capacity&amp;Price Calculation'!D120-($N$2*'Capacity&amp;Price Calculation'!D$25*1000*'Capacity&amp;Price Calculation'!D$40)</f>
        <v>357.5197154109369</v>
      </c>
      <c r="Q42" s="35">
        <f>+($N$2*'Capacity&amp;Price Calculation'!E$25+'Capacity&amp;Price Calculation'!E86)*1000*'Capacity&amp;Price Calculation'!E120-($N$2*'Capacity&amp;Price Calculation'!E$25*1000*'Capacity&amp;Price Calculation'!E$40)</f>
        <v>614.95168930437103</v>
      </c>
      <c r="R42" s="35">
        <f>+($N$2*'Capacity&amp;Price Calculation'!F$25+'Capacity&amp;Price Calculation'!F86)*1000*'Capacity&amp;Price Calculation'!F120-($N$2*'Capacity&amp;Price Calculation'!F$25*1000*'Capacity&amp;Price Calculation'!F$40)</f>
        <v>849.25152384616285</v>
      </c>
      <c r="S42" s="35">
        <f>+($N$2*'Capacity&amp;Price Calculation'!G$25+'Capacity&amp;Price Calculation'!G86)*1000*'Capacity&amp;Price Calculation'!G120-($N$2*'Capacity&amp;Price Calculation'!G$25*1000*'Capacity&amp;Price Calculation'!G$40)</f>
        <v>778.61910026630721</v>
      </c>
      <c r="T42" s="35">
        <f>+($N$2*'Capacity&amp;Price Calculation'!H$25+'Capacity&amp;Price Calculation'!H86)*1000*'Capacity&amp;Price Calculation'!H120-($N$2*'Capacity&amp;Price Calculation'!H$25*1000*'Capacity&amp;Price Calculation'!H$40)</f>
        <v>829.57947182406497</v>
      </c>
    </row>
    <row r="43" spans="1:21" x14ac:dyDescent="0.2">
      <c r="A43" s="25">
        <v>0.09</v>
      </c>
      <c r="B43" s="25">
        <v>200</v>
      </c>
      <c r="D43" s="35"/>
      <c r="E43" s="35">
        <f>+'Capacity&amp;Price Calculation'!D121*'Capacity&amp;Price Calculation'!D87*1000</f>
        <v>0</v>
      </c>
      <c r="F43" s="35">
        <f>+'Capacity&amp;Price Calculation'!E121*'Capacity&amp;Price Calculation'!E87*1000</f>
        <v>204.64957302039076</v>
      </c>
      <c r="G43" s="35">
        <f>+'Capacity&amp;Price Calculation'!F121*'Capacity&amp;Price Calculation'!F87*1000</f>
        <v>302.91543421871762</v>
      </c>
      <c r="H43" s="35">
        <f>+'Capacity&amp;Price Calculation'!G121*'Capacity&amp;Price Calculation'!G87*1000</f>
        <v>314.75900451495613</v>
      </c>
      <c r="I43" s="35">
        <f>+'Capacity&amp;Price Calculation'!H121*'Capacity&amp;Price Calculation'!H87*1000</f>
        <v>370.9101450904476</v>
      </c>
      <c r="J43" s="35"/>
      <c r="O43" s="35"/>
      <c r="P43" s="35"/>
      <c r="Q43" s="35">
        <f>+($N$2*'Capacity&amp;Price Calculation'!E$25+'Capacity&amp;Price Calculation'!E87)*1000*'Capacity&amp;Price Calculation'!E121-($N$2*'Capacity&amp;Price Calculation'!E$25*1000*'Capacity&amp;Price Calculation'!E$40)</f>
        <v>181.06964162559689</v>
      </c>
      <c r="R43" s="35">
        <f>+($N$2*'Capacity&amp;Price Calculation'!F$25+'Capacity&amp;Price Calculation'!F87)*1000*'Capacity&amp;Price Calculation'!F121-($N$2*'Capacity&amp;Price Calculation'!F$25*1000*'Capacity&amp;Price Calculation'!F$40)</f>
        <v>279.71721115019045</v>
      </c>
      <c r="S43" s="35">
        <f>+($N$2*'Capacity&amp;Price Calculation'!G$25+'Capacity&amp;Price Calculation'!G87)*1000*'Capacity&amp;Price Calculation'!G121-($N$2*'Capacity&amp;Price Calculation'!G$25*1000*'Capacity&amp;Price Calculation'!G$40)</f>
        <v>296.78689294634296</v>
      </c>
      <c r="T43" s="35">
        <f>+($N$2*'Capacity&amp;Price Calculation'!H$25+'Capacity&amp;Price Calculation'!H87)*1000*'Capacity&amp;Price Calculation'!H121-($N$2*'Capacity&amp;Price Calculation'!H$25*1000*'Capacity&amp;Price Calculation'!H$40)</f>
        <v>353.54744938111435</v>
      </c>
    </row>
    <row r="44" spans="1:21" x14ac:dyDescent="0.2">
      <c r="A44" s="25">
        <v>0.09</v>
      </c>
      <c r="B44" s="25">
        <v>300</v>
      </c>
      <c r="D44" s="35"/>
      <c r="E44" s="35">
        <f>+'Capacity&amp;Price Calculation'!D122*'Capacity&amp;Price Calculation'!D88*1000</f>
        <v>0</v>
      </c>
      <c r="F44" s="35">
        <f>+'Capacity&amp;Price Calculation'!E122*'Capacity&amp;Price Calculation'!E88*1000</f>
        <v>309.21285872826496</v>
      </c>
      <c r="G44" s="35">
        <f>+'Capacity&amp;Price Calculation'!F122*'Capacity&amp;Price Calculation'!F88*1000</f>
        <v>470.46683567334958</v>
      </c>
      <c r="H44" s="35">
        <f>+'Capacity&amp;Price Calculation'!G122*'Capacity&amp;Price Calculation'!G88*1000</f>
        <v>576.25605171025109</v>
      </c>
      <c r="I44" s="35">
        <f>+'Capacity&amp;Price Calculation'!H122*'Capacity&amp;Price Calculation'!H88*1000</f>
        <v>772.92230210952459</v>
      </c>
      <c r="J44" s="35"/>
      <c r="O44" s="35"/>
      <c r="P44" s="35"/>
      <c r="Q44" s="35">
        <f>+($N$2*'Capacity&amp;Price Calculation'!E$25+'Capacity&amp;Price Calculation'!E88)*1000*'Capacity&amp;Price Calculation'!E122-($N$2*'Capacity&amp;Price Calculation'!E$25*1000*'Capacity&amp;Price Calculation'!E$40)</f>
        <v>273.49414599163265</v>
      </c>
      <c r="R44" s="35">
        <f>+($N$2*'Capacity&amp;Price Calculation'!F$25+'Capacity&amp;Price Calculation'!F88)*1000*'Capacity&amp;Price Calculation'!F122-($N$2*'Capacity&amp;Price Calculation'!F$25*1000*'Capacity&amp;Price Calculation'!F$40)</f>
        <v>434.34998645092946</v>
      </c>
      <c r="S44" s="35">
        <f>+($N$2*'Capacity&amp;Price Calculation'!G$25+'Capacity&amp;Price Calculation'!G88)*1000*'Capacity&amp;Price Calculation'!G122-($N$2*'Capacity&amp;Price Calculation'!G$25*1000*'Capacity&amp;Price Calculation'!G$40)</f>
        <v>543.24393707071249</v>
      </c>
      <c r="T44" s="35">
        <f>+($N$2*'Capacity&amp;Price Calculation'!H$25+'Capacity&amp;Price Calculation'!H88)*1000*'Capacity&amp;Price Calculation'!H122-($N$2*'Capacity&amp;Price Calculation'!H$25*1000*'Capacity&amp;Price Calculation'!H$40)</f>
        <v>736.59753343288048</v>
      </c>
    </row>
    <row r="45" spans="1:21" x14ac:dyDescent="0.2">
      <c r="A45" s="25">
        <v>6.5000000000000002E-2</v>
      </c>
      <c r="B45" s="25">
        <v>200</v>
      </c>
      <c r="D45" s="35"/>
      <c r="E45" s="35">
        <f>+'Capacity&amp;Price Calculation'!D123*'Capacity&amp;Price Calculation'!D89*1000</f>
        <v>0</v>
      </c>
      <c r="F45" s="35">
        <f>+'Capacity&amp;Price Calculation'!E123*'Capacity&amp;Price Calculation'!E89*1000</f>
        <v>0</v>
      </c>
      <c r="G45" s="35">
        <f>+'Capacity&amp;Price Calculation'!F123*'Capacity&amp;Price Calculation'!F89*1000</f>
        <v>0</v>
      </c>
      <c r="H45" s="35">
        <f>+'Capacity&amp;Price Calculation'!G123*'Capacity&amp;Price Calculation'!G89*1000</f>
        <v>0</v>
      </c>
      <c r="I45" s="35">
        <f>+'Capacity&amp;Price Calculation'!H123*'Capacity&amp;Price Calculation'!H89*1000</f>
        <v>0</v>
      </c>
      <c r="J45" s="35"/>
      <c r="O45" s="35"/>
      <c r="P45" s="35"/>
      <c r="Q45" s="35"/>
      <c r="R45" s="35"/>
      <c r="S45" s="35"/>
      <c r="T45" s="35"/>
    </row>
    <row r="46" spans="1:21" x14ac:dyDescent="0.2">
      <c r="A46" s="25">
        <v>6.5000000000000002E-2</v>
      </c>
      <c r="B46" s="25">
        <v>300</v>
      </c>
      <c r="D46" s="35"/>
      <c r="E46" s="35">
        <f>+'Capacity&amp;Price Calculation'!D124*'Capacity&amp;Price Calculation'!D90*1000</f>
        <v>0</v>
      </c>
      <c r="F46" s="35">
        <f>+'Capacity&amp;Price Calculation'!E124*'Capacity&amp;Price Calculation'!E90*1000</f>
        <v>0</v>
      </c>
      <c r="G46" s="35">
        <f>+'Capacity&amp;Price Calculation'!F124*'Capacity&amp;Price Calculation'!F90*1000</f>
        <v>0</v>
      </c>
      <c r="H46" s="35">
        <f>+'Capacity&amp;Price Calculation'!G124*'Capacity&amp;Price Calculation'!G90*1000</f>
        <v>0</v>
      </c>
      <c r="I46" s="35">
        <f>+'Capacity&amp;Price Calculation'!H124*'Capacity&amp;Price Calculation'!H90*1000</f>
        <v>354.75803272077235</v>
      </c>
      <c r="J46" s="35"/>
      <c r="O46" s="35"/>
      <c r="P46" s="35"/>
      <c r="Q46" s="35"/>
      <c r="R46" s="35"/>
      <c r="S46" s="35"/>
      <c r="T46" s="35">
        <f>+($N$2*'Capacity&amp;Price Calculation'!H$25+'Capacity&amp;Price Calculation'!H90)*1000*'Capacity&amp;Price Calculation'!H124-($N$2*'Capacity&amp;Price Calculation'!H$25*1000*'Capacity&amp;Price Calculation'!H$40)</f>
        <v>338.15405827453105</v>
      </c>
    </row>
    <row r="47" spans="1:21" x14ac:dyDescent="0.2">
      <c r="A47" s="25" t="s">
        <v>158</v>
      </c>
      <c r="D47" s="35"/>
      <c r="E47" s="35"/>
      <c r="F47" s="35"/>
      <c r="G47" s="35"/>
      <c r="H47" s="35"/>
      <c r="I47" s="35"/>
      <c r="J47" s="35"/>
    </row>
    <row r="48" spans="1:21" x14ac:dyDescent="0.2">
      <c r="A48" s="25">
        <v>0.25</v>
      </c>
      <c r="B48" s="25">
        <v>200</v>
      </c>
      <c r="D48" s="35">
        <f>-D4-D15</f>
        <v>-733.4255391400518</v>
      </c>
      <c r="E48" s="35">
        <f>+E37-E26</f>
        <v>159.48222256394391</v>
      </c>
      <c r="F48" s="35">
        <f>+F37-F26</f>
        <v>210.0898364071171</v>
      </c>
      <c r="G48" s="35">
        <f>+G37-G26</f>
        <v>245.53848440710976</v>
      </c>
      <c r="H48" s="35">
        <f>+H37-H26</f>
        <v>174.85026376192263</v>
      </c>
      <c r="I48" s="35">
        <f>+I37-I26</f>
        <v>194.30132660163042</v>
      </c>
      <c r="J48" s="35"/>
      <c r="O48" s="35">
        <f>+D48</f>
        <v>-733.4255391400518</v>
      </c>
      <c r="P48" s="35">
        <f>+P37-P26</f>
        <v>105.78879154012819</v>
      </c>
      <c r="Q48" s="35">
        <f>+Q37-Q26</f>
        <v>163.25067876755861</v>
      </c>
      <c r="R48" s="35">
        <f>+R37-R26</f>
        <v>211.77674181653697</v>
      </c>
      <c r="S48" s="35">
        <f>+S37-S26</f>
        <v>153.74981319674794</v>
      </c>
      <c r="T48" s="35">
        <f>+T37-T26</f>
        <v>176.10058075865095</v>
      </c>
    </row>
    <row r="49" spans="1:20" x14ac:dyDescent="0.2">
      <c r="A49" s="25">
        <v>0.25</v>
      </c>
      <c r="B49" s="25">
        <v>300</v>
      </c>
      <c r="D49" s="35"/>
      <c r="E49" s="35"/>
      <c r="F49" s="35"/>
      <c r="G49" s="35"/>
      <c r="H49" s="35"/>
      <c r="I49" s="35"/>
      <c r="J49" s="35"/>
    </row>
    <row r="50" spans="1:20" x14ac:dyDescent="0.2">
      <c r="A50" s="25">
        <v>0.18</v>
      </c>
      <c r="B50" s="25">
        <v>200</v>
      </c>
      <c r="D50" s="35">
        <f>-D6-D17</f>
        <v>-855.67629069501004</v>
      </c>
      <c r="E50" s="35">
        <f>+E39-E28</f>
        <v>137.43821082564676</v>
      </c>
      <c r="F50" s="35">
        <f>+F39-F28</f>
        <v>193.02747697727094</v>
      </c>
      <c r="G50" s="35">
        <f>+G39-G28</f>
        <v>231.43454139693094</v>
      </c>
      <c r="H50" s="35">
        <f>+H39-H28</f>
        <v>160.7463393396547</v>
      </c>
      <c r="I50" s="35">
        <f>+I39-I28</f>
        <v>180.19738972165786</v>
      </c>
      <c r="J50" s="35"/>
      <c r="O50" s="35">
        <f>+D50</f>
        <v>-855.67629069501004</v>
      </c>
      <c r="P50" s="35">
        <f>+P39-P28</f>
        <v>85.289532733543695</v>
      </c>
      <c r="Q50" s="35">
        <f>+Q39-Q28</f>
        <v>146.61147793159867</v>
      </c>
      <c r="R50" s="35">
        <f>+R39-R28</f>
        <v>197.67279937479972</v>
      </c>
      <c r="S50" s="35">
        <f>+S39-S28</f>
        <v>139.64588788181271</v>
      </c>
      <c r="T50" s="35">
        <f>+T39-T28</f>
        <v>161.99664387867838</v>
      </c>
    </row>
    <row r="51" spans="1:20" x14ac:dyDescent="0.2">
      <c r="A51" s="25">
        <v>0.18</v>
      </c>
      <c r="B51" s="25">
        <v>300</v>
      </c>
      <c r="D51" s="35"/>
      <c r="E51" s="35"/>
      <c r="F51" s="35"/>
      <c r="G51" s="35"/>
      <c r="H51" s="35"/>
      <c r="I51" s="35"/>
      <c r="J51" s="35"/>
    </row>
    <row r="52" spans="1:20" x14ac:dyDescent="0.2">
      <c r="A52" s="25">
        <v>0.13</v>
      </c>
      <c r="B52" s="25">
        <v>200</v>
      </c>
      <c r="D52" s="35">
        <f>-D8-D19</f>
        <v>-944.00290355042466</v>
      </c>
      <c r="E52" s="35">
        <f t="shared" ref="E52:I53" si="5">+E41-E30</f>
        <v>87.606047292654836</v>
      </c>
      <c r="F52" s="35">
        <f t="shared" si="5"/>
        <v>171.48503589003175</v>
      </c>
      <c r="G52" s="35">
        <f t="shared" si="5"/>
        <v>212.543437844773</v>
      </c>
      <c r="H52" s="35">
        <f t="shared" si="5"/>
        <v>147.15709894795469</v>
      </c>
      <c r="I52" s="35">
        <f t="shared" si="5"/>
        <v>169.57366835607112</v>
      </c>
      <c r="J52" s="35"/>
      <c r="O52" s="35">
        <f>+D52</f>
        <v>-944.00290355042466</v>
      </c>
      <c r="P52" s="35">
        <f t="shared" ref="P52:T53" si="6">+P41-P30</f>
        <v>43.062096555888189</v>
      </c>
      <c r="Q52" s="35">
        <f t="shared" si="6"/>
        <v>126.62999959074668</v>
      </c>
      <c r="R52" s="35">
        <f t="shared" si="6"/>
        <v>179.54818541572132</v>
      </c>
      <c r="S52" s="35">
        <f t="shared" si="6"/>
        <v>126.26913549789197</v>
      </c>
      <c r="T52" s="35">
        <f t="shared" si="6"/>
        <v>151.37292549590038</v>
      </c>
    </row>
    <row r="53" spans="1:20" x14ac:dyDescent="0.2">
      <c r="A53" s="25">
        <v>0.13</v>
      </c>
      <c r="B53" s="25">
        <v>300</v>
      </c>
      <c r="D53" s="35">
        <f>-D9-D20</f>
        <v>-1282.7240996868363</v>
      </c>
      <c r="E53" s="35">
        <f t="shared" si="5"/>
        <v>114.39781682709202</v>
      </c>
      <c r="F53" s="35">
        <f t="shared" si="5"/>
        <v>349.48705535232938</v>
      </c>
      <c r="G53" s="35">
        <f t="shared" si="5"/>
        <v>546.4350266976046</v>
      </c>
      <c r="H53" s="35">
        <f t="shared" si="5"/>
        <v>441.6696410942597</v>
      </c>
      <c r="I53" s="35">
        <f t="shared" si="5"/>
        <v>486.10567681987249</v>
      </c>
      <c r="J53" s="35"/>
      <c r="O53" s="35">
        <f>+D53</f>
        <v>-1282.7240996868363</v>
      </c>
      <c r="P53" s="35">
        <f t="shared" si="6"/>
        <v>50.25243704086148</v>
      </c>
      <c r="Q53" s="35">
        <f t="shared" si="6"/>
        <v>268.29625360926428</v>
      </c>
      <c r="R53" s="35">
        <f t="shared" si="6"/>
        <v>475.31443119581303</v>
      </c>
      <c r="S53" s="35">
        <f t="shared" si="6"/>
        <v>394.19362581481818</v>
      </c>
      <c r="T53" s="35">
        <f t="shared" si="6"/>
        <v>445.15399737257593</v>
      </c>
    </row>
    <row r="54" spans="1:20" x14ac:dyDescent="0.2">
      <c r="A54" s="25">
        <v>0.09</v>
      </c>
      <c r="B54" s="25">
        <v>200</v>
      </c>
      <c r="D54" s="35"/>
      <c r="E54" s="35"/>
      <c r="F54" s="35"/>
      <c r="G54" s="35"/>
      <c r="H54" s="35"/>
      <c r="I54" s="35"/>
      <c r="J54" s="35"/>
    </row>
    <row r="55" spans="1:20" x14ac:dyDescent="0.2">
      <c r="A55" s="25">
        <v>0.09</v>
      </c>
      <c r="B55" s="25">
        <v>300</v>
      </c>
      <c r="D55" s="35"/>
      <c r="E55" s="35"/>
      <c r="F55" s="35"/>
      <c r="G55" s="35"/>
      <c r="H55" s="35"/>
      <c r="I55" s="35"/>
      <c r="J55" s="35"/>
    </row>
    <row r="56" spans="1:20" x14ac:dyDescent="0.2">
      <c r="A56" s="25">
        <v>6.5000000000000002E-2</v>
      </c>
      <c r="B56" s="25">
        <v>200</v>
      </c>
      <c r="D56" s="35"/>
      <c r="E56" s="35"/>
      <c r="F56" s="35"/>
      <c r="G56" s="35"/>
      <c r="H56" s="35"/>
      <c r="I56" s="35"/>
      <c r="J56" s="35"/>
    </row>
    <row r="57" spans="1:20" x14ac:dyDescent="0.2">
      <c r="A57" s="25">
        <v>6.5000000000000002E-2</v>
      </c>
      <c r="B57" s="25">
        <v>300</v>
      </c>
      <c r="D57" s="35"/>
      <c r="E57" s="35"/>
      <c r="F57" s="35"/>
      <c r="G57" s="35"/>
      <c r="H57" s="35"/>
      <c r="I57" s="35"/>
      <c r="J57" s="35"/>
    </row>
    <row r="58" spans="1:20" x14ac:dyDescent="0.2">
      <c r="A58" s="40" t="s">
        <v>56</v>
      </c>
      <c r="B58" s="40"/>
      <c r="C58" s="40"/>
      <c r="D58" s="35"/>
      <c r="E58" s="35"/>
      <c r="F58" s="35"/>
      <c r="G58" s="35"/>
      <c r="H58" s="35"/>
      <c r="I58" s="35"/>
      <c r="J58" s="35"/>
      <c r="L58" s="40" t="s">
        <v>56</v>
      </c>
      <c r="M58" s="40"/>
      <c r="N58" s="40"/>
    </row>
    <row r="59" spans="1:20" x14ac:dyDescent="0.2">
      <c r="A59" s="40">
        <v>0.25</v>
      </c>
      <c r="B59" s="40">
        <v>200</v>
      </c>
      <c r="C59" s="41">
        <f>+IRR(D48:I48,0.15)</f>
        <v>0.10508730053084836</v>
      </c>
      <c r="D59" s="35"/>
      <c r="E59" s="35"/>
      <c r="F59" s="35"/>
      <c r="G59" s="35"/>
      <c r="H59" s="35"/>
      <c r="I59" s="35"/>
      <c r="J59" s="35"/>
      <c r="L59" s="40">
        <v>0.25</v>
      </c>
      <c r="M59" s="40">
        <v>200</v>
      </c>
      <c r="N59" s="41">
        <f>+IRR(O48:T48,0.15)</f>
        <v>3.2469184786013683E-2</v>
      </c>
    </row>
    <row r="60" spans="1:20" x14ac:dyDescent="0.2">
      <c r="A60" s="40">
        <v>0.25</v>
      </c>
      <c r="B60" s="40">
        <v>300</v>
      </c>
      <c r="C60" s="40"/>
      <c r="D60" s="35"/>
      <c r="E60" s="35"/>
      <c r="F60" s="35"/>
      <c r="G60" s="35"/>
      <c r="H60" s="35"/>
      <c r="I60" s="35"/>
      <c r="J60" s="35"/>
      <c r="L60" s="40">
        <v>0.25</v>
      </c>
      <c r="M60" s="40">
        <v>300</v>
      </c>
      <c r="N60" s="40"/>
    </row>
    <row r="61" spans="1:20" x14ac:dyDescent="0.2">
      <c r="A61" s="40">
        <v>0.18</v>
      </c>
      <c r="B61" s="40">
        <v>200</v>
      </c>
      <c r="C61" s="41">
        <f>+IRR(D50:I50,0.15)</f>
        <v>1.7788692951989926E-2</v>
      </c>
      <c r="D61" s="35"/>
      <c r="E61" s="35"/>
      <c r="F61" s="35"/>
      <c r="G61" s="35"/>
      <c r="H61" s="35"/>
      <c r="I61" s="35"/>
      <c r="J61" s="35"/>
      <c r="L61" s="40">
        <v>0.18</v>
      </c>
      <c r="M61" s="40">
        <v>200</v>
      </c>
      <c r="N61" s="41">
        <f>+IRR(O50:T50,0.15)</f>
        <v>-4.7333802253672341E-2</v>
      </c>
    </row>
    <row r="62" spans="1:20" x14ac:dyDescent="0.2">
      <c r="A62" s="40">
        <v>0.18</v>
      </c>
      <c r="B62" s="40">
        <v>300</v>
      </c>
      <c r="C62" s="40"/>
      <c r="D62" s="35"/>
      <c r="E62" s="35"/>
      <c r="F62" s="35"/>
      <c r="G62" s="35"/>
      <c r="H62" s="35"/>
      <c r="I62" s="35"/>
      <c r="J62" s="35"/>
      <c r="L62" s="40">
        <v>0.18</v>
      </c>
      <c r="M62" s="40">
        <v>300</v>
      </c>
      <c r="N62" s="40"/>
    </row>
    <row r="63" spans="1:20" x14ac:dyDescent="0.2">
      <c r="A63" s="40">
        <v>0.13</v>
      </c>
      <c r="B63" s="40">
        <v>200</v>
      </c>
      <c r="C63" s="41">
        <f>+IRR(D52:I52,0.15)</f>
        <v>-5.435227273664156E-2</v>
      </c>
      <c r="D63" s="35"/>
      <c r="E63" s="35"/>
      <c r="F63" s="35"/>
      <c r="G63" s="35"/>
      <c r="H63" s="35"/>
      <c r="I63" s="35"/>
      <c r="J63" s="35"/>
      <c r="L63" s="40">
        <v>0.13</v>
      </c>
      <c r="M63" s="40">
        <v>200</v>
      </c>
      <c r="N63" s="41">
        <f>+IRR(O52:T52,0.15)</f>
        <v>-0.11234490336172098</v>
      </c>
    </row>
    <row r="64" spans="1:20" x14ac:dyDescent="0.2">
      <c r="A64" s="40">
        <v>0.13</v>
      </c>
      <c r="B64" s="40">
        <v>300</v>
      </c>
      <c r="C64" s="41">
        <f>+IRR(D53:I53,0.15)</f>
        <v>0.13152745054999682</v>
      </c>
      <c r="D64" s="35"/>
      <c r="E64" s="35"/>
      <c r="F64" s="35"/>
      <c r="G64" s="35"/>
      <c r="H64" s="35"/>
      <c r="I64" s="35"/>
      <c r="J64" s="35"/>
      <c r="L64" s="40">
        <v>0.13</v>
      </c>
      <c r="M64" s="40">
        <v>300</v>
      </c>
      <c r="N64" s="41">
        <f>+IRR(O53:T53,0.15)</f>
        <v>7.1127189381988254E-2</v>
      </c>
    </row>
    <row r="65" spans="1:14" x14ac:dyDescent="0.2">
      <c r="A65" s="40">
        <v>0.09</v>
      </c>
      <c r="B65" s="40">
        <v>200</v>
      </c>
      <c r="C65" s="40"/>
      <c r="D65" s="35"/>
      <c r="E65" s="35"/>
      <c r="F65" s="35"/>
      <c r="G65" s="35"/>
      <c r="H65" s="35"/>
      <c r="I65" s="35"/>
      <c r="J65" s="35"/>
      <c r="L65" s="40">
        <v>0.09</v>
      </c>
      <c r="M65" s="40">
        <v>200</v>
      </c>
      <c r="N65" s="40"/>
    </row>
    <row r="66" spans="1:14" x14ac:dyDescent="0.2">
      <c r="A66" s="40">
        <v>0.09</v>
      </c>
      <c r="B66" s="40">
        <v>300</v>
      </c>
      <c r="C66" s="40"/>
      <c r="D66" s="35"/>
      <c r="E66" s="35"/>
      <c r="F66" s="35"/>
      <c r="G66" s="35"/>
      <c r="H66" s="35"/>
      <c r="I66" s="35"/>
      <c r="J66" s="35"/>
      <c r="L66" s="40">
        <v>0.09</v>
      </c>
      <c r="M66" s="40">
        <v>300</v>
      </c>
      <c r="N66" s="40"/>
    </row>
    <row r="67" spans="1:14" x14ac:dyDescent="0.2">
      <c r="A67" s="40">
        <v>6.5000000000000002E-2</v>
      </c>
      <c r="B67" s="40">
        <v>200</v>
      </c>
      <c r="C67" s="40"/>
      <c r="D67" s="35"/>
      <c r="E67" s="35"/>
      <c r="F67" s="35"/>
      <c r="G67" s="35"/>
      <c r="H67" s="35"/>
      <c r="I67" s="35"/>
      <c r="J67" s="35"/>
      <c r="L67" s="40">
        <v>6.5000000000000002E-2</v>
      </c>
      <c r="M67" s="40">
        <v>200</v>
      </c>
      <c r="N67" s="40"/>
    </row>
    <row r="68" spans="1:14" x14ac:dyDescent="0.2">
      <c r="A68" s="40">
        <v>6.5000000000000002E-2</v>
      </c>
      <c r="B68" s="40">
        <v>300</v>
      </c>
      <c r="C68" s="40"/>
      <c r="D68" s="35"/>
      <c r="E68" s="35"/>
      <c r="F68" s="35"/>
      <c r="G68" s="35"/>
      <c r="H68" s="35"/>
      <c r="I68" s="35"/>
      <c r="J68" s="35"/>
      <c r="L68" s="40">
        <v>6.5000000000000002E-2</v>
      </c>
      <c r="M68" s="40">
        <v>300</v>
      </c>
      <c r="N68" s="40"/>
    </row>
    <row r="69" spans="1:14" x14ac:dyDescent="0.2">
      <c r="D69" s="35"/>
      <c r="E69" s="35"/>
      <c r="F69" s="35"/>
      <c r="G69" s="35"/>
      <c r="H69" s="35"/>
      <c r="I69" s="35"/>
      <c r="J69" s="35"/>
    </row>
    <row r="70" spans="1:14" x14ac:dyDescent="0.2">
      <c r="A70" s="25" t="s">
        <v>159</v>
      </c>
      <c r="D70" s="35"/>
      <c r="E70" s="35"/>
      <c r="F70" s="35"/>
      <c r="G70" s="35"/>
      <c r="H70" s="35"/>
      <c r="I70" s="35"/>
      <c r="J70" s="35"/>
    </row>
    <row r="71" spans="1:14" x14ac:dyDescent="0.2">
      <c r="A71" s="25" t="s">
        <v>151</v>
      </c>
      <c r="B71" s="25" t="s">
        <v>153</v>
      </c>
      <c r="D71" s="35"/>
      <c r="E71" s="35"/>
      <c r="F71" s="35"/>
      <c r="G71" s="35"/>
      <c r="H71" s="35"/>
      <c r="I71" s="35"/>
      <c r="J71" s="35"/>
    </row>
    <row r="72" spans="1:14" x14ac:dyDescent="0.2">
      <c r="A72" s="25">
        <v>0.25</v>
      </c>
      <c r="B72" s="25">
        <v>200</v>
      </c>
      <c r="D72" s="35">
        <f>+'LEM cost side'!D240*'LEM cost side'!E196</f>
        <v>0</v>
      </c>
      <c r="E72" s="35"/>
      <c r="F72" s="35"/>
      <c r="G72" s="35"/>
      <c r="H72" s="35"/>
      <c r="I72" s="35"/>
      <c r="J72" s="35"/>
    </row>
    <row r="73" spans="1:14" x14ac:dyDescent="0.2">
      <c r="A73" s="25">
        <v>0.25</v>
      </c>
      <c r="B73" s="25">
        <v>300</v>
      </c>
      <c r="D73" s="35">
        <f>+'LEM cost side'!D241*'LEM cost side'!E197</f>
        <v>0</v>
      </c>
      <c r="E73" s="35"/>
      <c r="F73" s="35"/>
      <c r="G73" s="35"/>
      <c r="H73" s="35"/>
      <c r="I73" s="35"/>
      <c r="J73" s="35"/>
    </row>
    <row r="74" spans="1:14" x14ac:dyDescent="0.2">
      <c r="A74" s="25">
        <v>0.18</v>
      </c>
      <c r="B74" s="25">
        <v>200</v>
      </c>
      <c r="D74" s="35">
        <f>+'LEM cost side'!D242*'LEM cost side'!E198</f>
        <v>44.81538014310496</v>
      </c>
      <c r="E74" s="35"/>
      <c r="F74" s="35"/>
      <c r="G74" s="35"/>
      <c r="H74" s="35"/>
      <c r="I74" s="35"/>
      <c r="J74" s="35"/>
    </row>
    <row r="75" spans="1:14" x14ac:dyDescent="0.2">
      <c r="A75" s="25">
        <v>0.18</v>
      </c>
      <c r="B75" s="25">
        <v>300</v>
      </c>
      <c r="D75" s="35">
        <f>+'LEM cost side'!D243*'LEM cost side'!E199</f>
        <v>0</v>
      </c>
      <c r="E75" s="35"/>
      <c r="F75" s="35"/>
      <c r="G75" s="35"/>
      <c r="H75" s="35"/>
      <c r="I75" s="35"/>
      <c r="J75" s="35"/>
    </row>
    <row r="76" spans="1:14" x14ac:dyDescent="0.2">
      <c r="A76" s="25">
        <v>0.13</v>
      </c>
      <c r="B76" s="25">
        <v>200</v>
      </c>
      <c r="D76" s="35">
        <f>+'LEM cost side'!D244*'LEM cost side'!E200</f>
        <v>42.337413810171135</v>
      </c>
      <c r="E76" s="35"/>
      <c r="F76" s="35"/>
      <c r="G76" s="35"/>
      <c r="H76" s="35"/>
      <c r="I76" s="35"/>
      <c r="J76" s="35"/>
    </row>
    <row r="77" spans="1:14" x14ac:dyDescent="0.2">
      <c r="A77" s="25">
        <v>0.13</v>
      </c>
      <c r="B77" s="25">
        <v>300</v>
      </c>
      <c r="D77" s="35">
        <f>+'LEM cost side'!D245*'LEM cost side'!E201</f>
        <v>0</v>
      </c>
      <c r="E77" s="35"/>
      <c r="F77" s="35"/>
      <c r="G77" s="35"/>
      <c r="H77" s="35"/>
      <c r="I77" s="35"/>
      <c r="J77" s="35"/>
    </row>
    <row r="78" spans="1:14" x14ac:dyDescent="0.2">
      <c r="A78" s="25">
        <v>0.09</v>
      </c>
      <c r="B78" s="25">
        <v>200</v>
      </c>
      <c r="D78" s="35">
        <f>+'LEM cost side'!D246*'LEM cost side'!E202</f>
        <v>0</v>
      </c>
      <c r="E78" s="35"/>
      <c r="F78" s="35"/>
      <c r="G78" s="35"/>
      <c r="H78" s="35"/>
      <c r="I78" s="35"/>
      <c r="J78" s="35"/>
    </row>
    <row r="79" spans="1:14" x14ac:dyDescent="0.2">
      <c r="A79" s="25">
        <v>0.09</v>
      </c>
      <c r="B79" s="25">
        <v>300</v>
      </c>
      <c r="D79" s="35">
        <f>+'LEM cost side'!D247*'LEM cost side'!E203</f>
        <v>0</v>
      </c>
      <c r="E79" s="35"/>
      <c r="F79" s="35"/>
      <c r="G79" s="35"/>
      <c r="H79" s="35"/>
      <c r="I79" s="35"/>
      <c r="J79" s="35"/>
    </row>
    <row r="80" spans="1:14" x14ac:dyDescent="0.2">
      <c r="A80" s="25">
        <v>6.5000000000000002E-2</v>
      </c>
      <c r="B80" s="25">
        <v>200</v>
      </c>
      <c r="D80" s="35">
        <f>+'LEM cost side'!D248*'LEM cost side'!E204</f>
        <v>0</v>
      </c>
      <c r="E80" s="35"/>
      <c r="F80" s="35"/>
      <c r="G80" s="35"/>
      <c r="H80" s="35"/>
      <c r="I80" s="35"/>
      <c r="J80" s="35"/>
    </row>
    <row r="81" spans="1:10" x14ac:dyDescent="0.2">
      <c r="A81" s="25">
        <v>6.5000000000000002E-2</v>
      </c>
      <c r="B81" s="25">
        <v>300</v>
      </c>
      <c r="D81" s="35">
        <f>+'LEM cost side'!D249*'LEM cost side'!E205</f>
        <v>0</v>
      </c>
      <c r="E81" s="35"/>
      <c r="F81" s="35"/>
      <c r="G81" s="35"/>
      <c r="H81" s="35"/>
      <c r="I81" s="35"/>
      <c r="J81" s="35"/>
    </row>
    <row r="82" spans="1:10" x14ac:dyDescent="0.2">
      <c r="A82" s="25" t="s">
        <v>152</v>
      </c>
      <c r="B82" s="25" t="s">
        <v>153</v>
      </c>
      <c r="D82" s="35"/>
      <c r="E82" s="35"/>
      <c r="F82" s="35"/>
      <c r="G82" s="35"/>
      <c r="H82" s="35"/>
      <c r="I82" s="35"/>
      <c r="J82" s="35"/>
    </row>
    <row r="83" spans="1:10" x14ac:dyDescent="0.2">
      <c r="A83" s="25">
        <v>0.25</v>
      </c>
      <c r="B83" s="25">
        <v>200</v>
      </c>
      <c r="D83" s="35">
        <f>+'LEM cost side'!D160*20*'LEM cost side'!E196</f>
        <v>0</v>
      </c>
      <c r="E83" s="35"/>
      <c r="F83" s="35"/>
      <c r="G83" s="35"/>
      <c r="H83" s="35"/>
      <c r="I83" s="35"/>
      <c r="J83" s="35"/>
    </row>
    <row r="84" spans="1:10" x14ac:dyDescent="0.2">
      <c r="A84" s="25">
        <v>0.25</v>
      </c>
      <c r="B84" s="25">
        <v>300</v>
      </c>
      <c r="D84" s="35">
        <f>+'LEM cost side'!D161*20*'LEM cost side'!E197</f>
        <v>0</v>
      </c>
      <c r="E84" s="35"/>
      <c r="F84" s="35"/>
      <c r="G84" s="35"/>
      <c r="H84" s="35"/>
      <c r="I84" s="35"/>
      <c r="J84" s="35"/>
    </row>
    <row r="85" spans="1:10" x14ac:dyDescent="0.2">
      <c r="A85" s="25">
        <v>0.18</v>
      </c>
      <c r="B85" s="25">
        <v>200</v>
      </c>
      <c r="D85" s="35">
        <f>+'LEM cost side'!D162*20*'LEM cost side'!E198</f>
        <v>157.40692989769687</v>
      </c>
      <c r="E85" s="35"/>
      <c r="F85" s="35"/>
      <c r="G85" s="35"/>
      <c r="H85" s="35"/>
      <c r="I85" s="35"/>
      <c r="J85" s="35"/>
    </row>
    <row r="86" spans="1:10" x14ac:dyDescent="0.2">
      <c r="A86" s="25">
        <v>0.18</v>
      </c>
      <c r="B86" s="25">
        <v>300</v>
      </c>
      <c r="D86" s="35">
        <f>+'LEM cost side'!D163*20*'LEM cost side'!E199</f>
        <v>0</v>
      </c>
      <c r="E86" s="35"/>
      <c r="F86" s="35"/>
      <c r="G86" s="35"/>
      <c r="H86" s="35"/>
      <c r="I86" s="35"/>
      <c r="J86" s="35"/>
    </row>
    <row r="87" spans="1:10" x14ac:dyDescent="0.2">
      <c r="A87" s="25">
        <v>0.13</v>
      </c>
      <c r="B87" s="25">
        <v>200</v>
      </c>
      <c r="D87" s="35">
        <f>+'LEM cost side'!D164*20*'LEM cost side'!E200</f>
        <v>228.36383984433425</v>
      </c>
      <c r="E87" s="35"/>
      <c r="F87" s="35"/>
      <c r="G87" s="35"/>
      <c r="H87" s="35"/>
      <c r="I87" s="35"/>
      <c r="J87" s="35"/>
    </row>
    <row r="88" spans="1:10" x14ac:dyDescent="0.2">
      <c r="A88" s="25">
        <v>0.13</v>
      </c>
      <c r="B88" s="25">
        <v>300</v>
      </c>
      <c r="D88" s="35">
        <f>+'LEM cost side'!D165*20*'LEM cost side'!E201</f>
        <v>0</v>
      </c>
      <c r="E88" s="35"/>
      <c r="F88" s="35"/>
      <c r="G88" s="35"/>
      <c r="H88" s="35"/>
      <c r="I88" s="35"/>
      <c r="J88" s="35"/>
    </row>
    <row r="89" spans="1:10" x14ac:dyDescent="0.2">
      <c r="A89" s="25">
        <v>0.09</v>
      </c>
      <c r="B89" s="25">
        <v>200</v>
      </c>
      <c r="D89" s="35">
        <f>+'LEM cost side'!D166*20*'LEM cost side'!E202</f>
        <v>0</v>
      </c>
      <c r="E89" s="35"/>
      <c r="F89" s="35"/>
      <c r="G89" s="35"/>
      <c r="H89" s="35"/>
      <c r="I89" s="35"/>
      <c r="J89" s="35"/>
    </row>
    <row r="90" spans="1:10" x14ac:dyDescent="0.2">
      <c r="A90" s="25">
        <v>0.09</v>
      </c>
      <c r="B90" s="25">
        <v>300</v>
      </c>
      <c r="D90" s="35">
        <f>+'LEM cost side'!D167*20*'LEM cost side'!E203</f>
        <v>0</v>
      </c>
      <c r="E90" s="35"/>
      <c r="F90" s="35"/>
      <c r="G90" s="35"/>
      <c r="H90" s="35"/>
      <c r="I90" s="35"/>
      <c r="J90" s="35"/>
    </row>
    <row r="91" spans="1:10" x14ac:dyDescent="0.2">
      <c r="A91" s="25">
        <v>6.5000000000000002E-2</v>
      </c>
      <c r="B91" s="25">
        <v>200</v>
      </c>
      <c r="D91" s="35">
        <f>+'LEM cost side'!D168*20*'LEM cost side'!E204</f>
        <v>0</v>
      </c>
      <c r="E91" s="35"/>
      <c r="F91" s="35"/>
      <c r="G91" s="35"/>
      <c r="H91" s="35"/>
      <c r="I91" s="35"/>
      <c r="J91" s="35"/>
    </row>
    <row r="92" spans="1:10" x14ac:dyDescent="0.2">
      <c r="A92" s="25">
        <v>6.5000000000000002E-2</v>
      </c>
      <c r="B92" s="25">
        <v>300</v>
      </c>
      <c r="D92" s="35">
        <f>+'LEM cost side'!D169*20*'LEM cost side'!E205</f>
        <v>0</v>
      </c>
      <c r="E92" s="35"/>
      <c r="F92" s="35"/>
      <c r="G92" s="35"/>
      <c r="H92" s="35"/>
      <c r="I92" s="35"/>
      <c r="J92" s="35"/>
    </row>
    <row r="93" spans="1:10" x14ac:dyDescent="0.2">
      <c r="A93" s="25" t="s">
        <v>157</v>
      </c>
      <c r="B93" s="25" t="s">
        <v>153</v>
      </c>
      <c r="D93" s="35"/>
      <c r="E93" s="35"/>
      <c r="F93" s="35"/>
      <c r="G93" s="35"/>
      <c r="H93" s="35"/>
      <c r="I93" s="35"/>
      <c r="J93" s="35"/>
    </row>
    <row r="94" spans="1:10" x14ac:dyDescent="0.2">
      <c r="A94" s="25">
        <v>0.25</v>
      </c>
      <c r="B94" s="25">
        <v>200</v>
      </c>
      <c r="D94" s="35"/>
      <c r="E94" s="35"/>
      <c r="F94" s="35"/>
      <c r="G94" s="35"/>
      <c r="H94" s="35"/>
      <c r="I94" s="35"/>
      <c r="J94" s="35"/>
    </row>
    <row r="95" spans="1:10" x14ac:dyDescent="0.2">
      <c r="A95" s="25">
        <v>0.25</v>
      </c>
      <c r="B95" s="25">
        <v>300</v>
      </c>
      <c r="D95" s="35"/>
      <c r="E95" s="35"/>
      <c r="F95" s="35"/>
      <c r="G95" s="35"/>
      <c r="H95" s="35"/>
      <c r="I95" s="35"/>
      <c r="J95" s="35"/>
    </row>
    <row r="96" spans="1:10" x14ac:dyDescent="0.2">
      <c r="A96" s="25">
        <v>0.18</v>
      </c>
      <c r="B96" s="25">
        <v>200</v>
      </c>
      <c r="D96" s="35"/>
      <c r="E96" s="35">
        <f>+('LEM cost side'!E78*'Capacity&amp;Price Calculation'!D163-'LEM cost side'!E76*'Capacity&amp;Price Calculation'!D$40)*20*12/1000</f>
        <v>-10.186518778377431</v>
      </c>
      <c r="F96" s="35">
        <f>+('LEM cost side'!F78*'Capacity&amp;Price Calculation'!E163-'LEM cost side'!F76*'Capacity&amp;Price Calculation'!E40)*20*12/1000</f>
        <v>-3.6550002927730749</v>
      </c>
      <c r="G96" s="35">
        <f>+('LEM cost side'!G78*'Capacity&amp;Price Calculation'!F163-'LEM cost side'!G76*'Capacity&amp;Price Calculation'!F40)*20*12/1000</f>
        <v>-7.4079170735785737E-6</v>
      </c>
      <c r="H96" s="35">
        <f>+('LEM cost side'!H78*'Capacity&amp;Price Calculation'!G163-'LEM cost side'!H76*'Capacity&amp;Price Calculation'!G40)*20*12/1000</f>
        <v>1.5623207655153238E-5</v>
      </c>
      <c r="I96" s="35">
        <f>+('LEM cost side'!I78*'Capacity&amp;Price Calculation'!H163-'LEM cost side'!I76*'Capacity&amp;Price Calculation'!H40)*20*12/1000</f>
        <v>0</v>
      </c>
      <c r="J96" s="35"/>
    </row>
    <row r="97" spans="1:10" x14ac:dyDescent="0.2">
      <c r="A97" s="25">
        <v>0.18</v>
      </c>
      <c r="B97" s="25">
        <v>300</v>
      </c>
      <c r="D97" s="35"/>
      <c r="E97" s="35"/>
      <c r="F97" s="35"/>
      <c r="G97" s="35"/>
      <c r="H97" s="35"/>
      <c r="I97" s="35"/>
      <c r="J97" s="35"/>
    </row>
    <row r="98" spans="1:10" x14ac:dyDescent="0.2">
      <c r="A98" s="25">
        <v>0.13</v>
      </c>
      <c r="B98" s="25">
        <v>200</v>
      </c>
      <c r="D98" s="35"/>
      <c r="E98" s="35">
        <f>+('LEM cost side'!E80*'Capacity&amp;Price Calculation'!D165-'LEM cost side'!E78*'Capacity&amp;Price Calculation'!D$40)*20*12/1000</f>
        <v>-50.247348350229352</v>
      </c>
      <c r="F98" s="35">
        <f>+('LEM cost side'!F80*'Capacity&amp;Price Calculation'!E165-'LEM cost side'!F78*'Capacity&amp;Price Calculation'!E$40)*20*12/1000</f>
        <v>-13.487130630125558</v>
      </c>
      <c r="G98" s="35">
        <f>+('LEM cost side'!G80*'Capacity&amp;Price Calculation'!F165-'LEM cost side'!G78*'Capacity&amp;Price Calculation'!F$40)*20*12/1000</f>
        <v>-9.9903055523901276</v>
      </c>
      <c r="H98" s="35">
        <f>+('LEM cost side'!H80*'Capacity&amp;Price Calculation'!G165-'LEM cost side'!H78*'Capacity&amp;Price Calculation'!G$40)*20*12/1000</f>
        <v>-3.7190779101159932</v>
      </c>
      <c r="I98" s="35">
        <f>+('LEM cost side'!I80*'Capacity&amp;Price Calculation'!H165-'LEM cost side'!I78*'Capacity&amp;Price Calculation'!H$40)*20*12/1000</f>
        <v>-6.3709066380397418E-5</v>
      </c>
      <c r="J98" s="35"/>
    </row>
    <row r="99" spans="1:10" x14ac:dyDescent="0.2">
      <c r="A99" s="25">
        <v>0.13</v>
      </c>
      <c r="B99" s="25">
        <v>300</v>
      </c>
      <c r="D99" s="35"/>
      <c r="E99" s="35"/>
      <c r="F99" s="35"/>
      <c r="G99" s="35"/>
      <c r="H99" s="35"/>
      <c r="I99" s="35"/>
      <c r="J99" s="35"/>
    </row>
    <row r="100" spans="1:10" x14ac:dyDescent="0.2">
      <c r="A100" s="25">
        <v>0.09</v>
      </c>
      <c r="B100" s="25">
        <v>200</v>
      </c>
      <c r="D100" s="35"/>
      <c r="E100" s="35"/>
      <c r="F100" s="35"/>
      <c r="G100" s="35"/>
      <c r="H100" s="35"/>
      <c r="I100" s="35"/>
      <c r="J100" s="35"/>
    </row>
    <row r="101" spans="1:10" x14ac:dyDescent="0.2">
      <c r="A101" s="25">
        <v>0.09</v>
      </c>
      <c r="B101" s="25">
        <v>300</v>
      </c>
      <c r="D101" s="35"/>
      <c r="E101" s="35"/>
      <c r="F101" s="35"/>
      <c r="G101" s="35"/>
      <c r="H101" s="35"/>
      <c r="I101" s="35"/>
      <c r="J101" s="35"/>
    </row>
    <row r="102" spans="1:10" x14ac:dyDescent="0.2">
      <c r="A102" s="25">
        <v>6.5000000000000002E-2</v>
      </c>
      <c r="B102" s="25">
        <v>200</v>
      </c>
      <c r="D102" s="35"/>
      <c r="E102" s="35"/>
      <c r="F102" s="35"/>
      <c r="G102" s="35"/>
      <c r="H102" s="35"/>
      <c r="I102" s="35"/>
      <c r="J102" s="35"/>
    </row>
    <row r="103" spans="1:10" x14ac:dyDescent="0.2">
      <c r="A103" s="25">
        <v>6.5000000000000002E-2</v>
      </c>
      <c r="B103" s="25">
        <v>300</v>
      </c>
      <c r="D103" s="35"/>
      <c r="E103" s="35"/>
      <c r="F103" s="35"/>
      <c r="G103" s="35"/>
      <c r="H103" s="35"/>
      <c r="I103" s="35"/>
      <c r="J103" s="35"/>
    </row>
    <row r="104" spans="1:10" x14ac:dyDescent="0.2">
      <c r="A104" s="25" t="s">
        <v>166</v>
      </c>
      <c r="B104" s="25" t="s">
        <v>153</v>
      </c>
      <c r="D104" s="35"/>
      <c r="E104" s="35"/>
      <c r="F104" s="35"/>
      <c r="G104" s="35"/>
      <c r="H104" s="35"/>
      <c r="I104" s="35"/>
      <c r="J104" s="35"/>
    </row>
    <row r="105" spans="1:10" x14ac:dyDescent="0.2">
      <c r="A105" s="25">
        <v>0.25</v>
      </c>
      <c r="B105" s="25">
        <v>200</v>
      </c>
      <c r="D105" s="35"/>
      <c r="E105" s="35"/>
      <c r="F105" s="35"/>
      <c r="G105" s="35"/>
      <c r="H105" s="35"/>
      <c r="I105" s="35"/>
      <c r="J105" s="35"/>
    </row>
    <row r="106" spans="1:10" x14ac:dyDescent="0.2">
      <c r="A106" s="25">
        <v>0.25</v>
      </c>
      <c r="B106" s="25">
        <v>300</v>
      </c>
      <c r="D106" s="35"/>
      <c r="E106" s="35"/>
      <c r="F106" s="35"/>
      <c r="G106" s="35"/>
      <c r="H106" s="35"/>
      <c r="I106" s="35"/>
      <c r="J106" s="35"/>
    </row>
    <row r="107" spans="1:10" x14ac:dyDescent="0.2">
      <c r="A107" s="25">
        <v>0.18</v>
      </c>
      <c r="B107" s="25">
        <v>200</v>
      </c>
      <c r="D107" s="35"/>
      <c r="E107" s="35">
        <f>+E28-E26</f>
        <v>12.00051048064708</v>
      </c>
      <c r="F107" s="35">
        <f t="shared" ref="F107:I109" si="7">+F28-F26</f>
        <v>13.443420527546635</v>
      </c>
      <c r="G107" s="35">
        <f t="shared" si="7"/>
        <v>14.103935648994167</v>
      </c>
      <c r="H107" s="35">
        <f t="shared" si="7"/>
        <v>14.103939973025774</v>
      </c>
      <c r="I107" s="35">
        <f t="shared" si="7"/>
        <v>14.103936879972565</v>
      </c>
      <c r="J107" s="35"/>
    </row>
    <row r="108" spans="1:10" x14ac:dyDescent="0.2">
      <c r="A108" s="25">
        <v>0.18</v>
      </c>
      <c r="B108" s="25">
        <v>300</v>
      </c>
      <c r="D108" s="35"/>
      <c r="E108" s="35"/>
      <c r="F108" s="35"/>
      <c r="G108" s="35"/>
      <c r="H108" s="35"/>
      <c r="I108" s="35"/>
      <c r="J108" s="35"/>
    </row>
    <row r="109" spans="1:10" x14ac:dyDescent="0.2">
      <c r="A109" s="25">
        <v>0.13</v>
      </c>
      <c r="B109" s="25">
        <v>200</v>
      </c>
      <c r="D109" s="35"/>
      <c r="E109" s="35">
        <f>+E30-E28</f>
        <v>0.2686260729616663</v>
      </c>
      <c r="F109" s="35">
        <f t="shared" si="7"/>
        <v>8.1871332376522901</v>
      </c>
      <c r="G109" s="35">
        <f t="shared" si="7"/>
        <v>8.9638120443841274</v>
      </c>
      <c r="H109" s="35">
        <f t="shared" si="7"/>
        <v>9.8874082289914327</v>
      </c>
      <c r="I109" s="35">
        <f t="shared" si="7"/>
        <v>10.62365789806978</v>
      </c>
      <c r="J109" s="35"/>
    </row>
    <row r="110" spans="1:10" x14ac:dyDescent="0.2">
      <c r="A110" s="25">
        <v>0.13</v>
      </c>
      <c r="B110" s="25">
        <v>300</v>
      </c>
      <c r="D110" s="35"/>
      <c r="E110" s="35"/>
      <c r="F110" s="35"/>
      <c r="G110" s="35"/>
      <c r="H110" s="35"/>
      <c r="I110" s="35"/>
      <c r="J110" s="35"/>
    </row>
    <row r="111" spans="1:10" x14ac:dyDescent="0.2">
      <c r="A111" s="25">
        <v>0.09</v>
      </c>
      <c r="B111" s="25">
        <v>200</v>
      </c>
      <c r="D111" s="35"/>
      <c r="E111" s="35"/>
      <c r="F111" s="35"/>
      <c r="G111" s="35"/>
      <c r="H111" s="35"/>
      <c r="I111" s="35"/>
      <c r="J111" s="35"/>
    </row>
    <row r="112" spans="1:10" x14ac:dyDescent="0.2">
      <c r="A112" s="25">
        <v>0.09</v>
      </c>
      <c r="B112" s="25">
        <v>300</v>
      </c>
      <c r="D112" s="35"/>
      <c r="E112" s="35"/>
      <c r="F112" s="35"/>
      <c r="G112" s="35"/>
      <c r="H112" s="35"/>
      <c r="I112" s="35"/>
      <c r="J112" s="35"/>
    </row>
    <row r="113" spans="1:10" x14ac:dyDescent="0.2">
      <c r="A113" s="25">
        <v>6.5000000000000002E-2</v>
      </c>
      <c r="B113" s="25">
        <v>200</v>
      </c>
      <c r="D113" s="35"/>
      <c r="E113" s="35"/>
      <c r="F113" s="35"/>
      <c r="G113" s="35"/>
      <c r="H113" s="35"/>
      <c r="I113" s="35"/>
      <c r="J113" s="35"/>
    </row>
    <row r="114" spans="1:10" x14ac:dyDescent="0.2">
      <c r="A114" s="25">
        <v>6.5000000000000002E-2</v>
      </c>
      <c r="B114" s="25">
        <v>300</v>
      </c>
      <c r="D114" s="35"/>
      <c r="E114" s="35"/>
      <c r="F114" s="35"/>
      <c r="G114" s="35"/>
      <c r="H114" s="35"/>
      <c r="I114" s="35"/>
      <c r="J114" s="35"/>
    </row>
    <row r="115" spans="1:10" x14ac:dyDescent="0.2">
      <c r="A115" s="25" t="s">
        <v>158</v>
      </c>
      <c r="D115" s="35"/>
      <c r="E115" s="35"/>
      <c r="F115" s="35"/>
      <c r="G115" s="35"/>
      <c r="H115" s="35"/>
      <c r="I115" s="35"/>
      <c r="J115" s="35"/>
    </row>
    <row r="116" spans="1:10" x14ac:dyDescent="0.2">
      <c r="A116" s="25">
        <v>0.25</v>
      </c>
      <c r="B116" s="25">
        <v>200</v>
      </c>
      <c r="D116" s="35">
        <f t="shared" ref="D116:D125" si="8">-D83-D72</f>
        <v>0</v>
      </c>
      <c r="E116" s="35"/>
      <c r="F116" s="35"/>
      <c r="G116" s="35"/>
      <c r="H116" s="35"/>
      <c r="I116" s="35"/>
      <c r="J116" s="35"/>
    </row>
    <row r="117" spans="1:10" x14ac:dyDescent="0.2">
      <c r="A117" s="25">
        <v>0.25</v>
      </c>
      <c r="B117" s="25">
        <v>300</v>
      </c>
      <c r="D117" s="35">
        <f t="shared" si="8"/>
        <v>0</v>
      </c>
      <c r="E117" s="35"/>
      <c r="F117" s="35"/>
      <c r="G117" s="35"/>
      <c r="H117" s="35"/>
      <c r="I117" s="35"/>
      <c r="J117" s="35"/>
    </row>
    <row r="118" spans="1:10" x14ac:dyDescent="0.2">
      <c r="A118" s="25">
        <v>0.18</v>
      </c>
      <c r="B118" s="25">
        <v>200</v>
      </c>
      <c r="D118" s="35">
        <f t="shared" si="8"/>
        <v>-202.22231004080183</v>
      </c>
      <c r="E118" s="35">
        <f>+E96-E107</f>
        <v>-22.187029259024513</v>
      </c>
      <c r="F118" s="35">
        <f>+F96-F107</f>
        <v>-17.09842082031971</v>
      </c>
      <c r="G118" s="35">
        <f>+G96-G107</f>
        <v>-14.103943056911241</v>
      </c>
      <c r="H118" s="35">
        <f>+H96-H107</f>
        <v>-14.103924349818119</v>
      </c>
      <c r="I118" s="35">
        <f>+I96-I107</f>
        <v>-14.103936879972565</v>
      </c>
      <c r="J118" s="35"/>
    </row>
    <row r="119" spans="1:10" x14ac:dyDescent="0.2">
      <c r="A119" s="25">
        <v>0.18</v>
      </c>
      <c r="B119" s="25">
        <v>300</v>
      </c>
      <c r="D119" s="35">
        <f t="shared" si="8"/>
        <v>0</v>
      </c>
      <c r="E119" s="35"/>
      <c r="F119" s="35"/>
      <c r="G119" s="35"/>
      <c r="H119" s="35"/>
      <c r="I119" s="35"/>
      <c r="J119" s="35"/>
    </row>
    <row r="120" spans="1:10" x14ac:dyDescent="0.2">
      <c r="A120" s="25">
        <v>0.13</v>
      </c>
      <c r="B120" s="25">
        <v>200</v>
      </c>
      <c r="D120" s="35">
        <f t="shared" si="8"/>
        <v>-270.70125365450536</v>
      </c>
      <c r="E120" s="35">
        <f>+E98-E109</f>
        <v>-50.515974423191018</v>
      </c>
      <c r="F120" s="35">
        <f>+F98-F109</f>
        <v>-21.674263867777846</v>
      </c>
      <c r="G120" s="35">
        <f>+G98-G109</f>
        <v>-18.954117596774253</v>
      </c>
      <c r="H120" s="35">
        <f>+H98-H109</f>
        <v>-13.606486139107426</v>
      </c>
      <c r="I120" s="35">
        <f>+I98-I109</f>
        <v>-10.62372160713616</v>
      </c>
      <c r="J120" s="35"/>
    </row>
    <row r="121" spans="1:10" x14ac:dyDescent="0.2">
      <c r="A121" s="25">
        <v>0.13</v>
      </c>
      <c r="B121" s="25">
        <v>300</v>
      </c>
      <c r="D121" s="25">
        <f t="shared" si="8"/>
        <v>0</v>
      </c>
    </row>
    <row r="122" spans="1:10" x14ac:dyDescent="0.2">
      <c r="A122" s="25">
        <v>0.09</v>
      </c>
      <c r="B122" s="25">
        <v>200</v>
      </c>
      <c r="D122" s="25">
        <f t="shared" si="8"/>
        <v>0</v>
      </c>
    </row>
    <row r="123" spans="1:10" x14ac:dyDescent="0.2">
      <c r="A123" s="25">
        <v>0.09</v>
      </c>
      <c r="B123" s="25">
        <v>300</v>
      </c>
      <c r="D123" s="25">
        <f t="shared" si="8"/>
        <v>0</v>
      </c>
    </row>
    <row r="124" spans="1:10" x14ac:dyDescent="0.2">
      <c r="A124" s="25">
        <v>6.5000000000000002E-2</v>
      </c>
      <c r="B124" s="25">
        <v>200</v>
      </c>
      <c r="D124" s="25">
        <f t="shared" si="8"/>
        <v>0</v>
      </c>
    </row>
    <row r="125" spans="1:10" x14ac:dyDescent="0.2">
      <c r="A125" s="25">
        <v>6.5000000000000002E-2</v>
      </c>
      <c r="B125" s="25">
        <v>300</v>
      </c>
      <c r="D125" s="25">
        <f t="shared" si="8"/>
        <v>0</v>
      </c>
    </row>
    <row r="126" spans="1:10" x14ac:dyDescent="0.2">
      <c r="A126" s="40" t="s">
        <v>56</v>
      </c>
      <c r="B126" s="40"/>
      <c r="C126" s="40"/>
    </row>
    <row r="127" spans="1:10" x14ac:dyDescent="0.2">
      <c r="A127" s="40">
        <v>0.25</v>
      </c>
      <c r="B127" s="40">
        <v>200</v>
      </c>
      <c r="C127" s="41"/>
    </row>
    <row r="128" spans="1:10" x14ac:dyDescent="0.2">
      <c r="A128" s="40">
        <v>0.25</v>
      </c>
      <c r="B128" s="40">
        <v>300</v>
      </c>
      <c r="C128" s="40"/>
    </row>
    <row r="129" spans="1:3" x14ac:dyDescent="0.2">
      <c r="A129" s="40">
        <v>0.18</v>
      </c>
      <c r="B129" s="40">
        <v>200</v>
      </c>
      <c r="C129" s="41" t="e">
        <f>+IRR(D118:I118,0.15)</f>
        <v>#NUM!</v>
      </c>
    </row>
    <row r="130" spans="1:3" x14ac:dyDescent="0.2">
      <c r="A130" s="40">
        <v>0.18</v>
      </c>
      <c r="B130" s="40">
        <v>300</v>
      </c>
      <c r="C130" s="40"/>
    </row>
    <row r="131" spans="1:3" x14ac:dyDescent="0.2">
      <c r="A131" s="40">
        <v>0.13</v>
      </c>
      <c r="B131" s="40">
        <v>200</v>
      </c>
      <c r="C131" s="41" t="e">
        <f>+IRR(D120:I120,0.15)</f>
        <v>#NUM!</v>
      </c>
    </row>
    <row r="132" spans="1:3" x14ac:dyDescent="0.2">
      <c r="A132" s="40">
        <v>0.13</v>
      </c>
      <c r="B132" s="40">
        <v>300</v>
      </c>
      <c r="C132" s="41"/>
    </row>
    <row r="133" spans="1:3" x14ac:dyDescent="0.2">
      <c r="A133" s="40">
        <v>0.09</v>
      </c>
      <c r="B133" s="40">
        <v>200</v>
      </c>
      <c r="C133" s="40"/>
    </row>
    <row r="134" spans="1:3" x14ac:dyDescent="0.2">
      <c r="A134" s="40">
        <v>0.09</v>
      </c>
      <c r="B134" s="40">
        <v>300</v>
      </c>
      <c r="C134" s="40"/>
    </row>
    <row r="135" spans="1:3" x14ac:dyDescent="0.2">
      <c r="A135" s="40">
        <v>6.5000000000000002E-2</v>
      </c>
      <c r="B135" s="40">
        <v>200</v>
      </c>
      <c r="C135" s="40"/>
    </row>
    <row r="136" spans="1:3" x14ac:dyDescent="0.2">
      <c r="A136" s="40">
        <v>6.5000000000000002E-2</v>
      </c>
      <c r="B136" s="40">
        <v>300</v>
      </c>
      <c r="C136" s="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defaultRowHeight="13.2" x14ac:dyDescent="0.25"/>
  <cols>
    <col min="3" max="3" width="16.109375" customWidth="1"/>
    <col min="4" max="4" width="13.6640625" bestFit="1" customWidth="1"/>
    <col min="5" max="5" width="9.88671875" customWidth="1"/>
    <col min="6" max="8" width="11.6640625" customWidth="1"/>
  </cols>
  <sheetData>
    <row r="1" spans="1:8" x14ac:dyDescent="0.25">
      <c r="A1" s="9" t="s">
        <v>12</v>
      </c>
    </row>
    <row r="2" spans="1:8" x14ac:dyDescent="0.25">
      <c r="A2" t="s">
        <v>10</v>
      </c>
      <c r="C2" t="s">
        <v>11</v>
      </c>
    </row>
    <row r="3" spans="1:8" x14ac:dyDescent="0.25">
      <c r="C3" s="2">
        <v>2001</v>
      </c>
      <c r="D3" s="2">
        <v>2002</v>
      </c>
      <c r="E3" s="2">
        <v>2003</v>
      </c>
      <c r="F3" s="2">
        <v>2004</v>
      </c>
      <c r="G3" s="2">
        <v>2005</v>
      </c>
      <c r="H3" s="2">
        <v>2006</v>
      </c>
    </row>
    <row r="4" spans="1:8" x14ac:dyDescent="0.25">
      <c r="A4" t="s">
        <v>3</v>
      </c>
      <c r="C4" s="3"/>
      <c r="D4" s="3"/>
      <c r="E4" s="3"/>
      <c r="F4" s="3"/>
      <c r="G4" s="3"/>
      <c r="H4" s="3"/>
    </row>
    <row r="5" spans="1:8" x14ac:dyDescent="0.25">
      <c r="A5" t="s">
        <v>4</v>
      </c>
      <c r="C5" s="4">
        <v>1104.704</v>
      </c>
      <c r="D5" s="4">
        <v>498.23</v>
      </c>
      <c r="E5" s="4">
        <v>131.55699999999999</v>
      </c>
      <c r="F5" s="4">
        <v>22.812999999999999</v>
      </c>
      <c r="G5" s="4">
        <v>6.7130000000000001</v>
      </c>
      <c r="H5" s="5">
        <v>0</v>
      </c>
    </row>
    <row r="6" spans="1:8" x14ac:dyDescent="0.25">
      <c r="A6" s="1" t="s">
        <v>0</v>
      </c>
      <c r="C6" s="4">
        <v>2014.421</v>
      </c>
      <c r="D6" s="4">
        <v>1808.827</v>
      </c>
      <c r="E6" s="4">
        <v>1054.1890000000001</v>
      </c>
      <c r="F6" s="4">
        <v>646.58299999999997</v>
      </c>
      <c r="G6" s="4">
        <v>358.44099999999997</v>
      </c>
      <c r="H6" s="4">
        <v>119.373</v>
      </c>
    </row>
    <row r="7" spans="1:8" x14ac:dyDescent="0.25">
      <c r="A7" s="1" t="s">
        <v>1</v>
      </c>
      <c r="C7" s="4">
        <v>301.26100000000002</v>
      </c>
      <c r="D7" s="4">
        <v>1358.47</v>
      </c>
      <c r="E7" s="4">
        <v>2446.3820000000001</v>
      </c>
      <c r="F7" s="4">
        <v>2430.1039999999998</v>
      </c>
      <c r="G7" s="4">
        <v>1621.2729999999999</v>
      </c>
      <c r="H7" s="4">
        <v>1017.4640000000001</v>
      </c>
    </row>
    <row r="8" spans="1:8" x14ac:dyDescent="0.25">
      <c r="A8" s="1" t="s">
        <v>2</v>
      </c>
      <c r="C8" s="4">
        <v>0.05</v>
      </c>
      <c r="D8" s="4">
        <v>16.076000000000001</v>
      </c>
      <c r="E8" s="4">
        <v>357.94799999999998</v>
      </c>
      <c r="F8" s="4">
        <v>1188.3599999999999</v>
      </c>
      <c r="G8" s="4">
        <v>2252.9789999999998</v>
      </c>
      <c r="H8" s="4">
        <v>2551.86</v>
      </c>
    </row>
    <row r="9" spans="1:8" x14ac:dyDescent="0.25">
      <c r="A9" s="6" t="s">
        <v>7</v>
      </c>
      <c r="C9" s="5">
        <v>0</v>
      </c>
      <c r="D9" s="4">
        <v>0.14899999999999999</v>
      </c>
      <c r="E9" s="4">
        <v>12.326000000000001</v>
      </c>
      <c r="F9" s="4">
        <v>46.091999999999999</v>
      </c>
      <c r="G9" s="4">
        <v>372.83300000000003</v>
      </c>
      <c r="H9" s="4">
        <v>1369.549</v>
      </c>
    </row>
    <row r="10" spans="1:8" x14ac:dyDescent="0.25">
      <c r="A10" s="6" t="s">
        <v>6</v>
      </c>
      <c r="C10" s="8">
        <f t="shared" ref="C10:H10" si="0">+C5*0.25+C6*0.5+C7+2*C8+4*C9</f>
        <v>1584.7474999999999</v>
      </c>
      <c r="D10" s="8">
        <f t="shared" si="0"/>
        <v>2420.1889999999999</v>
      </c>
      <c r="E10" s="8">
        <f t="shared" si="0"/>
        <v>3771.5657499999998</v>
      </c>
      <c r="F10" s="8">
        <f t="shared" si="0"/>
        <v>5320.1867499999998</v>
      </c>
      <c r="G10" s="8">
        <f t="shared" si="0"/>
        <v>7799.4617500000004</v>
      </c>
      <c r="H10" s="8">
        <f t="shared" si="0"/>
        <v>11659.066500000001</v>
      </c>
    </row>
    <row r="11" spans="1:8" x14ac:dyDescent="0.25">
      <c r="A11" s="6" t="s">
        <v>86</v>
      </c>
      <c r="C11" s="8">
        <f t="shared" ref="C11:H11" si="1">+C10/(SUM(C5:C9))</f>
        <v>0.46331739579398645</v>
      </c>
      <c r="D11" s="8">
        <f t="shared" si="1"/>
        <v>0.65734709996762408</v>
      </c>
      <c r="E11" s="8">
        <f t="shared" si="1"/>
        <v>0.94232557099461767</v>
      </c>
      <c r="F11" s="8">
        <f t="shared" si="1"/>
        <v>1.2275601460283825</v>
      </c>
      <c r="G11" s="8">
        <f t="shared" si="1"/>
        <v>1.6910359046875068</v>
      </c>
      <c r="H11" s="8">
        <f t="shared" si="1"/>
        <v>2.3049623327928299</v>
      </c>
    </row>
    <row r="12" spans="1:8" x14ac:dyDescent="0.25">
      <c r="A12" s="6" t="s">
        <v>76</v>
      </c>
      <c r="C12" s="8">
        <f t="shared" ref="C12:H12" si="2">+C11/$C$11</f>
        <v>1</v>
      </c>
      <c r="D12" s="16">
        <f t="shared" si="2"/>
        <v>1.4187835508337199</v>
      </c>
      <c r="E12" s="8">
        <f t="shared" si="2"/>
        <v>2.0338661564385156</v>
      </c>
      <c r="F12" s="8">
        <f t="shared" si="2"/>
        <v>2.6495015235176185</v>
      </c>
      <c r="G12" s="8">
        <f t="shared" si="2"/>
        <v>3.649843325631192</v>
      </c>
      <c r="H12" s="8">
        <f t="shared" si="2"/>
        <v>4.974909972553089</v>
      </c>
    </row>
    <row r="13" spans="1:8" s="11" customFormat="1" x14ac:dyDescent="0.25">
      <c r="A13" s="10" t="s">
        <v>84</v>
      </c>
      <c r="D13" s="11">
        <f>+(D12-C12)/C12</f>
        <v>0.41878355083371988</v>
      </c>
      <c r="E13" s="11">
        <f>+(E12-D12)/D12</f>
        <v>0.43352814828121933</v>
      </c>
      <c r="F13" s="11">
        <f>+(F12-E12)/E12</f>
        <v>0.30269217329282683</v>
      </c>
      <c r="G13" s="11">
        <f>+(G12-F12)/F12</f>
        <v>0.37755849288415083</v>
      </c>
      <c r="H13" s="11">
        <f>+(H12-G12)/G12</f>
        <v>0.36304754168940784</v>
      </c>
    </row>
    <row r="14" spans="1:8" x14ac:dyDescent="0.25">
      <c r="A14" s="6" t="s">
        <v>5</v>
      </c>
    </row>
    <row r="15" spans="1:8" x14ac:dyDescent="0.25">
      <c r="A15" t="s">
        <v>4</v>
      </c>
      <c r="C15" s="7">
        <v>2.0859999999999999</v>
      </c>
      <c r="D15" s="7">
        <v>1.659</v>
      </c>
      <c r="E15" s="7">
        <v>1.6859999999999999</v>
      </c>
      <c r="F15" s="7">
        <v>1.5740000000000001</v>
      </c>
      <c r="G15" s="7">
        <v>1.341</v>
      </c>
      <c r="H15" s="7">
        <v>0</v>
      </c>
    </row>
    <row r="16" spans="1:8" x14ac:dyDescent="0.25">
      <c r="A16" s="1" t="s">
        <v>0</v>
      </c>
      <c r="C16" s="7">
        <v>3.181</v>
      </c>
      <c r="D16" s="7">
        <v>4.0739999999999998</v>
      </c>
      <c r="E16" s="7">
        <v>4.423</v>
      </c>
      <c r="F16" s="7">
        <v>3.7309999999999999</v>
      </c>
      <c r="G16" s="7">
        <v>2.04</v>
      </c>
      <c r="H16" s="7">
        <v>0.84399999999999997</v>
      </c>
    </row>
    <row r="17" spans="1:8" x14ac:dyDescent="0.25">
      <c r="A17" s="1" t="s">
        <v>1</v>
      </c>
      <c r="C17" s="7">
        <v>6.0869999999999997</v>
      </c>
      <c r="D17" s="7">
        <v>8.4450000000000003</v>
      </c>
      <c r="E17" s="7">
        <v>8.6579999999999995</v>
      </c>
      <c r="F17" s="7">
        <v>7.7519999999999998</v>
      </c>
      <c r="G17" s="7">
        <v>3.1070000000000002</v>
      </c>
      <c r="H17" s="7">
        <v>1.492</v>
      </c>
    </row>
    <row r="18" spans="1:8" x14ac:dyDescent="0.25">
      <c r="A18" s="1" t="s">
        <v>2</v>
      </c>
      <c r="C18" s="7">
        <v>150</v>
      </c>
      <c r="D18" s="7">
        <v>37.988</v>
      </c>
      <c r="E18" s="7">
        <v>18.161000000000001</v>
      </c>
      <c r="F18" s="7">
        <v>15.144</v>
      </c>
      <c r="G18" s="7">
        <v>5.4390000000000001</v>
      </c>
      <c r="H18" s="7">
        <v>2.7</v>
      </c>
    </row>
    <row r="19" spans="1:8" x14ac:dyDescent="0.25">
      <c r="A19" s="6" t="s">
        <v>7</v>
      </c>
      <c r="C19" s="7">
        <v>0</v>
      </c>
      <c r="D19" s="7">
        <v>166.84700000000001</v>
      </c>
      <c r="E19" s="7">
        <v>76.248000000000005</v>
      </c>
      <c r="F19" s="7">
        <v>39.576000000000001</v>
      </c>
      <c r="G19" s="7">
        <v>9.5890000000000004</v>
      </c>
      <c r="H19" s="7">
        <v>5.4349999999999996</v>
      </c>
    </row>
    <row r="20" spans="1:8" x14ac:dyDescent="0.25">
      <c r="A20" s="6" t="s">
        <v>8</v>
      </c>
      <c r="C20">
        <f t="shared" ref="C20:H20" si="3">+SUMPRODUCT(C5:C9,C15:C19)</f>
        <v>10553.561452000002</v>
      </c>
      <c r="D20">
        <f t="shared" si="3"/>
        <v>20303.559209000003</v>
      </c>
      <c r="E20">
        <f t="shared" si="3"/>
        <v>33505.784881</v>
      </c>
      <c r="F20">
        <f t="shared" si="3"/>
        <v>41107.135874999993</v>
      </c>
      <c r="G20">
        <f t="shared" si="3"/>
        <v>21606.565402</v>
      </c>
      <c r="H20">
        <f t="shared" si="3"/>
        <v>15952.327915</v>
      </c>
    </row>
    <row r="21" spans="1:8" s="11" customFormat="1" x14ac:dyDescent="0.25">
      <c r="A21" s="10" t="s">
        <v>9</v>
      </c>
      <c r="C21" s="11">
        <f t="shared" ref="C21:H21" si="4">+C20/C10</f>
        <v>6.6594592842077382</v>
      </c>
      <c r="D21" s="11">
        <f t="shared" si="4"/>
        <v>8.3892453064616053</v>
      </c>
      <c r="E21" s="11">
        <f t="shared" si="4"/>
        <v>8.8837864966294173</v>
      </c>
      <c r="F21" s="11">
        <f t="shared" si="4"/>
        <v>7.7266340086652026</v>
      </c>
      <c r="G21" s="11">
        <f t="shared" si="4"/>
        <v>2.7702636533860812</v>
      </c>
      <c r="H21" s="11">
        <f t="shared" si="4"/>
        <v>1.3682337187972982</v>
      </c>
    </row>
    <row r="22" spans="1:8" s="11" customFormat="1" x14ac:dyDescent="0.25">
      <c r="A22" s="10" t="s">
        <v>85</v>
      </c>
      <c r="C22" s="11">
        <f t="shared" ref="C22:H22" si="5">+C21/$C$21</f>
        <v>1</v>
      </c>
      <c r="D22" s="11">
        <f t="shared" si="5"/>
        <v>1.2597487195928785</v>
      </c>
      <c r="E22" s="11">
        <f t="shared" si="5"/>
        <v>1.3340101827330719</v>
      </c>
      <c r="F22" s="11">
        <f t="shared" si="5"/>
        <v>1.160249455535852</v>
      </c>
      <c r="G22" s="11">
        <f t="shared" si="5"/>
        <v>0.41598927708072225</v>
      </c>
      <c r="H22" s="11">
        <f t="shared" si="5"/>
        <v>0.20545717908988972</v>
      </c>
    </row>
    <row r="23" spans="1:8" x14ac:dyDescent="0.25">
      <c r="A23" s="6" t="s">
        <v>68</v>
      </c>
    </row>
    <row r="24" spans="1:8" x14ac:dyDescent="0.25">
      <c r="A24" t="s">
        <v>4</v>
      </c>
      <c r="C24">
        <f t="shared" ref="C24:H24" si="6">+C5*C15/SUMPRODUCT(C5:C9,C15:C19)</f>
        <v>0.21835401769165719</v>
      </c>
      <c r="D24">
        <f t="shared" si="6"/>
        <v>4.0710279488022347E-2</v>
      </c>
      <c r="E24">
        <f t="shared" si="6"/>
        <v>6.6199046757975865E-3</v>
      </c>
      <c r="F24">
        <f t="shared" si="6"/>
        <v>8.7351408060121888E-4</v>
      </c>
      <c r="G24">
        <f t="shared" si="6"/>
        <v>4.1663877772849184E-4</v>
      </c>
      <c r="H24">
        <f t="shared" si="6"/>
        <v>0</v>
      </c>
    </row>
    <row r="25" spans="1:8" x14ac:dyDescent="0.25">
      <c r="A25" s="1" t="s">
        <v>0</v>
      </c>
      <c r="C25">
        <f t="shared" ref="C25:H25" si="7">+C6*C16/SUMPRODUCT(C5:C9,C15:C19)</f>
        <v>0.60717637644357925</v>
      </c>
      <c r="D25">
        <f t="shared" si="7"/>
        <v>0.36294923082911767</v>
      </c>
      <c r="E25">
        <f t="shared" si="7"/>
        <v>0.1391603856933985</v>
      </c>
      <c r="F25">
        <f t="shared" si="7"/>
        <v>5.8685703142532554E-2</v>
      </c>
      <c r="G25">
        <f t="shared" si="7"/>
        <v>3.384247456249178E-2</v>
      </c>
      <c r="H25">
        <f t="shared" si="7"/>
        <v>6.3157435414340907E-3</v>
      </c>
    </row>
    <row r="26" spans="1:8" x14ac:dyDescent="0.25">
      <c r="A26" s="1" t="s">
        <v>1</v>
      </c>
      <c r="C26">
        <f t="shared" ref="C26:H26" si="8">+C7*C17/SUMPRODUCT(C5:C9,C15:C19)</f>
        <v>0.17375894529447988</v>
      </c>
      <c r="D26">
        <f t="shared" si="8"/>
        <v>0.5650378355788308</v>
      </c>
      <c r="E26">
        <f t="shared" si="8"/>
        <v>0.63215278887589654</v>
      </c>
      <c r="F26">
        <f t="shared" si="8"/>
        <v>0.45826997690337146</v>
      </c>
      <c r="G26">
        <f t="shared" si="8"/>
        <v>0.23313724866857946</v>
      </c>
      <c r="H26">
        <f t="shared" si="8"/>
        <v>9.5162053844979527E-2</v>
      </c>
    </row>
    <row r="27" spans="1:8" x14ac:dyDescent="0.25">
      <c r="A27" s="1" t="s">
        <v>2</v>
      </c>
      <c r="C27">
        <f t="shared" ref="C27:H27" si="9">+C8*C18/SUMPRODUCT(C5:C9,C15:C19)</f>
        <v>7.1066057028347312E-4</v>
      </c>
      <c r="D27">
        <f t="shared" si="9"/>
        <v>3.0078228241346764E-2</v>
      </c>
      <c r="E27">
        <f t="shared" si="9"/>
        <v>0.19401705261010985</v>
      </c>
      <c r="F27">
        <f t="shared" si="9"/>
        <v>0.43779561521202676</v>
      </c>
      <c r="G27">
        <f t="shared" si="9"/>
        <v>0.56714024431970655</v>
      </c>
      <c r="H27">
        <f t="shared" si="9"/>
        <v>0.43191326286123433</v>
      </c>
    </row>
    <row r="28" spans="1:8" x14ac:dyDescent="0.25">
      <c r="A28" s="6" t="s">
        <v>7</v>
      </c>
      <c r="C28">
        <f t="shared" ref="C28:H28" si="10">+C9*C19/SUMPRODUCT(C5:C9,C15:C19)</f>
        <v>0</v>
      </c>
      <c r="D28">
        <f t="shared" si="10"/>
        <v>1.2244258626822515E-3</v>
      </c>
      <c r="E28">
        <f t="shared" si="10"/>
        <v>2.8049868144797516E-2</v>
      </c>
      <c r="F28">
        <f t="shared" si="10"/>
        <v>4.4375190661468097E-2</v>
      </c>
      <c r="G28">
        <f t="shared" si="10"/>
        <v>0.16546339367149365</v>
      </c>
      <c r="H28">
        <f t="shared" si="10"/>
        <v>0.46660893975235207</v>
      </c>
    </row>
    <row r="29" spans="1:8" x14ac:dyDescent="0.25">
      <c r="A29" s="6" t="s">
        <v>69</v>
      </c>
      <c r="C29">
        <f t="shared" ref="C29:H29" si="11">+SUM(C24:C28)</f>
        <v>0.99999999999999978</v>
      </c>
      <c r="D29">
        <f t="shared" si="11"/>
        <v>0.99999999999999989</v>
      </c>
      <c r="E29">
        <f t="shared" si="11"/>
        <v>1</v>
      </c>
      <c r="F29">
        <f t="shared" si="11"/>
        <v>1</v>
      </c>
      <c r="G29">
        <f t="shared" si="11"/>
        <v>0.99999999999999989</v>
      </c>
      <c r="H29">
        <f t="shared" si="11"/>
        <v>1</v>
      </c>
    </row>
    <row r="30" spans="1:8" x14ac:dyDescent="0.25">
      <c r="A30" s="6" t="s">
        <v>70</v>
      </c>
    </row>
    <row r="31" spans="1:8" x14ac:dyDescent="0.25">
      <c r="A31" t="s">
        <v>4</v>
      </c>
      <c r="D31" s="8">
        <f t="shared" ref="D31:H34" si="12">+D15/C15</f>
        <v>0.79530201342281881</v>
      </c>
      <c r="E31" s="8">
        <f t="shared" si="12"/>
        <v>1.0162748643761301</v>
      </c>
      <c r="F31" s="8">
        <f t="shared" si="12"/>
        <v>0.9335705812574141</v>
      </c>
      <c r="G31" s="8">
        <f t="shared" si="12"/>
        <v>0.85196950444726804</v>
      </c>
      <c r="H31" s="8">
        <f t="shared" si="12"/>
        <v>0</v>
      </c>
    </row>
    <row r="32" spans="1:8" x14ac:dyDescent="0.25">
      <c r="A32" s="1" t="s">
        <v>0</v>
      </c>
      <c r="D32" s="8">
        <f t="shared" si="12"/>
        <v>1.2807293303992455</v>
      </c>
      <c r="E32" s="8">
        <f t="shared" si="12"/>
        <v>1.0856651939126167</v>
      </c>
      <c r="F32" s="8">
        <f t="shared" si="12"/>
        <v>0.84354510513226311</v>
      </c>
      <c r="G32" s="8">
        <f t="shared" si="12"/>
        <v>0.54677030286786388</v>
      </c>
      <c r="H32" s="8">
        <f t="shared" si="12"/>
        <v>0.4137254901960784</v>
      </c>
    </row>
    <row r="33" spans="1:8" x14ac:dyDescent="0.25">
      <c r="A33" s="1" t="s">
        <v>1</v>
      </c>
      <c r="D33" s="8">
        <f t="shared" si="12"/>
        <v>1.3873829472646626</v>
      </c>
      <c r="E33" s="8">
        <f t="shared" si="12"/>
        <v>1.0252220248667849</v>
      </c>
      <c r="F33" s="8">
        <f t="shared" si="12"/>
        <v>0.89535689535689533</v>
      </c>
      <c r="G33" s="8">
        <f t="shared" si="12"/>
        <v>0.40079979360165124</v>
      </c>
      <c r="H33" s="8">
        <f t="shared" si="12"/>
        <v>0.48020598648213708</v>
      </c>
    </row>
    <row r="34" spans="1:8" x14ac:dyDescent="0.25">
      <c r="A34" s="1" t="s">
        <v>2</v>
      </c>
      <c r="D34" s="8">
        <f t="shared" si="12"/>
        <v>0.25325333333333333</v>
      </c>
      <c r="E34" s="8">
        <f t="shared" si="12"/>
        <v>0.47807202274402449</v>
      </c>
      <c r="F34" s="8">
        <f t="shared" si="12"/>
        <v>0.83387478663069203</v>
      </c>
      <c r="G34" s="8">
        <f t="shared" si="12"/>
        <v>0.35915213946117275</v>
      </c>
      <c r="H34" s="8">
        <f t="shared" si="12"/>
        <v>0.49641478212906787</v>
      </c>
    </row>
    <row r="35" spans="1:8" x14ac:dyDescent="0.25">
      <c r="A35" s="6" t="s">
        <v>7</v>
      </c>
      <c r="D35" s="8"/>
      <c r="E35" s="8">
        <f>+E19/D19</f>
        <v>0.45699353299729695</v>
      </c>
      <c r="F35" s="8">
        <f>+F19/E19</f>
        <v>0.51904312244255579</v>
      </c>
      <c r="G35" s="8">
        <f>+G19/F19</f>
        <v>0.2422933090762078</v>
      </c>
      <c r="H35" s="8">
        <f>+H19/G19</f>
        <v>0.56679528626551245</v>
      </c>
    </row>
    <row r="36" spans="1:8" x14ac:dyDescent="0.25">
      <c r="A36" s="6" t="s">
        <v>73</v>
      </c>
    </row>
    <row r="37" spans="1:8" x14ac:dyDescent="0.25">
      <c r="A37" s="6" t="s">
        <v>71</v>
      </c>
      <c r="D37" s="8">
        <f>+SUMPRODUCT(C24:C27,D31:D34)</f>
        <v>1.1925361587405099</v>
      </c>
      <c r="E37" s="8">
        <f>+SUMPRODUCT(D24:D28,E31:E35)</f>
        <v>1.0296425288691853</v>
      </c>
      <c r="F37" s="8">
        <f>+SUMPRODUCT(E24:E28,F31:F35)</f>
        <v>0.86591558836911153</v>
      </c>
      <c r="G37" s="8">
        <f>+SUMPRODUCT(F24:F28,G31:G35)</f>
        <v>0.38449336283271285</v>
      </c>
      <c r="H37" s="8">
        <f>+SUMPRODUCT(G25:G28,H32:H35)</f>
        <v>0.50127606926353263</v>
      </c>
    </row>
    <row r="38" spans="1:8" x14ac:dyDescent="0.25">
      <c r="A38" s="6" t="s">
        <v>72</v>
      </c>
      <c r="D38" s="8">
        <f>1/((D24*1/D31+D25*1/D32+D26*1/D33+D27*1/D34)*(1/(1-D28)))</f>
        <v>1.1605339892997035</v>
      </c>
      <c r="E38" s="8">
        <f>1/(E24*1/E31+E25*1/E32+E26*1/E33+E27*1/E34+E28*1/E35)</f>
        <v>0.82067712683874838</v>
      </c>
      <c r="F38" s="8">
        <f>1/(F24*1/F31+F25*1/F32+F26*1/F33+F27*1/F34+F28*1/F35)</f>
        <v>0.83833313455761815</v>
      </c>
      <c r="G38" s="8">
        <f>1/(G24*1/G31+G25*1/G32+G26*1/G33+G27*1/G34+G28*1/G35)</f>
        <v>0.34410635192390437</v>
      </c>
      <c r="H38" s="8">
        <f>1/(H25*1/H32+H26*1/H33+H27*1/H34+H28*1/H35)</f>
        <v>0.5244551506862154</v>
      </c>
    </row>
    <row r="39" spans="1:8" s="11" customFormat="1" x14ac:dyDescent="0.25">
      <c r="A39" s="10" t="s">
        <v>74</v>
      </c>
      <c r="D39" s="11">
        <f>+SQRT(D37*D38)</f>
        <v>1.1764262601996218</v>
      </c>
      <c r="E39" s="11">
        <f>+SQRT(E37*E38)</f>
        <v>0.91924103055909445</v>
      </c>
      <c r="F39" s="11">
        <f>+SQRT(F37*F38)</f>
        <v>0.85201275193495873</v>
      </c>
      <c r="G39" s="11">
        <f>+SQRT(G37*G38)</f>
        <v>0.36373975370217498</v>
      </c>
      <c r="H39" s="11">
        <f>+SQRT(H37*H38)</f>
        <v>0.51273464525132273</v>
      </c>
    </row>
    <row r="40" spans="1:8" s="11" customFormat="1" x14ac:dyDescent="0.25">
      <c r="A40" s="17" t="s">
        <v>88</v>
      </c>
      <c r="B40" s="18"/>
      <c r="C40" s="18">
        <v>1</v>
      </c>
      <c r="D40" s="18">
        <f>+D39*C40</f>
        <v>1.1764262601996218</v>
      </c>
      <c r="E40" s="18">
        <f>+E39*D40</f>
        <v>1.0814192878026818</v>
      </c>
      <c r="F40" s="18">
        <f>+F39*E40</f>
        <v>0.92138302339630607</v>
      </c>
      <c r="G40" s="18">
        <f>+G39*F40</f>
        <v>0.3351436339955377</v>
      </c>
      <c r="H40" s="18">
        <f>+H39*G40</f>
        <v>0.17183975228494117</v>
      </c>
    </row>
    <row r="41" spans="1:8" s="11" customFormat="1" x14ac:dyDescent="0.25">
      <c r="A41" s="17" t="s">
        <v>75</v>
      </c>
      <c r="B41" s="18"/>
      <c r="C41" s="18">
        <f t="shared" ref="C41:H41" si="13">+C20/C40</f>
        <v>10553.561452000002</v>
      </c>
      <c r="D41" s="18">
        <f t="shared" si="13"/>
        <v>17258.675614360051</v>
      </c>
      <c r="E41" s="18">
        <f t="shared" si="13"/>
        <v>30983.158205990439</v>
      </c>
      <c r="F41" s="18">
        <f t="shared" si="13"/>
        <v>44614.600911003494</v>
      </c>
      <c r="G41" s="18">
        <f t="shared" si="13"/>
        <v>64469.568299446444</v>
      </c>
      <c r="H41" s="18">
        <f t="shared" si="13"/>
        <v>92832.582117251746</v>
      </c>
    </row>
    <row r="42" spans="1:8" s="11" customFormat="1" x14ac:dyDescent="0.25">
      <c r="A42" s="17" t="s">
        <v>89</v>
      </c>
      <c r="B42" s="18"/>
      <c r="C42" s="18">
        <f t="shared" ref="C42:H42" si="14">+C41/SUM(C5:C9)</f>
        <v>3.0854433329552142</v>
      </c>
      <c r="D42" s="18">
        <f t="shared" si="14"/>
        <v>4.6876257864082236</v>
      </c>
      <c r="E42" s="18">
        <f t="shared" si="14"/>
        <v>7.7411409963293139</v>
      </c>
      <c r="F42" s="18">
        <f t="shared" si="14"/>
        <v>10.294207437231307</v>
      </c>
      <c r="G42" s="18">
        <f t="shared" si="14"/>
        <v>13.977933125201545</v>
      </c>
      <c r="H42" s="18">
        <f t="shared" si="14"/>
        <v>18.352721895544768</v>
      </c>
    </row>
    <row r="43" spans="1:8" s="11" customFormat="1" x14ac:dyDescent="0.25">
      <c r="A43" s="23" t="s">
        <v>76</v>
      </c>
      <c r="B43" s="24"/>
      <c r="C43" s="24">
        <f t="shared" ref="C43:H43" si="15">+C42/$C$42</f>
        <v>1</v>
      </c>
      <c r="D43" s="24">
        <f t="shared" si="15"/>
        <v>1.519271391679863</v>
      </c>
      <c r="E43" s="24">
        <f t="shared" si="15"/>
        <v>2.5089234061268297</v>
      </c>
      <c r="F43" s="24">
        <f t="shared" si="15"/>
        <v>3.3363787068393811</v>
      </c>
      <c r="G43" s="24">
        <f t="shared" si="15"/>
        <v>4.5302835336190039</v>
      </c>
      <c r="H43" s="24">
        <f t="shared" si="15"/>
        <v>5.9481636559394104</v>
      </c>
    </row>
    <row r="44" spans="1:8" s="11" customFormat="1" x14ac:dyDescent="0.25">
      <c r="A44" s="10" t="s">
        <v>84</v>
      </c>
      <c r="D44" s="11">
        <f>+(D43-C43)/C43</f>
        <v>0.51927139167986303</v>
      </c>
      <c r="E44" s="11">
        <f>+(E43-D43)/D43</f>
        <v>0.65139909819055131</v>
      </c>
      <c r="F44" s="11">
        <f>+(F43-E43)/E43</f>
        <v>0.32980492696265368</v>
      </c>
      <c r="G44" s="11">
        <f>+(G43-F43)/F43</f>
        <v>0.3578445169705069</v>
      </c>
      <c r="H44" s="11">
        <f>+(H43-G43)/G43</f>
        <v>0.31297823012586079</v>
      </c>
    </row>
    <row r="45" spans="1:8" s="11" customFormat="1" x14ac:dyDescent="0.25">
      <c r="A45" s="10"/>
    </row>
    <row r="46" spans="1:8" x14ac:dyDescent="0.25">
      <c r="A46" s="6" t="s">
        <v>17</v>
      </c>
    </row>
    <row r="47" spans="1:8" x14ac:dyDescent="0.25">
      <c r="A47">
        <v>-1.5</v>
      </c>
      <c r="C47">
        <f t="shared" ref="C47:H47" si="16">+$A$47</f>
        <v>-1.5</v>
      </c>
      <c r="D47">
        <f t="shared" si="16"/>
        <v>-1.5</v>
      </c>
      <c r="E47">
        <f t="shared" si="16"/>
        <v>-1.5</v>
      </c>
      <c r="F47">
        <f t="shared" si="16"/>
        <v>-1.5</v>
      </c>
      <c r="G47">
        <f t="shared" si="16"/>
        <v>-1.5</v>
      </c>
      <c r="H47">
        <f t="shared" si="16"/>
        <v>-1.5</v>
      </c>
    </row>
    <row r="48" spans="1:8" x14ac:dyDescent="0.25">
      <c r="A48" s="6" t="s">
        <v>13</v>
      </c>
      <c r="D48" t="s">
        <v>16</v>
      </c>
    </row>
    <row r="49" spans="1:8" s="12" customFormat="1" x14ac:dyDescent="0.25">
      <c r="A49" s="12" t="s">
        <v>14</v>
      </c>
      <c r="C49" s="12">
        <f t="shared" ref="C49:H49" si="17">+C10+C50*C21</f>
        <v>3961.8687500000001</v>
      </c>
      <c r="D49" s="12">
        <f t="shared" si="17"/>
        <v>6050.4724999999999</v>
      </c>
      <c r="E49" s="12">
        <f t="shared" si="17"/>
        <v>9428.9143750000003</v>
      </c>
      <c r="F49" s="12">
        <f t="shared" si="17"/>
        <v>13300.466874999998</v>
      </c>
      <c r="G49" s="12">
        <f t="shared" si="17"/>
        <v>19498.654374999998</v>
      </c>
      <c r="H49" s="12">
        <f t="shared" si="17"/>
        <v>29147.666250000002</v>
      </c>
    </row>
    <row r="50" spans="1:8" s="11" customFormat="1" x14ac:dyDescent="0.25">
      <c r="A50" s="10" t="s">
        <v>15</v>
      </c>
      <c r="C50" s="11">
        <f t="shared" ref="C50:H50" si="18">+(-C47)*C10/C21</f>
        <v>356.9540932004964</v>
      </c>
      <c r="D50" s="11">
        <f t="shared" si="18"/>
        <v>432.73064112261267</v>
      </c>
      <c r="E50" s="11">
        <f t="shared" si="18"/>
        <v>636.8172656047559</v>
      </c>
      <c r="F50" s="11">
        <f t="shared" si="18"/>
        <v>1032.8275049718079</v>
      </c>
      <c r="G50" s="11">
        <f t="shared" si="18"/>
        <v>4223.1332785600125</v>
      </c>
      <c r="H50" s="11">
        <f t="shared" si="18"/>
        <v>12781.880397870031</v>
      </c>
    </row>
  </sheetData>
  <phoneticPr fontId="0" type="noConversion"/>
  <pageMargins left="0.75" right="0.75" top="1" bottom="1" header="0.5" footer="0.5"/>
  <pageSetup orientation="portrait" horizontalDpi="200" verticalDpi="200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/>
  </sheetViews>
  <sheetFormatPr defaultRowHeight="13.2" x14ac:dyDescent="0.25"/>
  <cols>
    <col min="3" max="3" width="16.109375" customWidth="1"/>
    <col min="4" max="4" width="13.6640625" bestFit="1" customWidth="1"/>
    <col min="6" max="8" width="11.6640625" customWidth="1"/>
  </cols>
  <sheetData>
    <row r="1" spans="1:8" x14ac:dyDescent="0.25">
      <c r="A1" s="9" t="s">
        <v>12</v>
      </c>
    </row>
    <row r="2" spans="1:8" x14ac:dyDescent="0.25">
      <c r="A2" t="s">
        <v>10</v>
      </c>
      <c r="C2" t="s">
        <v>11</v>
      </c>
    </row>
    <row r="3" spans="1:8" x14ac:dyDescent="0.25">
      <c r="C3" s="2">
        <v>2001</v>
      </c>
      <c r="D3" s="2">
        <v>2002</v>
      </c>
      <c r="E3" s="2">
        <v>2003</v>
      </c>
      <c r="F3" s="2">
        <v>2004</v>
      </c>
      <c r="G3" s="2">
        <v>2005</v>
      </c>
      <c r="H3" s="2">
        <v>2006</v>
      </c>
    </row>
    <row r="4" spans="1:8" x14ac:dyDescent="0.25">
      <c r="A4" t="s">
        <v>3</v>
      </c>
      <c r="C4" s="3"/>
      <c r="D4" s="3"/>
      <c r="E4" s="3"/>
      <c r="F4" s="3"/>
      <c r="G4" s="3"/>
      <c r="H4" s="3"/>
    </row>
    <row r="5" spans="1:8" x14ac:dyDescent="0.25">
      <c r="A5" t="s">
        <v>4</v>
      </c>
      <c r="C5" s="4">
        <v>1104.704</v>
      </c>
      <c r="D5" s="4">
        <v>498.23</v>
      </c>
      <c r="E5" s="4">
        <v>131.55699999999999</v>
      </c>
      <c r="F5" s="4">
        <v>22.812999999999999</v>
      </c>
      <c r="G5" s="4">
        <v>6.7130000000000001</v>
      </c>
      <c r="H5" s="5">
        <v>0</v>
      </c>
    </row>
    <row r="6" spans="1:8" x14ac:dyDescent="0.25">
      <c r="A6" s="1" t="s">
        <v>0</v>
      </c>
      <c r="C6" s="4">
        <v>2014.421</v>
      </c>
      <c r="D6" s="4">
        <v>1808.827</v>
      </c>
      <c r="E6" s="4">
        <v>1054.1890000000001</v>
      </c>
      <c r="F6" s="4">
        <v>646.58299999999997</v>
      </c>
      <c r="G6" s="4">
        <v>358.44099999999997</v>
      </c>
      <c r="H6" s="4">
        <v>119.373</v>
      </c>
    </row>
    <row r="7" spans="1:8" x14ac:dyDescent="0.25">
      <c r="A7" s="1" t="s">
        <v>1</v>
      </c>
      <c r="C7" s="4">
        <v>301.26100000000002</v>
      </c>
      <c r="D7" s="4">
        <v>1358.47</v>
      </c>
      <c r="E7" s="4">
        <v>2446.3820000000001</v>
      </c>
      <c r="F7" s="4">
        <v>2430.1039999999998</v>
      </c>
      <c r="G7" s="4">
        <v>1621.2729999999999</v>
      </c>
      <c r="H7" s="4">
        <v>1017.4640000000001</v>
      </c>
    </row>
    <row r="8" spans="1:8" x14ac:dyDescent="0.25">
      <c r="A8" s="1" t="s">
        <v>2</v>
      </c>
      <c r="C8" s="4">
        <v>0.05</v>
      </c>
      <c r="D8" s="4">
        <v>16.076000000000001</v>
      </c>
      <c r="E8" s="4">
        <v>357.94799999999998</v>
      </c>
      <c r="F8" s="4">
        <v>1188.3599999999999</v>
      </c>
      <c r="G8" s="4">
        <v>2252.9789999999998</v>
      </c>
      <c r="H8" s="4">
        <v>2551.86</v>
      </c>
    </row>
    <row r="9" spans="1:8" x14ac:dyDescent="0.25">
      <c r="A9" s="6" t="s">
        <v>7</v>
      </c>
      <c r="C9" s="5">
        <v>0</v>
      </c>
      <c r="D9" s="4">
        <v>0.14899999999999999</v>
      </c>
      <c r="E9" s="4">
        <v>12.326000000000001</v>
      </c>
      <c r="F9" s="4">
        <v>46.091999999999999</v>
      </c>
      <c r="G9" s="4">
        <v>372.83300000000003</v>
      </c>
      <c r="H9" s="4">
        <v>1369.549</v>
      </c>
    </row>
    <row r="10" spans="1:8" x14ac:dyDescent="0.25">
      <c r="A10" s="6" t="s">
        <v>6</v>
      </c>
      <c r="C10" s="8">
        <f t="shared" ref="C10:H10" si="0">+C5*0.25+C6*0.5+C7+2*C8+4*C9</f>
        <v>1584.7474999999999</v>
      </c>
      <c r="D10" s="8">
        <f t="shared" si="0"/>
        <v>2420.1889999999999</v>
      </c>
      <c r="E10" s="8">
        <f t="shared" si="0"/>
        <v>3771.5657499999998</v>
      </c>
      <c r="F10" s="8">
        <f t="shared" si="0"/>
        <v>5320.1867499999998</v>
      </c>
      <c r="G10" s="8">
        <f t="shared" si="0"/>
        <v>7799.4617500000004</v>
      </c>
      <c r="H10" s="8">
        <f t="shared" si="0"/>
        <v>11659.066500000001</v>
      </c>
    </row>
    <row r="11" spans="1:8" x14ac:dyDescent="0.25">
      <c r="A11" s="6" t="s">
        <v>65</v>
      </c>
      <c r="C11" s="8">
        <f t="shared" ref="C11:H11" si="1">+C10/$C$10</f>
        <v>1</v>
      </c>
      <c r="D11" s="8">
        <f t="shared" si="1"/>
        <v>1.5271764113841479</v>
      </c>
      <c r="E11" s="8">
        <f t="shared" si="1"/>
        <v>2.3799158856537082</v>
      </c>
      <c r="F11" s="8">
        <f t="shared" si="1"/>
        <v>3.3571195095748694</v>
      </c>
      <c r="G11" s="8">
        <f t="shared" si="1"/>
        <v>4.9215800939897374</v>
      </c>
      <c r="H11" s="8">
        <f t="shared" si="1"/>
        <v>7.357049940132419</v>
      </c>
    </row>
    <row r="12" spans="1:8" x14ac:dyDescent="0.25">
      <c r="A12" s="6" t="s">
        <v>5</v>
      </c>
    </row>
    <row r="13" spans="1:8" x14ac:dyDescent="0.25">
      <c r="A13" t="s">
        <v>4</v>
      </c>
      <c r="C13" s="7">
        <v>2.0859999999999999</v>
      </c>
      <c r="D13" s="7">
        <v>1.659</v>
      </c>
      <c r="E13" s="7">
        <v>1.6859999999999999</v>
      </c>
      <c r="F13" s="7">
        <v>1.5740000000000001</v>
      </c>
      <c r="G13" s="7">
        <v>1.341</v>
      </c>
      <c r="H13" s="7">
        <v>0</v>
      </c>
    </row>
    <row r="14" spans="1:8" x14ac:dyDescent="0.25">
      <c r="A14" s="1" t="s">
        <v>0</v>
      </c>
      <c r="C14" s="7">
        <v>3.181</v>
      </c>
      <c r="D14" s="7">
        <v>4.0739999999999998</v>
      </c>
      <c r="E14" s="7">
        <v>4.423</v>
      </c>
      <c r="F14" s="7">
        <v>3.7309999999999999</v>
      </c>
      <c r="G14" s="7">
        <v>2.04</v>
      </c>
      <c r="H14" s="7">
        <v>0.84399999999999997</v>
      </c>
    </row>
    <row r="15" spans="1:8" x14ac:dyDescent="0.25">
      <c r="A15" s="1" t="s">
        <v>1</v>
      </c>
      <c r="C15" s="7">
        <v>6.0869999999999997</v>
      </c>
      <c r="D15" s="7">
        <v>8.4450000000000003</v>
      </c>
      <c r="E15" s="7">
        <v>8.6579999999999995</v>
      </c>
      <c r="F15" s="7">
        <v>7.7519999999999998</v>
      </c>
      <c r="G15" s="7">
        <v>3.1070000000000002</v>
      </c>
      <c r="H15" s="7">
        <v>1.492</v>
      </c>
    </row>
    <row r="16" spans="1:8" x14ac:dyDescent="0.25">
      <c r="A16" s="1" t="s">
        <v>2</v>
      </c>
      <c r="C16" s="7">
        <v>150</v>
      </c>
      <c r="D16" s="7">
        <v>37.988</v>
      </c>
      <c r="E16" s="7">
        <v>18.161000000000001</v>
      </c>
      <c r="F16" s="7">
        <v>15.144</v>
      </c>
      <c r="G16" s="7">
        <v>5.4390000000000001</v>
      </c>
      <c r="H16" s="7">
        <v>2.7</v>
      </c>
    </row>
    <row r="17" spans="1:8" x14ac:dyDescent="0.25">
      <c r="A17" s="6" t="s">
        <v>7</v>
      </c>
      <c r="C17" s="7">
        <v>0</v>
      </c>
      <c r="D17" s="7">
        <v>166.84700000000001</v>
      </c>
      <c r="E17" s="7">
        <v>76.248000000000005</v>
      </c>
      <c r="F17" s="7">
        <v>39.576000000000001</v>
      </c>
      <c r="G17" s="7">
        <v>9.5890000000000004</v>
      </c>
      <c r="H17" s="7">
        <v>5.4349999999999996</v>
      </c>
    </row>
    <row r="18" spans="1:8" x14ac:dyDescent="0.25">
      <c r="A18" s="6" t="s">
        <v>8</v>
      </c>
      <c r="C18">
        <f t="shared" ref="C18:H18" si="2">+SUMPRODUCT(C5:C9,C13:C17)</f>
        <v>10553.561452000002</v>
      </c>
      <c r="D18">
        <f t="shared" si="2"/>
        <v>20303.559209000003</v>
      </c>
      <c r="E18">
        <f t="shared" si="2"/>
        <v>33505.784881</v>
      </c>
      <c r="F18">
        <f t="shared" si="2"/>
        <v>41107.135874999993</v>
      </c>
      <c r="G18">
        <f t="shared" si="2"/>
        <v>21606.565402</v>
      </c>
      <c r="H18">
        <f t="shared" si="2"/>
        <v>15952.327915</v>
      </c>
    </row>
    <row r="19" spans="1:8" s="11" customFormat="1" x14ac:dyDescent="0.25">
      <c r="A19" s="10" t="s">
        <v>9</v>
      </c>
      <c r="C19" s="11">
        <f t="shared" ref="C19:H19" si="3">+C18/C10</f>
        <v>6.6594592842077382</v>
      </c>
      <c r="D19" s="11">
        <f t="shared" si="3"/>
        <v>8.3892453064616053</v>
      </c>
      <c r="E19" s="11">
        <f t="shared" si="3"/>
        <v>8.8837864966294173</v>
      </c>
      <c r="F19" s="11">
        <f t="shared" si="3"/>
        <v>7.7266340086652026</v>
      </c>
      <c r="G19" s="11">
        <f t="shared" si="3"/>
        <v>2.7702636533860812</v>
      </c>
      <c r="H19" s="11">
        <f t="shared" si="3"/>
        <v>1.3682337187972982</v>
      </c>
    </row>
    <row r="20" spans="1:8" s="11" customFormat="1" x14ac:dyDescent="0.25">
      <c r="A20" s="17" t="s">
        <v>87</v>
      </c>
      <c r="B20" s="18"/>
      <c r="C20" s="18">
        <f t="shared" ref="C20:H20" si="4">+C19/$C$19</f>
        <v>1</v>
      </c>
      <c r="D20" s="18">
        <f t="shared" si="4"/>
        <v>1.2597487195928785</v>
      </c>
      <c r="E20" s="18">
        <f t="shared" si="4"/>
        <v>1.3340101827330719</v>
      </c>
      <c r="F20" s="18">
        <f t="shared" si="4"/>
        <v>1.160249455535852</v>
      </c>
      <c r="G20" s="18">
        <f t="shared" si="4"/>
        <v>0.41598927708072225</v>
      </c>
      <c r="H20" s="18">
        <f t="shared" si="4"/>
        <v>0.20545717908988972</v>
      </c>
    </row>
    <row r="21" spans="1:8" s="11" customFormat="1" x14ac:dyDescent="0.25">
      <c r="A21" s="17" t="s">
        <v>77</v>
      </c>
      <c r="B21" s="18"/>
      <c r="C21" s="18">
        <f t="shared" ref="C21:H21" si="5">+C18/C20</f>
        <v>10553.561452000002</v>
      </c>
      <c r="D21" s="18">
        <f t="shared" si="5"/>
        <v>16117.15010558744</v>
      </c>
      <c r="E21" s="18">
        <f t="shared" si="5"/>
        <v>25116.588549837419</v>
      </c>
      <c r="F21" s="18">
        <f t="shared" si="5"/>
        <v>35429.567046006487</v>
      </c>
      <c r="G21" s="18">
        <f t="shared" si="5"/>
        <v>51940.197962860642</v>
      </c>
      <c r="H21" s="18">
        <f t="shared" si="5"/>
        <v>77643.078648620431</v>
      </c>
    </row>
    <row r="22" spans="1:8" s="11" customFormat="1" x14ac:dyDescent="0.25">
      <c r="A22" s="17" t="s">
        <v>78</v>
      </c>
      <c r="B22" s="18"/>
      <c r="C22" s="18">
        <f t="shared" ref="C22:H22" si="6">+C21/SUM(C5:C9)</f>
        <v>3.0854433329552142</v>
      </c>
      <c r="D22" s="18">
        <f t="shared" si="6"/>
        <v>4.3775762478264264</v>
      </c>
      <c r="E22" s="18">
        <f t="shared" si="6"/>
        <v>6.2753787725064649</v>
      </c>
      <c r="F22" s="18">
        <f t="shared" si="6"/>
        <v>8.1748868113921187</v>
      </c>
      <c r="G22" s="18">
        <f t="shared" si="6"/>
        <v>11.261384755399849</v>
      </c>
      <c r="H22" s="18">
        <f t="shared" si="6"/>
        <v>15.349802806866338</v>
      </c>
    </row>
    <row r="23" spans="1:8" s="11" customFormat="1" x14ac:dyDescent="0.25">
      <c r="A23" s="23" t="s">
        <v>79</v>
      </c>
      <c r="B23" s="24"/>
      <c r="C23" s="24">
        <f t="shared" ref="C23:H23" si="7">+C22/$C$22</f>
        <v>1</v>
      </c>
      <c r="D23" s="24">
        <f t="shared" si="7"/>
        <v>1.4187835508337199</v>
      </c>
      <c r="E23" s="24">
        <f t="shared" si="7"/>
        <v>2.0338661564385156</v>
      </c>
      <c r="F23" s="24">
        <f t="shared" si="7"/>
        <v>2.6495015235176185</v>
      </c>
      <c r="G23" s="24">
        <f t="shared" si="7"/>
        <v>3.6498433256311924</v>
      </c>
      <c r="H23" s="24">
        <f t="shared" si="7"/>
        <v>4.9749099725530899</v>
      </c>
    </row>
    <row r="24" spans="1:8" s="11" customFormat="1" x14ac:dyDescent="0.25">
      <c r="A24" s="10" t="s">
        <v>83</v>
      </c>
      <c r="D24" s="11">
        <f>+(D23-C23)/C23</f>
        <v>0.41878355083371988</v>
      </c>
      <c r="E24" s="11">
        <f>+(E23-D23)/D23</f>
        <v>0.43352814828121933</v>
      </c>
      <c r="F24" s="11">
        <f>+(F23-E23)/E23</f>
        <v>0.30269217329282683</v>
      </c>
      <c r="G24" s="11">
        <f>+(G23-F23)/F23</f>
        <v>0.377558492884151</v>
      </c>
      <c r="H24" s="11">
        <f>+(H23-G23)/G23</f>
        <v>0.36304754168940789</v>
      </c>
    </row>
    <row r="25" spans="1:8" s="11" customFormat="1" x14ac:dyDescent="0.25">
      <c r="A25" s="10" t="s">
        <v>80</v>
      </c>
    </row>
    <row r="26" spans="1:8" s="11" customFormat="1" x14ac:dyDescent="0.25">
      <c r="A26" s="11" t="s">
        <v>66</v>
      </c>
      <c r="C26" s="11">
        <f t="shared" ref="C26:H26" si="8">+C10/(SUM(C5:C9))</f>
        <v>0.46331739579398645</v>
      </c>
      <c r="D26" s="11">
        <f t="shared" si="8"/>
        <v>0.65734709996762408</v>
      </c>
      <c r="E26" s="11">
        <f t="shared" si="8"/>
        <v>0.94232557099461767</v>
      </c>
      <c r="F26" s="11">
        <f t="shared" si="8"/>
        <v>1.2275601460283825</v>
      </c>
      <c r="G26" s="11">
        <f t="shared" si="8"/>
        <v>1.6910359046875068</v>
      </c>
      <c r="H26" s="11">
        <f t="shared" si="8"/>
        <v>2.3049623327928299</v>
      </c>
    </row>
    <row r="27" spans="1:8" s="11" customFormat="1" x14ac:dyDescent="0.25">
      <c r="A27" s="10" t="s">
        <v>67</v>
      </c>
      <c r="C27" s="11">
        <f t="shared" ref="C27:H27" si="9">+C26/$C$26</f>
        <v>1</v>
      </c>
      <c r="D27" s="11">
        <f t="shared" si="9"/>
        <v>1.4187835508337199</v>
      </c>
      <c r="E27" s="11">
        <f t="shared" si="9"/>
        <v>2.0338661564385156</v>
      </c>
      <c r="F27" s="11">
        <f t="shared" si="9"/>
        <v>2.6495015235176185</v>
      </c>
      <c r="G27" s="11">
        <f t="shared" si="9"/>
        <v>3.649843325631192</v>
      </c>
      <c r="H27" s="11">
        <f t="shared" si="9"/>
        <v>4.974909972553089</v>
      </c>
    </row>
    <row r="28" spans="1:8" s="11" customFormat="1" x14ac:dyDescent="0.25">
      <c r="A28" s="10"/>
    </row>
    <row r="29" spans="1:8" x14ac:dyDescent="0.25">
      <c r="A29" s="22" t="s">
        <v>17</v>
      </c>
    </row>
    <row r="30" spans="1:8" x14ac:dyDescent="0.25">
      <c r="A30" s="21">
        <v>-1.5</v>
      </c>
      <c r="B30" s="21"/>
      <c r="C30" s="21">
        <f t="shared" ref="C30:H30" si="10">+$A$30</f>
        <v>-1.5</v>
      </c>
      <c r="D30" s="21">
        <f t="shared" si="10"/>
        <v>-1.5</v>
      </c>
      <c r="E30" s="21">
        <f t="shared" si="10"/>
        <v>-1.5</v>
      </c>
      <c r="F30" s="21">
        <f t="shared" si="10"/>
        <v>-1.5</v>
      </c>
      <c r="G30" s="21">
        <f t="shared" si="10"/>
        <v>-1.5</v>
      </c>
      <c r="H30" s="21">
        <f t="shared" si="10"/>
        <v>-1.5</v>
      </c>
    </row>
    <row r="31" spans="1:8" x14ac:dyDescent="0.25">
      <c r="A31" s="19" t="s">
        <v>13</v>
      </c>
      <c r="B31" s="20"/>
      <c r="C31" s="20"/>
      <c r="D31" s="20" t="s">
        <v>16</v>
      </c>
      <c r="E31" s="20" t="s">
        <v>82</v>
      </c>
      <c r="F31" s="20"/>
      <c r="G31" s="20" t="s">
        <v>81</v>
      </c>
      <c r="H31" s="20"/>
    </row>
    <row r="32" spans="1:8" s="12" customFormat="1" x14ac:dyDescent="0.25">
      <c r="A32" s="12" t="s">
        <v>14</v>
      </c>
      <c r="C32" s="12">
        <f t="shared" ref="C32:H32" si="11">+C21+C33*C20</f>
        <v>26383.903630000004</v>
      </c>
      <c r="D32" s="12">
        <f t="shared" si="11"/>
        <v>40292.875263968599</v>
      </c>
      <c r="E32" s="12">
        <f t="shared" si="11"/>
        <v>62791.471374593551</v>
      </c>
      <c r="F32" s="12">
        <f t="shared" si="11"/>
        <v>88573.917615016224</v>
      </c>
      <c r="G32" s="12">
        <f t="shared" si="11"/>
        <v>129850.49490715162</v>
      </c>
      <c r="H32" s="12">
        <f t="shared" si="11"/>
        <v>194107.69662155106</v>
      </c>
    </row>
    <row r="33" spans="1:10" s="11" customFormat="1" x14ac:dyDescent="0.25">
      <c r="A33" s="10" t="s">
        <v>15</v>
      </c>
      <c r="C33" s="11">
        <f t="shared" ref="C33:H33" si="12">+(-C30)*C21/C20</f>
        <v>15830.342178000003</v>
      </c>
      <c r="D33" s="11">
        <f t="shared" si="12"/>
        <v>19190.910681135039</v>
      </c>
      <c r="E33" s="11">
        <f t="shared" si="12"/>
        <v>28241.825521578248</v>
      </c>
      <c r="F33" s="11">
        <f t="shared" si="12"/>
        <v>45804.245212479269</v>
      </c>
      <c r="G33" s="11">
        <f t="shared" si="12"/>
        <v>187289.19526733994</v>
      </c>
      <c r="H33" s="11">
        <f t="shared" si="12"/>
        <v>566855.9185365634</v>
      </c>
    </row>
    <row r="35" spans="1:10" x14ac:dyDescent="0.25">
      <c r="A35" s="9" t="s">
        <v>18</v>
      </c>
    </row>
    <row r="36" spans="1:10" x14ac:dyDescent="0.25">
      <c r="A36" t="s">
        <v>19</v>
      </c>
      <c r="F36" t="s">
        <v>39</v>
      </c>
    </row>
    <row r="37" spans="1:10" x14ac:dyDescent="0.25">
      <c r="C37">
        <v>1000</v>
      </c>
      <c r="D37">
        <v>1000</v>
      </c>
      <c r="E37">
        <v>1000</v>
      </c>
      <c r="F37">
        <v>1000</v>
      </c>
      <c r="G37">
        <v>1000</v>
      </c>
      <c r="H37">
        <v>1000</v>
      </c>
    </row>
    <row r="38" spans="1:10" x14ac:dyDescent="0.25">
      <c r="A38" t="s">
        <v>42</v>
      </c>
      <c r="C38">
        <f t="shared" ref="C38:H38" si="13">12*C37</f>
        <v>12000</v>
      </c>
      <c r="D38">
        <f t="shared" si="13"/>
        <v>12000</v>
      </c>
      <c r="E38">
        <f t="shared" si="13"/>
        <v>12000</v>
      </c>
      <c r="F38">
        <f t="shared" si="13"/>
        <v>12000</v>
      </c>
      <c r="G38">
        <f t="shared" si="13"/>
        <v>12000</v>
      </c>
      <c r="H38">
        <f t="shared" si="13"/>
        <v>12000</v>
      </c>
    </row>
    <row r="39" spans="1:10" x14ac:dyDescent="0.25">
      <c r="A39" t="s">
        <v>27</v>
      </c>
      <c r="F39">
        <v>0.6</v>
      </c>
      <c r="J39">
        <f>20*30*12</f>
        <v>7200</v>
      </c>
    </row>
    <row r="40" spans="1:10" x14ac:dyDescent="0.25">
      <c r="A40" t="s">
        <v>43</v>
      </c>
      <c r="C40">
        <f t="shared" ref="C40:H40" si="14">+$F$39*C38</f>
        <v>7200</v>
      </c>
      <c r="D40">
        <f t="shared" si="14"/>
        <v>7200</v>
      </c>
      <c r="E40">
        <f t="shared" si="14"/>
        <v>7200</v>
      </c>
      <c r="F40">
        <f t="shared" si="14"/>
        <v>7200</v>
      </c>
      <c r="G40">
        <f t="shared" si="14"/>
        <v>7200</v>
      </c>
      <c r="H40">
        <f t="shared" si="14"/>
        <v>7200</v>
      </c>
    </row>
    <row r="41" spans="1:10" x14ac:dyDescent="0.25">
      <c r="A41" t="s">
        <v>21</v>
      </c>
      <c r="D41" s="11">
        <v>350</v>
      </c>
      <c r="E41" s="11">
        <v>798.09807709160475</v>
      </c>
      <c r="F41" s="11">
        <v>965.7852692247792</v>
      </c>
      <c r="G41" s="11">
        <v>1069.247038850727</v>
      </c>
      <c r="H41" s="11">
        <v>1143.2472136009148</v>
      </c>
    </row>
    <row r="42" spans="1:10" x14ac:dyDescent="0.25">
      <c r="A42" t="s">
        <v>22</v>
      </c>
      <c r="D42" s="11">
        <v>0.9</v>
      </c>
      <c r="E42" s="11">
        <v>0.9</v>
      </c>
      <c r="F42" s="11">
        <v>0.9</v>
      </c>
      <c r="G42" s="11">
        <v>0.9</v>
      </c>
      <c r="H42" s="11">
        <v>0.9</v>
      </c>
    </row>
    <row r="43" spans="1:10" s="11" customFormat="1" x14ac:dyDescent="0.25">
      <c r="A43" s="11" t="s">
        <v>20</v>
      </c>
      <c r="D43" s="11">
        <f>+D40*D41*D42/1000</f>
        <v>2268</v>
      </c>
      <c r="E43" s="11">
        <f>+E40*E41*E42/1000</f>
        <v>5171.6755395535993</v>
      </c>
      <c r="F43" s="11">
        <f>+F40*F41*F42/1000</f>
        <v>6258.2885445765687</v>
      </c>
      <c r="G43" s="11">
        <f>+G40*G41*G42/1000</f>
        <v>6928.7208117527116</v>
      </c>
      <c r="H43" s="11">
        <f>+H40*H41*H42/1000</f>
        <v>7408.241944133928</v>
      </c>
    </row>
    <row r="44" spans="1:10" s="11" customFormat="1" x14ac:dyDescent="0.25">
      <c r="A44" s="11" t="s">
        <v>28</v>
      </c>
      <c r="D44" s="11">
        <f>+D43/D10</f>
        <v>0.93711689458963743</v>
      </c>
      <c r="E44" s="11">
        <f>+E43/E10</f>
        <v>1.3712277293730328</v>
      </c>
      <c r="F44" s="11">
        <f>+F43/F10</f>
        <v>1.1763287340574218</v>
      </c>
      <c r="G44" s="11">
        <f>+G43/G10</f>
        <v>0.88835884242303143</v>
      </c>
      <c r="H44" s="11">
        <f>+H43/H10</f>
        <v>0.63540609740358955</v>
      </c>
    </row>
    <row r="45" spans="1:10" s="11" customFormat="1" x14ac:dyDescent="0.25">
      <c r="A45" s="11" t="s">
        <v>26</v>
      </c>
      <c r="D45" s="11">
        <f>+(D43-D32)/-D33</f>
        <v>1.9814002522218832</v>
      </c>
      <c r="E45" s="11">
        <f>+(E43-E32)/-E33</f>
        <v>2.0402291555485808</v>
      </c>
      <c r="F45" s="11">
        <f>+(F43-F32)/-F33</f>
        <v>1.7971179022509671</v>
      </c>
      <c r="G45" s="11">
        <f>+(G43-G32)/-G33</f>
        <v>0.65632069121733461</v>
      </c>
      <c r="H45" s="11">
        <f>+(H43-H32)/-H33</f>
        <v>0.32935962838566468</v>
      </c>
    </row>
    <row r="46" spans="1:10" s="11" customFormat="1" x14ac:dyDescent="0.25">
      <c r="A46" s="11" t="s">
        <v>37</v>
      </c>
      <c r="D46" s="11">
        <f>+D45/D19</f>
        <v>0.23618337285902935</v>
      </c>
      <c r="E46" s="11">
        <f>+E45/E19</f>
        <v>0.22965760785929071</v>
      </c>
      <c r="F46" s="11">
        <f>+F45/F19</f>
        <v>0.23258742425686915</v>
      </c>
      <c r="G46" s="11">
        <f>+G45/G19</f>
        <v>0.23691632759037815</v>
      </c>
      <c r="H46" s="11">
        <f>+H45/H19</f>
        <v>0.24071883616139622</v>
      </c>
    </row>
    <row r="47" spans="1:10" x14ac:dyDescent="0.25">
      <c r="A47" s="11" t="s">
        <v>34</v>
      </c>
      <c r="C47">
        <v>0.36</v>
      </c>
      <c r="D47" t="s">
        <v>32</v>
      </c>
      <c r="E47" s="12">
        <v>964.7058823529411</v>
      </c>
      <c r="F47" t="s">
        <v>33</v>
      </c>
      <c r="H47">
        <v>1</v>
      </c>
    </row>
    <row r="48" spans="1:10" x14ac:dyDescent="0.25">
      <c r="A48" t="s">
        <v>23</v>
      </c>
      <c r="D48">
        <f>+(1+$C$47)*$E$47</f>
        <v>1311.9999999999998</v>
      </c>
      <c r="E48">
        <f>+(1+$C$47)*$E$47</f>
        <v>1311.9999999999998</v>
      </c>
      <c r="F48">
        <f>+(1+$C$47)*$E$47</f>
        <v>1311.9999999999998</v>
      </c>
      <c r="G48">
        <f>+(1+$C$47)*$E$47</f>
        <v>1311.9999999999998</v>
      </c>
      <c r="H48">
        <f>+(1+$C$47)*$E$47</f>
        <v>1311.9999999999998</v>
      </c>
    </row>
    <row r="49" spans="1:10" x14ac:dyDescent="0.25">
      <c r="A49" t="s">
        <v>24</v>
      </c>
      <c r="D49" s="11">
        <f>+(1+$C$47)*$H$47</f>
        <v>1.3599999999999999</v>
      </c>
      <c r="E49" s="11">
        <f>+(1+$C$47)*$H$47</f>
        <v>1.3599999999999999</v>
      </c>
      <c r="F49" s="11">
        <f>+(1+$C$47)*$H$47</f>
        <v>1.3599999999999999</v>
      </c>
      <c r="G49" s="11">
        <f>+(1+$C$47)*$H$47</f>
        <v>1.3599999999999999</v>
      </c>
      <c r="H49" s="11">
        <f>+(1+$C$47)*$H$47</f>
        <v>1.3599999999999999</v>
      </c>
    </row>
    <row r="50" spans="1:10" x14ac:dyDescent="0.25">
      <c r="A50" t="s">
        <v>25</v>
      </c>
      <c r="D50" s="11">
        <f>+D51*(1+$C$47)</f>
        <v>7299.119999999999</v>
      </c>
    </row>
    <row r="51" spans="1:10" x14ac:dyDescent="0.25">
      <c r="A51" t="s">
        <v>48</v>
      </c>
      <c r="D51" s="11">
        <v>5367</v>
      </c>
    </row>
    <row r="52" spans="1:10" x14ac:dyDescent="0.25">
      <c r="B52" s="9" t="s">
        <v>36</v>
      </c>
    </row>
    <row r="53" spans="1:10" s="11" customFormat="1" x14ac:dyDescent="0.25">
      <c r="A53" s="11" t="s">
        <v>29</v>
      </c>
      <c r="D53" s="11">
        <f>+D63*D41*D42-D48-(D41)*D49</f>
        <v>-1165.099820494652</v>
      </c>
      <c r="E53" s="11">
        <f>+E45*E41*E42-E48-(E41)*E49</f>
        <v>-931.94071556198628</v>
      </c>
      <c r="F53" s="11">
        <f>+F45*F41*F42-F48-(F41)*F49</f>
        <v>-1063.4009687969908</v>
      </c>
      <c r="G53" s="11">
        <f>+G45*G41*G42-G48-(G41)*G49</f>
        <v>-2134.5839127784507</v>
      </c>
      <c r="H53" s="11">
        <f>+H45*H41*H42-H48-(H41)*H49</f>
        <v>-2527.9306808151541</v>
      </c>
    </row>
    <row r="54" spans="1:10" s="11" customFormat="1" x14ac:dyDescent="0.25">
      <c r="A54" s="11" t="s">
        <v>30</v>
      </c>
      <c r="D54" s="11">
        <f>+$D$50/5</f>
        <v>1459.8239999999998</v>
      </c>
      <c r="E54" s="11">
        <f>+$D$50/5</f>
        <v>1459.8239999999998</v>
      </c>
      <c r="F54" s="11">
        <f>+$D$50/5</f>
        <v>1459.8239999999998</v>
      </c>
      <c r="G54" s="11">
        <f>+$D$50/5</f>
        <v>1459.8239999999998</v>
      </c>
      <c r="H54" s="11">
        <f>+$D$50/5</f>
        <v>1459.8239999999998</v>
      </c>
      <c r="I54" s="11" t="s">
        <v>38</v>
      </c>
    </row>
    <row r="55" spans="1:10" s="11" customFormat="1" x14ac:dyDescent="0.25">
      <c r="A55" s="11" t="s">
        <v>54</v>
      </c>
      <c r="D55" s="12">
        <f>+D53-D54</f>
        <v>-2624.9238204946519</v>
      </c>
      <c r="E55" s="12">
        <f>+E53-E54</f>
        <v>-2391.7647155619861</v>
      </c>
      <c r="F55" s="12">
        <f>+F53-F54</f>
        <v>-2523.2249687969907</v>
      </c>
      <c r="G55" s="12">
        <f>+G53-G54</f>
        <v>-3594.4079127784507</v>
      </c>
      <c r="H55" s="12">
        <f>+H53-H54</f>
        <v>-3987.7546808151537</v>
      </c>
      <c r="I55" s="12">
        <f>+SUM(D55:H55)</f>
        <v>-15122.076098447233</v>
      </c>
    </row>
    <row r="56" spans="1:10" x14ac:dyDescent="0.25">
      <c r="B56" s="9" t="s">
        <v>35</v>
      </c>
    </row>
    <row r="57" spans="1:10" s="11" customFormat="1" x14ac:dyDescent="0.25">
      <c r="A57" s="11" t="s">
        <v>29</v>
      </c>
      <c r="D57" s="11">
        <f>+D45*D41*D42-D48/(1+$C$47)-(D41)*D49/(1+$C$47)</f>
        <v>-690.56480290304796</v>
      </c>
      <c r="E57" s="11">
        <f>+E45*E41*E42-E48/(1+$C$47)-(E41)*E49/(1+$C$47)</f>
        <v>-297.33129016194994</v>
      </c>
      <c r="F57" s="11">
        <f>+F45*F41*F42-F48/(1+$C$47)-(F41)*F49/(1+$C$47)</f>
        <v>-368.42415422901172</v>
      </c>
      <c r="G57" s="11">
        <f>+G45*G41*G42-G48/(1+$C$47)-(G41)*G49/(1+$C$47)</f>
        <v>-1402.3608611451305</v>
      </c>
      <c r="H57" s="11">
        <f>+H45*H41*H42-H48/(1+$C$47)-(H41)*H49/(1+$C$47)</f>
        <v>-1769.0675662717663</v>
      </c>
    </row>
    <row r="58" spans="1:10" x14ac:dyDescent="0.25">
      <c r="A58" t="s">
        <v>30</v>
      </c>
      <c r="D58">
        <f>+$D$50/(5*(1+$C$47))</f>
        <v>1073.4000000000001</v>
      </c>
      <c r="E58">
        <f>+$D$50/(5*(1+$C$47))</f>
        <v>1073.4000000000001</v>
      </c>
      <c r="F58">
        <f>+$D$50/(5*(1+$C$47))</f>
        <v>1073.4000000000001</v>
      </c>
      <c r="G58">
        <f>+$D$50/(5*(1+$C$47))</f>
        <v>1073.4000000000001</v>
      </c>
      <c r="H58">
        <f>+$D$50/(5*(1+$C$47))</f>
        <v>1073.4000000000001</v>
      </c>
      <c r="I58" t="s">
        <v>38</v>
      </c>
    </row>
    <row r="59" spans="1:10" s="11" customFormat="1" x14ac:dyDescent="0.25">
      <c r="A59" s="11" t="s">
        <v>31</v>
      </c>
      <c r="D59" s="11">
        <f>+D57-D58</f>
        <v>-1763.9648029030482</v>
      </c>
      <c r="E59" s="11">
        <f>+E57-E58</f>
        <v>-1370.73129016195</v>
      </c>
      <c r="F59" s="11">
        <f>+F57-F58</f>
        <v>-1441.8241542290118</v>
      </c>
      <c r="G59" s="11">
        <f>+G57-G58</f>
        <v>-2475.7608611451305</v>
      </c>
      <c r="H59" s="11">
        <f>+H57-H58</f>
        <v>-2842.4675662717664</v>
      </c>
      <c r="I59" s="11">
        <f>+SUM(D59:H59)</f>
        <v>-9894.7486747109069</v>
      </c>
    </row>
    <row r="60" spans="1:10" s="12" customFormat="1" x14ac:dyDescent="0.25">
      <c r="D60" s="12">
        <f>20*12*D57/1000</f>
        <v>-165.73555269673153</v>
      </c>
      <c r="E60" s="12">
        <f>20*12*E57/1000</f>
        <v>-71.359509638867976</v>
      </c>
      <c r="F60" s="12">
        <f>20*12*F57/1000</f>
        <v>-88.421797014962806</v>
      </c>
      <c r="G60" s="12">
        <f>20*12*G57/1000</f>
        <v>-336.56660667483129</v>
      </c>
      <c r="H60" s="12">
        <f>20*12*H57/1000</f>
        <v>-424.57621590522393</v>
      </c>
      <c r="I60" s="12" t="s">
        <v>57</v>
      </c>
    </row>
    <row r="61" spans="1:10" x14ac:dyDescent="0.25">
      <c r="A61" s="9" t="s">
        <v>40</v>
      </c>
      <c r="C61">
        <v>20</v>
      </c>
      <c r="D61" t="s">
        <v>46</v>
      </c>
    </row>
    <row r="62" spans="1:10" s="11" customFormat="1" x14ac:dyDescent="0.25">
      <c r="A62" s="13" t="s">
        <v>50</v>
      </c>
      <c r="D62" s="11">
        <f>+D43+$C$61*1000*12*D41*D42/1000000</f>
        <v>2343.6</v>
      </c>
      <c r="E62" s="11">
        <f>+E43+$C$61*1000*12*E41*E42/1000000</f>
        <v>5344.0647242053856</v>
      </c>
      <c r="F62" s="11">
        <f>+F43+$C$61*1000*12*F41*F42/1000000</f>
        <v>6466.8981627291214</v>
      </c>
      <c r="G62" s="11">
        <f>+G43+$C$61*1000*12*G41*G42/1000000</f>
        <v>7159.6781721444686</v>
      </c>
      <c r="H62" s="11">
        <f>+H43+$C$61*1000*12*H41*H42/1000000</f>
        <v>7655.1833422717255</v>
      </c>
      <c r="J62" s="11">
        <f>+$C$61*12/C40</f>
        <v>3.3333333333333333E-2</v>
      </c>
    </row>
    <row r="63" spans="1:10" x14ac:dyDescent="0.25">
      <c r="A63" s="9" t="s">
        <v>51</v>
      </c>
      <c r="D63" s="11">
        <f>+(D62-D32)/-D33</f>
        <v>1.977460887318564</v>
      </c>
      <c r="E63" s="11">
        <f>+(E62-E32)/-E33</f>
        <v>2.034125117248363</v>
      </c>
      <c r="F63" s="11">
        <f>+(F62-F32)/-F33</f>
        <v>1.7925635292406743</v>
      </c>
      <c r="G63" s="11">
        <f>+(G62-G32)/-G33</f>
        <v>0.6550875321978723</v>
      </c>
      <c r="H63" s="11">
        <f>+(H62-H32)/-H33</f>
        <v>0.32892399493797075</v>
      </c>
    </row>
    <row r="64" spans="1:10" x14ac:dyDescent="0.25">
      <c r="A64" s="9"/>
    </row>
    <row r="65" spans="1:8" x14ac:dyDescent="0.25">
      <c r="A65" s="9"/>
    </row>
    <row r="66" spans="1:8" x14ac:dyDescent="0.25">
      <c r="B66" s="9" t="s">
        <v>41</v>
      </c>
      <c r="E66" t="s">
        <v>47</v>
      </c>
    </row>
    <row r="67" spans="1:8" x14ac:dyDescent="0.25">
      <c r="A67" t="s">
        <v>44</v>
      </c>
      <c r="C67" t="s">
        <v>49</v>
      </c>
    </row>
    <row r="68" spans="1:8" s="12" customFormat="1" x14ac:dyDescent="0.25">
      <c r="A68" s="12" t="s">
        <v>45</v>
      </c>
      <c r="C68" s="12">
        <f>-+D51*12*C61/1000</f>
        <v>-1288.08</v>
      </c>
    </row>
    <row r="69" spans="1:8" s="12" customFormat="1" x14ac:dyDescent="0.25">
      <c r="A69" s="12" t="s">
        <v>52</v>
      </c>
      <c r="D69" s="12">
        <f>-($C$61*12*D48/(1+$C$47))/1000-($C$61*12*D41*D49/(1+$C$47))/1000</f>
        <v>-315.52941176470586</v>
      </c>
      <c r="E69" s="12">
        <f>-($C$61*12*E48/(1+$C$47))/1000-($C$61*12*E41*E49/(1+$C$47))/1000</f>
        <v>-423.07295026669101</v>
      </c>
      <c r="F69" s="12">
        <f>-($C$61*12*F48/(1+$C$47))/1000-($C$61*12*F41*F49/(1+$C$47))/1000</f>
        <v>-463.31787637865284</v>
      </c>
      <c r="G69" s="12">
        <f>-($C$61*12*G48/(1+$C$47))/1000-($C$61*12*G41*G49/(1+$C$47))/1000</f>
        <v>-488.14870108888044</v>
      </c>
      <c r="H69" s="12">
        <f>-($C$61*12*H48/(1+$C$47))/1000-($C$61*12*H41*H49/(1+$C$47))/1000</f>
        <v>-505.90874302892541</v>
      </c>
    </row>
    <row r="70" spans="1:8" s="12" customFormat="1" x14ac:dyDescent="0.25">
      <c r="A70" s="12" t="s">
        <v>53</v>
      </c>
      <c r="D70" s="12">
        <f>+D63*$C$61*12*D41*D42/1000</f>
        <v>149.49604308128343</v>
      </c>
      <c r="E70" s="12">
        <f>+E63*$C$61*12*E41*E42/1000</f>
        <v>350.6611704421652</v>
      </c>
      <c r="F70" s="12">
        <f>+F63*$C$61*12*F41*F42/1000</f>
        <v>373.94599334908861</v>
      </c>
      <c r="G70" s="12">
        <f>+G63*$C$61*12*G41*G42/1000</f>
        <v>151.29728726197075</v>
      </c>
      <c r="H70" s="12">
        <f>+H63*$C$61*12*H41*H42/1000</f>
        <v>81.224951191052369</v>
      </c>
    </row>
    <row r="71" spans="1:8" s="12" customFormat="1" x14ac:dyDescent="0.25">
      <c r="A71" s="12" t="s">
        <v>55</v>
      </c>
      <c r="C71" s="12">
        <f t="shared" ref="C71:H71" si="15">+C68+C69+C70</f>
        <v>-1288.08</v>
      </c>
      <c r="D71" s="12">
        <f t="shared" si="15"/>
        <v>-166.03336868342242</v>
      </c>
      <c r="E71" s="12">
        <f t="shared" si="15"/>
        <v>-72.411779824525809</v>
      </c>
      <c r="F71" s="12">
        <f t="shared" si="15"/>
        <v>-89.371883029564231</v>
      </c>
      <c r="G71" s="12">
        <f t="shared" si="15"/>
        <v>-336.85141382690972</v>
      </c>
      <c r="H71" s="12">
        <f t="shared" si="15"/>
        <v>-424.68379183787306</v>
      </c>
    </row>
    <row r="72" spans="1:8" x14ac:dyDescent="0.25">
      <c r="A72" s="12" t="s">
        <v>61</v>
      </c>
    </row>
    <row r="73" spans="1:8" x14ac:dyDescent="0.25">
      <c r="A73" t="s">
        <v>56</v>
      </c>
      <c r="B73" s="15" t="e">
        <f>+IRR(C71:H71,0.15)</f>
        <v>#NUM!</v>
      </c>
    </row>
    <row r="75" spans="1:8" x14ac:dyDescent="0.25">
      <c r="B75" s="9" t="s">
        <v>64</v>
      </c>
    </row>
    <row r="76" spans="1:8" x14ac:dyDescent="0.25">
      <c r="A76" t="s">
        <v>58</v>
      </c>
      <c r="D76" s="15">
        <v>0.15</v>
      </c>
    </row>
    <row r="78" spans="1:8" x14ac:dyDescent="0.25">
      <c r="A78" t="s">
        <v>59</v>
      </c>
      <c r="D78">
        <f>+$D$76*D43</f>
        <v>340.2</v>
      </c>
      <c r="E78">
        <f>+$D$76*E43</f>
        <v>775.75133093303987</v>
      </c>
      <c r="F78">
        <f>+$D$76*F43</f>
        <v>938.74328168648526</v>
      </c>
      <c r="G78">
        <f>+$D$76*G43</f>
        <v>1039.3081217629067</v>
      </c>
      <c r="H78">
        <f>+$D$76*H43</f>
        <v>1111.2362916200891</v>
      </c>
    </row>
    <row r="79" spans="1:8" x14ac:dyDescent="0.25">
      <c r="A79" t="s">
        <v>60</v>
      </c>
      <c r="D79" s="11">
        <f>+D63-D45</f>
        <v>-3.9393649033192535E-3</v>
      </c>
      <c r="E79" s="11">
        <f>+E63-E45</f>
        <v>-6.1040383002177734E-3</v>
      </c>
      <c r="F79" s="11">
        <f>+F63-F45</f>
        <v>-4.5543730102928226E-3</v>
      </c>
      <c r="G79" s="11">
        <f>+G63-G45</f>
        <v>-1.2331590194623043E-3</v>
      </c>
      <c r="H79" s="11">
        <f>+H63-H45</f>
        <v>-4.3563344769392831E-4</v>
      </c>
    </row>
    <row r="80" spans="1:8" x14ac:dyDescent="0.25">
      <c r="A80" t="s">
        <v>62</v>
      </c>
      <c r="D80" s="11">
        <f>+D79*D78</f>
        <v>-1.34017194010921</v>
      </c>
      <c r="E80" s="11">
        <f>+E79*E78</f>
        <v>-4.7352158354601883</v>
      </c>
      <c r="F80" s="11">
        <f>+F79*F78</f>
        <v>-4.2753870657066413</v>
      </c>
      <c r="G80" s="11">
        <f>+G79*G78</f>
        <v>-1.2816321843523553</v>
      </c>
      <c r="H80" s="11">
        <f>+H79*H78</f>
        <v>-0.48409169692107495</v>
      </c>
    </row>
    <row r="82" spans="1:8" x14ac:dyDescent="0.25">
      <c r="A82" t="s">
        <v>63</v>
      </c>
    </row>
    <row r="83" spans="1:8" x14ac:dyDescent="0.25">
      <c r="C83" s="12">
        <f t="shared" ref="C83:H83" si="16">+C71+C80</f>
        <v>-1288.08</v>
      </c>
      <c r="D83" s="12">
        <f t="shared" si="16"/>
        <v>-167.37354062353162</v>
      </c>
      <c r="E83" s="12">
        <f t="shared" si="16"/>
        <v>-77.146995659986004</v>
      </c>
      <c r="F83" s="12">
        <f t="shared" si="16"/>
        <v>-93.647270095270869</v>
      </c>
      <c r="G83" s="12">
        <f t="shared" si="16"/>
        <v>-338.13304601126208</v>
      </c>
      <c r="H83" s="12">
        <f t="shared" si="16"/>
        <v>-425.16788353479416</v>
      </c>
    </row>
    <row r="84" spans="1:8" x14ac:dyDescent="0.25">
      <c r="A84" t="s">
        <v>56</v>
      </c>
      <c r="B84" s="14" t="e">
        <f>+IRR(C83:H83,0.15)</f>
        <v>#NUM!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DRAM cost side</vt:lpstr>
      <vt:lpstr>LEM cost side</vt:lpstr>
      <vt:lpstr>LEM Demand Calibration</vt:lpstr>
      <vt:lpstr>Capacity&amp;Price Calculation</vt:lpstr>
      <vt:lpstr>Static RoI calc '02</vt:lpstr>
      <vt:lpstr>fisher</vt:lpstr>
      <vt:lpstr>$ per 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S. Flamm</dc:creator>
  <cp:lastModifiedBy>Aniket Gupta</cp:lastModifiedBy>
  <dcterms:created xsi:type="dcterms:W3CDTF">2002-08-02T13:11:44Z</dcterms:created>
  <dcterms:modified xsi:type="dcterms:W3CDTF">2024-02-03T22:32:42Z</dcterms:modified>
</cp:coreProperties>
</file>