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C569ACE-5077-4500-86EB-70061C83457B}" xr6:coauthVersionLast="47" xr6:coauthVersionMax="47" xr10:uidLastSave="{00000000-0000-0000-0000-000000000000}"/>
  <bookViews>
    <workbookView xWindow="768" yWindow="768" windowWidth="17280" windowHeight="8880"/>
  </bookViews>
  <sheets>
    <sheet name="TSP" sheetId="1" r:id="rId1"/>
    <sheet name="Pb" sheetId="2" r:id="rId2"/>
    <sheet name="CO" sheetId="3" r:id="rId3"/>
    <sheet name="SO2" sheetId="4" r:id="rId4"/>
    <sheet name="NO2" sheetId="5" r:id="rId5"/>
    <sheet name="O3" sheetId="6" r:id="rId6"/>
    <sheet name="PM10" sheetId="7" r:id="rId7"/>
    <sheet name="PM2.5" sheetId="8" r:id="rId8"/>
    <sheet name="Rain" sheetId="9" r:id="rId9"/>
  </sheets>
  <definedNames>
    <definedName name="_xlnm.Print_Area" localSheetId="7">'PM2.5'!$A$1:$M$31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N7" i="3"/>
  <c r="N8" i="3"/>
  <c r="M10" i="3"/>
  <c r="N10" i="3"/>
  <c r="G20" i="3"/>
  <c r="H20" i="3"/>
  <c r="I20" i="3"/>
  <c r="J20" i="3"/>
  <c r="G21" i="3"/>
  <c r="H21" i="3"/>
  <c r="I21" i="3"/>
  <c r="J21" i="3"/>
  <c r="G22" i="3"/>
  <c r="H22" i="3"/>
  <c r="I22" i="3"/>
  <c r="J22" i="3"/>
  <c r="K6" i="5"/>
  <c r="K7" i="5"/>
  <c r="K8" i="5"/>
  <c r="K9" i="5"/>
  <c r="K10" i="5"/>
  <c r="K11" i="5"/>
  <c r="K12" i="5"/>
  <c r="K13" i="5"/>
  <c r="K14" i="5"/>
  <c r="G16" i="5"/>
  <c r="J16" i="5"/>
  <c r="K16" i="5"/>
  <c r="M6" i="6"/>
  <c r="M7" i="6"/>
  <c r="M8" i="6"/>
  <c r="M9" i="6"/>
  <c r="M10" i="6"/>
  <c r="M11" i="6"/>
  <c r="M12" i="6"/>
  <c r="M13" i="6"/>
  <c r="M14" i="6"/>
  <c r="M15" i="6"/>
  <c r="M16" i="6"/>
  <c r="M31" i="6" s="1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K31" i="6"/>
  <c r="L31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K64" i="6"/>
  <c r="L64" i="6"/>
  <c r="M64" i="6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G35" i="2"/>
  <c r="H35" i="2"/>
  <c r="I35" i="2"/>
  <c r="J35" i="2"/>
  <c r="K35" i="2"/>
  <c r="L35" i="2"/>
  <c r="M35" i="2"/>
  <c r="N35" i="2"/>
  <c r="O35" i="2"/>
  <c r="P35" i="2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G28" i="7"/>
  <c r="L28" i="7"/>
  <c r="M28" i="7"/>
  <c r="N28" i="7"/>
  <c r="N5" i="8"/>
  <c r="N6" i="8"/>
  <c r="N7" i="8"/>
  <c r="N28" i="8" s="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G28" i="8"/>
  <c r="L28" i="8"/>
  <c r="M28" i="8"/>
  <c r="Q5" i="9"/>
  <c r="Q6" i="9"/>
  <c r="Q7" i="9"/>
  <c r="Q8" i="9"/>
  <c r="Q9" i="9"/>
  <c r="Q10" i="9"/>
  <c r="Q11" i="9"/>
  <c r="Q12" i="9"/>
  <c r="Q13" i="9"/>
  <c r="G15" i="9"/>
  <c r="H15" i="9"/>
  <c r="I15" i="9"/>
  <c r="J15" i="9"/>
  <c r="K15" i="9"/>
  <c r="L15" i="9"/>
  <c r="M15" i="9"/>
  <c r="N15" i="9"/>
  <c r="O15" i="9"/>
  <c r="P15" i="9"/>
  <c r="Q6" i="4"/>
  <c r="Q7" i="4"/>
  <c r="Q8" i="4"/>
  <c r="Q9" i="4"/>
  <c r="Q10" i="4"/>
  <c r="Q11" i="4"/>
  <c r="Q12" i="4"/>
  <c r="Q13" i="4"/>
  <c r="Q14" i="4"/>
  <c r="Q15" i="4"/>
  <c r="Q16" i="4"/>
  <c r="G18" i="4"/>
  <c r="P18" i="4"/>
  <c r="Q18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G35" i="1"/>
  <c r="L35" i="1"/>
  <c r="M35" i="1"/>
</calcChain>
</file>

<file path=xl/sharedStrings.xml><?xml version="1.0" encoding="utf-8"?>
<sst xmlns="http://schemas.openxmlformats.org/spreadsheetml/2006/main" count="966" uniqueCount="282">
  <si>
    <t>SITE ID</t>
  </si>
  <si>
    <t>CITY</t>
  </si>
  <si>
    <t>COUNTY</t>
  </si>
  <si>
    <t>1ST</t>
  </si>
  <si>
    <t>2ND</t>
  </si>
  <si>
    <t>MEAN</t>
  </si>
  <si>
    <t>45-003-1001</t>
  </si>
  <si>
    <t>AIKEN</t>
  </si>
  <si>
    <t>BEECH ISLAND FIRE STATION</t>
  </si>
  <si>
    <t>BEAUFORT</t>
  </si>
  <si>
    <t>45-013-0007</t>
  </si>
  <si>
    <t>BEAUFORT KING STREET</t>
  </si>
  <si>
    <t>45-019-0003</t>
  </si>
  <si>
    <t>CHARLESTON</t>
  </si>
  <si>
    <t>JENKINS AV. FIRE STATION</t>
  </si>
  <si>
    <t>45-019-0046</t>
  </si>
  <si>
    <t>CAPE ROMAIN WILDLIFE REFUGE</t>
  </si>
  <si>
    <t>45-019-0047</t>
  </si>
  <si>
    <t>45-033-0001</t>
  </si>
  <si>
    <t>DILLON</t>
  </si>
  <si>
    <t>45-041-0001</t>
  </si>
  <si>
    <t>FLORENCE</t>
  </si>
  <si>
    <t>FLORENCE COUNTY HEALTH DEPT</t>
  </si>
  <si>
    <t>45-043-0002</t>
  </si>
  <si>
    <t>GEORGETOWN</t>
  </si>
  <si>
    <t>HOWARD HIGH SCHOOL</t>
  </si>
  <si>
    <t>45-043-0006</t>
  </si>
  <si>
    <t>GEORGETOWN CMS</t>
  </si>
  <si>
    <t>45-043-0007</t>
  </si>
  <si>
    <t>MARYVILLE POWER SUB STATION</t>
  </si>
  <si>
    <t>45-043-0009</t>
  </si>
  <si>
    <t>WINYAH</t>
  </si>
  <si>
    <t>45-045-0008</t>
  </si>
  <si>
    <t>GREENVILLE</t>
  </si>
  <si>
    <t>GREENVILLE HEALTH DEPT</t>
  </si>
  <si>
    <t>45-045-2002</t>
  </si>
  <si>
    <t>GREER</t>
  </si>
  <si>
    <t>45-047-0001</t>
  </si>
  <si>
    <t>GREENWOOD</t>
  </si>
  <si>
    <t>GREENWOOD COUNTY DSS</t>
  </si>
  <si>
    <t>45-047-0002</t>
  </si>
  <si>
    <t>45-049-0001</t>
  </si>
  <si>
    <t>HAMPTON</t>
  </si>
  <si>
    <t>HAMPTON I</t>
  </si>
  <si>
    <t>45-051-0002</t>
  </si>
  <si>
    <t>MYRTLE BEACH</t>
  </si>
  <si>
    <t>HORRY</t>
  </si>
  <si>
    <t>MYRTLE BEACH EQC OFFICE</t>
  </si>
  <si>
    <t>45-063-0005</t>
  </si>
  <si>
    <t>LEXINGTON</t>
  </si>
  <si>
    <t>45-063-1002</t>
  </si>
  <si>
    <t>CAYCE</t>
  </si>
  <si>
    <t>CAYCE FIRE STATION</t>
  </si>
  <si>
    <t>45-079-0006</t>
  </si>
  <si>
    <t>COLUMBIA</t>
  </si>
  <si>
    <t>RICHLAND</t>
  </si>
  <si>
    <t>45-079-0007</t>
  </si>
  <si>
    <t>45-079-0014</t>
  </si>
  <si>
    <t>45-079-1006</t>
  </si>
  <si>
    <t>45-083-0001</t>
  </si>
  <si>
    <t>SPARTANBURG</t>
  </si>
  <si>
    <t>SPARTANBURG CITY HALL</t>
  </si>
  <si>
    <t>45-091-0005</t>
  </si>
  <si>
    <t>ROCK HILL</t>
  </si>
  <si>
    <t>YORK</t>
  </si>
  <si>
    <t>MAXIMUM 24-HR VALUES</t>
  </si>
  <si>
    <t>SITE NAME</t>
  </si>
  <si>
    <t>UTM-N</t>
  </si>
  <si>
    <t>UTM-E</t>
  </si>
  <si>
    <t>ROCK HILL WATER FILTER PLANT</t>
  </si>
  <si>
    <t>CONGAREE SWAMP NATIONAL MONUMENT</t>
  </si>
  <si>
    <t>1ST BAPTIST CHURCH ANNEX</t>
  </si>
  <si>
    <t xml:space="preserve">U S NAVAL BASE </t>
  </si>
  <si>
    <t>45-019-0005</t>
  </si>
  <si>
    <t>ASHE STREET</t>
  </si>
  <si>
    <t>45-079-0020</t>
  </si>
  <si>
    <t>45-003-0003</t>
  </si>
  <si>
    <t>45-011-0001</t>
  </si>
  <si>
    <t>BARNWELL</t>
  </si>
  <si>
    <t>45-063-0008</t>
  </si>
  <si>
    <t>IRMO</t>
  </si>
  <si>
    <t>45-073-0001</t>
  </si>
  <si>
    <t>OCONEE</t>
  </si>
  <si>
    <t>45-079-1003</t>
  </si>
  <si>
    <t>JACKSON MIDDLE SCHOOL</t>
  </si>
  <si>
    <t>45-001-0001</t>
  </si>
  <si>
    <t>ABBEVILLE</t>
  </si>
  <si>
    <t>DUE WEST</t>
  </si>
  <si>
    <t>45-007-0003</t>
  </si>
  <si>
    <t>ANDERSON</t>
  </si>
  <si>
    <t>POWDERSVILLE</t>
  </si>
  <si>
    <t>45-015-0002</t>
  </si>
  <si>
    <t>BERKELEY</t>
  </si>
  <si>
    <t>BUSHY PARK PUMP</t>
  </si>
  <si>
    <t>45-019-0042</t>
  </si>
  <si>
    <t>U S ARMY RESERVE</t>
  </si>
  <si>
    <t>45-021-0002</t>
  </si>
  <si>
    <t>CHEROKEE</t>
  </si>
  <si>
    <t>45-023-0002</t>
  </si>
  <si>
    <t>CHESTER</t>
  </si>
  <si>
    <t>CHESTER AIRPORT</t>
  </si>
  <si>
    <t>45-029-0002</t>
  </si>
  <si>
    <t>COLLETON</t>
  </si>
  <si>
    <t>ASHTON</t>
  </si>
  <si>
    <t>45-031-0003</t>
  </si>
  <si>
    <t>DARLINGTON</t>
  </si>
  <si>
    <t>45-037-0001</t>
  </si>
  <si>
    <t>EDGEFIELD</t>
  </si>
  <si>
    <t>TRENTON</t>
  </si>
  <si>
    <t>45-077-0002</t>
  </si>
  <si>
    <t>CLEMSON</t>
  </si>
  <si>
    <t>PICKENS</t>
  </si>
  <si>
    <t>45-079-1002</t>
  </si>
  <si>
    <t>45-083-0009</t>
  </si>
  <si>
    <t>45-087-0001</t>
  </si>
  <si>
    <t>UNION</t>
  </si>
  <si>
    <t>DELTA</t>
  </si>
  <si>
    <t>45-089-0001</t>
  </si>
  <si>
    <t>INDIANTOWN</t>
  </si>
  <si>
    <t>45-091-0006</t>
  </si>
  <si>
    <t>WTD</t>
  </si>
  <si>
    <t>ARITH</t>
  </si>
  <si>
    <t>45-039-8001</t>
  </si>
  <si>
    <t>FAIRFIELD</t>
  </si>
  <si>
    <t>RIDGEWAY #1</t>
  </si>
  <si>
    <t>45-039-8002</t>
  </si>
  <si>
    <t>RIDGEWAY #2</t>
  </si>
  <si>
    <t>CAYCE CMS</t>
  </si>
  <si>
    <t>OLYMPIA</t>
  </si>
  <si>
    <t>45-079-0019</t>
  </si>
  <si>
    <t>BATES HOUSE (USC)</t>
  </si>
  <si>
    <t>SCDHEC PARKING LOT</t>
  </si>
  <si>
    <t>45-019-0048</t>
  </si>
  <si>
    <t>45-019-0049</t>
  </si>
  <si>
    <t>45-041-0002</t>
  </si>
  <si>
    <t>45-045-0009</t>
  </si>
  <si>
    <t>TAYLORS</t>
  </si>
  <si>
    <t>45-047-0003</t>
  </si>
  <si>
    <t>MERRYWOOD SCHOOL</t>
  </si>
  <si>
    <t>ROEBUCK - PECAN</t>
  </si>
  <si>
    <t>45-083-0010</t>
  </si>
  <si>
    <t>OBSV.</t>
  </si>
  <si>
    <t>1ST QUARTER</t>
  </si>
  <si>
    <t>2ND QUARTER</t>
  </si>
  <si>
    <t>3RD QUARTER</t>
  </si>
  <si>
    <t>4TH QUARTER</t>
  </si>
  <si>
    <t>PARKLANE - STATE PARK HEALTH CTR.</t>
  </si>
  <si>
    <t>FLORENCE COUNTY HEALTH DEPT.</t>
  </si>
  <si>
    <t>GREENVILLE HEALTH DEPT.</t>
  </si>
  <si>
    <t>GREENWOOD COUNTY DEPT.</t>
  </si>
  <si>
    <t>OBS&gt; 35</t>
  </si>
  <si>
    <t>OBS&gt; 9</t>
  </si>
  <si>
    <t>MAX 1-HR</t>
  </si>
  <si>
    <t>MAX 8-HR</t>
  </si>
  <si>
    <t>NORTH CHARLESTON</t>
  </si>
  <si>
    <t xml:space="preserve">BARNWELL CMS </t>
  </si>
  <si>
    <t>SEVEN OAKS RECREATIONAL CTR.</t>
  </si>
  <si>
    <t>MAX 1HR</t>
  </si>
  <si>
    <t xml:space="preserve">MEAN </t>
  </si>
  <si>
    <t>MAX 3HR</t>
  </si>
  <si>
    <t>OBS&gt; 0.50</t>
  </si>
  <si>
    <t>OBS&gt; 0.14</t>
  </si>
  <si>
    <t>MAX 24HR</t>
  </si>
  <si>
    <t>OBSV</t>
  </si>
  <si>
    <t>PARKLANE - STATE PARK HEALTH CTR</t>
  </si>
  <si>
    <t>COWPENS NATIONAL BATTLE GROUND</t>
  </si>
  <si>
    <t>PEE DEE EXP. STATION</t>
  </si>
  <si>
    <t>ROUND MT. FIRE TOWER (LONG CREEK)</t>
  </si>
  <si>
    <t xml:space="preserve">CLEMSON CMS  </t>
  </si>
  <si>
    <t>SANDHILL</t>
  </si>
  <si>
    <t>NORTH SPARTANBURG FIRE STATION</t>
  </si>
  <si>
    <t>YORK CMS</t>
  </si>
  <si>
    <t>WILLIAMSBURG</t>
  </si>
  <si>
    <t>OBS&gt; 150</t>
  </si>
  <si>
    <t>1ST MAX</t>
  </si>
  <si>
    <t>2ND MAX</t>
  </si>
  <si>
    <t>3RD MAX</t>
  </si>
  <si>
    <t>4TH MAX</t>
  </si>
  <si>
    <t>* CONTINUOUS MONITOR</t>
  </si>
  <si>
    <t>U S NAVAL BASE</t>
  </si>
  <si>
    <t xml:space="preserve">PARKER FIRE STATION </t>
  </si>
  <si>
    <t>45-045-1002*</t>
  </si>
  <si>
    <t>45-043-0006*</t>
  </si>
  <si>
    <t>45-019-0003*</t>
  </si>
  <si>
    <t>45-079-0018*</t>
  </si>
  <si>
    <t>45-063-0009*</t>
  </si>
  <si>
    <t>CHARLESTON FAA BEACON</t>
  </si>
  <si>
    <t>CHARLESTON PUBLIC WORKS</t>
  </si>
  <si>
    <t>H L SNEED MIDDLE SCHOOL</t>
  </si>
  <si>
    <t>SEVEN OAKS RECREATIONAL CTR</t>
  </si>
  <si>
    <t>WEST VIEW ELEMETARY SCHOOL</t>
  </si>
  <si>
    <t>EXCEPTIONAL EVENT DATA EXISTS IN AT LEAST ONE OF THE ABOVE SITES, BUT IS NOT INCLUDED IN THE SUMMARY CALCULATIONS.</t>
  </si>
  <si>
    <t>OBS&gt; 65</t>
  </si>
  <si>
    <t>ANNUAL</t>
  </si>
  <si>
    <t xml:space="preserve">  1ST  </t>
  </si>
  <si>
    <t xml:space="preserve">  2ND  </t>
  </si>
  <si>
    <t xml:space="preserve">  3RD  </t>
  </si>
  <si>
    <t xml:space="preserve">  4TH  </t>
  </si>
  <si>
    <t xml:space="preserve">GEOM. </t>
  </si>
  <si>
    <t xml:space="preserve"> OBSV </t>
  </si>
  <si>
    <t>PARKLANE</t>
  </si>
  <si>
    <t>ENRIGHT (REX) ATHLETIC CENTER</t>
  </si>
  <si>
    <t xml:space="preserve">SALTECH </t>
  </si>
  <si>
    <t>PREMIER ROAD</t>
  </si>
  <si>
    <t xml:space="preserve">PARKLANE </t>
  </si>
  <si>
    <t>SALTECH</t>
  </si>
  <si>
    <t>SC DEPT. PROBATION, PAROLE</t>
  </si>
  <si>
    <t>DILLON CITY-COUNTY OFFICE BLDG.</t>
  </si>
  <si>
    <t xml:space="preserve">TAYLORS </t>
  </si>
  <si>
    <t>45-083-0008*</t>
  </si>
  <si>
    <t xml:space="preserve">MEAN. </t>
  </si>
  <si>
    <t>%</t>
  </si>
  <si>
    <t>Complete</t>
  </si>
  <si>
    <t>% COMPLETE</t>
  </si>
  <si>
    <t>Acid Rain</t>
  </si>
  <si>
    <t xml:space="preserve"> OBSV. </t>
  </si>
  <si>
    <t>MAX 8HR</t>
  </si>
  <si>
    <t>OBS&gt; .084</t>
  </si>
  <si>
    <t>OBS&gt; .124</t>
  </si>
  <si>
    <t xml:space="preserve"> 1991 </t>
  </si>
  <si>
    <t xml:space="preserve"> 1992 </t>
  </si>
  <si>
    <t xml:space="preserve"> 1993 </t>
  </si>
  <si>
    <t xml:space="preserve"> 1994 </t>
  </si>
  <si>
    <t xml:space="preserve"> 1995 </t>
  </si>
  <si>
    <t xml:space="preserve"> 1996 </t>
  </si>
  <si>
    <t xml:space="preserve"> 1997 </t>
  </si>
  <si>
    <t xml:space="preserve"> 1998 </t>
  </si>
  <si>
    <t xml:space="preserve"> 1999 </t>
  </si>
  <si>
    <t>PERIOD</t>
  </si>
  <si>
    <t>AVERAGE</t>
  </si>
  <si>
    <t xml:space="preserve">ROUND MT. FIRE TOWER (LONG CREEK) </t>
  </si>
  <si>
    <t xml:space="preserve">STATE HOSPITAL </t>
  </si>
  <si>
    <t>45-079-0021</t>
  </si>
  <si>
    <t>CONGAREE BLUFF*</t>
  </si>
  <si>
    <t>CONGAREE SWAMP NATIONAL MONUMENT*</t>
  </si>
  <si>
    <t>*PARTIAL YEAR - CONGAREE SWAMP site discontinued and replaced by CONGAREE BLUFF site</t>
  </si>
  <si>
    <t>CONGAREE BLUFF</t>
  </si>
  <si>
    <t>45-079-0021*</t>
  </si>
  <si>
    <t>45-079-1006*</t>
  </si>
  <si>
    <t>* Relocated from CONGAREE SWAMP to CONGAREE BLUFF February, 2000</t>
  </si>
  <si>
    <t>45-025-0001</t>
  </si>
  <si>
    <t>CHESTERFIELD</t>
  </si>
  <si>
    <t>MYRTLE BEACH EQC</t>
  </si>
  <si>
    <t>45-003-0004</t>
  </si>
  <si>
    <t>WAGENER DOT</t>
  </si>
  <si>
    <t>45-059-0001</t>
  </si>
  <si>
    <t>45-085-0001</t>
  </si>
  <si>
    <t>LAURENS COUNTY OFFICE COMPLEX</t>
  </si>
  <si>
    <t>LAURENS</t>
  </si>
  <si>
    <t>SUMTER COUNTY HEALTH DEPARTMENT</t>
  </si>
  <si>
    <t>SUMTER</t>
  </si>
  <si>
    <t>45-007-0003*</t>
  </si>
  <si>
    <t>ANNUAL STATE WIDE AVERAGE =&gt;</t>
  </si>
  <si>
    <t>STATE WIDE MAXIMUMS =&gt;</t>
  </si>
  <si>
    <r>
      <t xml:space="preserve">Total Suspended Particulate (TSP)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</si>
  <si>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75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Geom. Mean]</t>
    </r>
  </si>
  <si>
    <r>
      <t xml:space="preserve">Lead (Pb)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</si>
  <si>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1.5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Quartly Mean]</t>
    </r>
  </si>
  <si>
    <t>Carbon Monoxide (CO)  -  ppm</t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</si>
  <si>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</si>
  <si>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0.03 ppm Annual, 0.139 ppm 24hr, 0.494 ppm 3hr]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</si>
  <si>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</si>
  <si>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0.053 ppm Annual Mean]</t>
  </si>
  <si>
    <t>[Air quality standard = 0.085 ppm 8hr Daily Average Max]</t>
  </si>
  <si>
    <r>
      <t>Ozone (O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>) - ppm</t>
    </r>
  </si>
  <si>
    <t>[Air quality standard = 0.125 ppm 1hr Daily Max]</t>
  </si>
  <si>
    <r>
      <t>Particulate Matter (PM</t>
    </r>
    <r>
      <rPr>
        <b/>
        <i/>
        <vertAlign val="subscript"/>
        <sz val="12"/>
        <rFont val="Arial"/>
        <family val="2"/>
      </rPr>
      <t>10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</si>
  <si>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50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150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</si>
  <si>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r>
      <t>Particulate Matter (PM</t>
    </r>
    <r>
      <rPr>
        <b/>
        <i/>
        <vertAlign val="subscript"/>
        <sz val="12"/>
        <rFont val="Arial"/>
        <family val="2"/>
      </rPr>
      <t>2.5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</si>
  <si>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</si>
  <si>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t>[Air quality standard = 35 ppm 1hr Max, 9 ppm 8hr Max]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</si>
  <si>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</si>
  <si>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Mean]</t>
    </r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</si>
  <si>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</si>
  <si>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80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Annual, 365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24hr, 1300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3hr]</t>
    </r>
  </si>
  <si>
    <r>
      <t xml:space="preserve">Carbon Monoxide (CO)  - 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</si>
  <si>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40,000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1hr Max, 10,000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8hr Max]</t>
    </r>
  </si>
  <si>
    <t>Background Concentrations for Modeling Purposes*:</t>
  </si>
  <si>
    <t xml:space="preserve"> used in air dispersion modeling analyses.</t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</si>
  <si>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NO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1887 * ppm, to obtain backgound concentrations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</si>
  <si>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CO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1.150 * ppm * 1000, to obtain backgound concentrations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</si>
  <si>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SO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2632 * ppm, to obtain backgound concentrations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</si>
</sst>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i/>
      <sz val="12"/>
      <name val="Symbol"/>
      <family val="1"/>
      <charset val="2"/>
    </font>
    <font>
      <b/>
      <i/>
      <vertAlign val="superscript"/>
      <sz val="12"/>
      <name val="Arial"/>
      <family val="2"/>
    </font>
    <font>
      <b/>
      <i/>
      <sz val="10"/>
      <name val="Symbol"/>
      <family val="1"/>
      <charset val="2"/>
    </font>
    <font>
      <b/>
      <i/>
      <vertAlign val="superscript"/>
      <sz val="10"/>
      <name val="Arial"/>
      <family val="2"/>
    </font>
    <font>
      <b/>
      <i/>
      <vertAlign val="subscript"/>
      <sz val="12"/>
      <name val="Arial"/>
      <family val="2"/>
    </font>
    <font>
      <b/>
      <i/>
      <vertAlign val="subscript"/>
      <sz val="10"/>
      <name val="Arial"/>
      <family val="2"/>
    </font>
    <font>
      <i/>
      <sz val="12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Protection="1">
      <protection locked="0" hidden="1"/>
    </xf>
    <xf numFmtId="1" fontId="3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5" fillId="0" borderId="0" xfId="0" applyNumberFormat="1" applyFont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1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zoomScaleNormal="100" workbookViewId="0">
      <selection activeCell="C6" sqref="C6"/>
    </sheetView>
  </sheetViews>
  <sheetFormatPr defaultRowHeight="13.2" x14ac:dyDescent="0.25"/>
  <cols>
    <col min="1" max="1" width="11.88671875" customWidth="1"/>
    <col min="2" max="2" width="15" bestFit="1" customWidth="1"/>
    <col min="3" max="3" width="7" customWidth="1"/>
    <col min="4" max="4" width="8" customWidth="1"/>
    <col min="5" max="5" width="41" bestFit="1" customWidth="1"/>
    <col min="6" max="6" width="20.33203125" bestFit="1" customWidth="1"/>
    <col min="7" max="8" width="7.88671875" bestFit="1" customWidth="1"/>
    <col min="9" max="9" width="6.5546875" bestFit="1" customWidth="1"/>
    <col min="10" max="11" width="6.88671875" bestFit="1" customWidth="1"/>
    <col min="12" max="12" width="6.5546875" bestFit="1" customWidth="1"/>
    <col min="13" max="13" width="10.33203125" style="15" bestFit="1" customWidth="1"/>
  </cols>
  <sheetData>
    <row r="1" spans="1:13" ht="18" x14ac:dyDescent="0.3">
      <c r="A1" s="41" t="s">
        <v>254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5.6" x14ac:dyDescent="0.25">
      <c r="A2" s="42" t="s">
        <v>255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B3" s="5"/>
      <c r="C3" s="5"/>
      <c r="D3" s="5"/>
    </row>
    <row r="4" spans="1:13" x14ac:dyDescent="0.25">
      <c r="A4" s="8"/>
      <c r="B4" s="9"/>
      <c r="C4" s="9"/>
      <c r="D4" s="9"/>
      <c r="E4" s="8"/>
      <c r="F4" s="8"/>
      <c r="G4" s="11" t="s">
        <v>198</v>
      </c>
      <c r="H4" s="43" t="s">
        <v>65</v>
      </c>
      <c r="I4" s="44"/>
      <c r="J4" s="43"/>
      <c r="K4" s="43"/>
      <c r="L4" s="11"/>
      <c r="M4" s="18" t="s">
        <v>211</v>
      </c>
    </row>
    <row r="5" spans="1:13" x14ac:dyDescent="0.25">
      <c r="A5" s="10" t="s">
        <v>0</v>
      </c>
      <c r="B5" s="10" t="s">
        <v>2</v>
      </c>
      <c r="C5" s="10" t="s">
        <v>68</v>
      </c>
      <c r="D5" s="10" t="s">
        <v>67</v>
      </c>
      <c r="E5" s="10" t="s">
        <v>66</v>
      </c>
      <c r="F5" s="10" t="s">
        <v>1</v>
      </c>
      <c r="G5" s="11" t="s">
        <v>210</v>
      </c>
      <c r="H5" s="11" t="s">
        <v>194</v>
      </c>
      <c r="I5" s="11" t="s">
        <v>195</v>
      </c>
      <c r="J5" s="11" t="s">
        <v>196</v>
      </c>
      <c r="K5" s="11" t="s">
        <v>197</v>
      </c>
      <c r="L5" s="11" t="s">
        <v>163</v>
      </c>
      <c r="M5" s="18" t="s">
        <v>212</v>
      </c>
    </row>
    <row r="6" spans="1:13" x14ac:dyDescent="0.25">
      <c r="A6" s="1" t="s">
        <v>6</v>
      </c>
      <c r="B6" s="23" t="s">
        <v>7</v>
      </c>
      <c r="C6" s="15">
        <v>417056</v>
      </c>
      <c r="D6" s="15">
        <v>3699183</v>
      </c>
      <c r="E6" s="1" t="s">
        <v>8</v>
      </c>
      <c r="F6" s="2"/>
      <c r="G6" s="2">
        <v>40</v>
      </c>
      <c r="H6" s="2">
        <v>93</v>
      </c>
      <c r="I6" s="2">
        <v>88</v>
      </c>
      <c r="J6" s="2">
        <v>74</v>
      </c>
      <c r="K6" s="2">
        <v>67</v>
      </c>
      <c r="L6" s="2">
        <v>46</v>
      </c>
      <c r="M6" s="20">
        <f>(L6/61)</f>
        <v>0.75409836065573765</v>
      </c>
    </row>
    <row r="7" spans="1:13" x14ac:dyDescent="0.25">
      <c r="A7" s="1" t="s">
        <v>10</v>
      </c>
      <c r="B7" s="23" t="s">
        <v>9</v>
      </c>
      <c r="C7" s="15">
        <v>530355</v>
      </c>
      <c r="D7" s="15">
        <v>3588470</v>
      </c>
      <c r="E7" s="1" t="s">
        <v>11</v>
      </c>
      <c r="F7" s="23" t="s">
        <v>9</v>
      </c>
      <c r="G7" s="2">
        <v>27</v>
      </c>
      <c r="H7" s="2">
        <v>60</v>
      </c>
      <c r="I7" s="2">
        <v>47</v>
      </c>
      <c r="J7" s="2">
        <v>47</v>
      </c>
      <c r="K7" s="2">
        <v>45</v>
      </c>
      <c r="L7" s="2">
        <v>55</v>
      </c>
      <c r="M7" s="20">
        <f t="shared" ref="M7:M33" si="0">(L7/61)</f>
        <v>0.90163934426229508</v>
      </c>
    </row>
    <row r="8" spans="1:13" x14ac:dyDescent="0.25">
      <c r="A8" s="1" t="s">
        <v>12</v>
      </c>
      <c r="B8" s="23" t="s">
        <v>13</v>
      </c>
      <c r="C8" s="15">
        <v>595649</v>
      </c>
      <c r="D8" s="15">
        <v>3638503</v>
      </c>
      <c r="E8" s="1" t="s">
        <v>14</v>
      </c>
      <c r="F8" s="23" t="s">
        <v>154</v>
      </c>
      <c r="G8" s="2">
        <v>41</v>
      </c>
      <c r="H8" s="2">
        <v>87</v>
      </c>
      <c r="I8" s="2">
        <v>83</v>
      </c>
      <c r="J8" s="2">
        <v>78</v>
      </c>
      <c r="K8" s="2">
        <v>71</v>
      </c>
      <c r="L8" s="2">
        <v>57</v>
      </c>
      <c r="M8" s="20">
        <f t="shared" si="0"/>
        <v>0.93442622950819676</v>
      </c>
    </row>
    <row r="9" spans="1:13" x14ac:dyDescent="0.25">
      <c r="A9" s="1" t="s">
        <v>15</v>
      </c>
      <c r="B9" s="23" t="s">
        <v>13</v>
      </c>
      <c r="C9" s="15">
        <v>625554</v>
      </c>
      <c r="D9" s="15">
        <v>3645337</v>
      </c>
      <c r="E9" s="1" t="s">
        <v>16</v>
      </c>
      <c r="F9" s="2"/>
      <c r="G9" s="2">
        <v>26</v>
      </c>
      <c r="H9" s="2">
        <v>71</v>
      </c>
      <c r="I9" s="2">
        <v>59</v>
      </c>
      <c r="J9" s="2">
        <v>51</v>
      </c>
      <c r="K9" s="2">
        <v>51</v>
      </c>
      <c r="L9" s="2">
        <v>58</v>
      </c>
      <c r="M9" s="20">
        <f t="shared" si="0"/>
        <v>0.95081967213114749</v>
      </c>
    </row>
    <row r="10" spans="1:13" x14ac:dyDescent="0.25">
      <c r="A10" s="1" t="s">
        <v>17</v>
      </c>
      <c r="B10" s="23" t="s">
        <v>13</v>
      </c>
      <c r="C10" s="15">
        <v>598473</v>
      </c>
      <c r="D10" s="15">
        <v>3634157</v>
      </c>
      <c r="E10" s="1" t="s">
        <v>72</v>
      </c>
      <c r="F10" s="23" t="s">
        <v>154</v>
      </c>
      <c r="G10" s="2">
        <v>35</v>
      </c>
      <c r="H10" s="2">
        <v>76</v>
      </c>
      <c r="I10" s="2">
        <v>75</v>
      </c>
      <c r="J10" s="2">
        <v>62</v>
      </c>
      <c r="K10" s="2">
        <v>60</v>
      </c>
      <c r="L10" s="2">
        <v>59</v>
      </c>
      <c r="M10" s="20">
        <f t="shared" si="0"/>
        <v>0.96721311475409832</v>
      </c>
    </row>
    <row r="11" spans="1:13" x14ac:dyDescent="0.25">
      <c r="A11" s="1" t="s">
        <v>18</v>
      </c>
      <c r="B11" s="23" t="s">
        <v>19</v>
      </c>
      <c r="C11" s="15">
        <v>649208</v>
      </c>
      <c r="D11" s="15">
        <v>3809572</v>
      </c>
      <c r="E11" t="s">
        <v>207</v>
      </c>
      <c r="F11" s="23" t="s">
        <v>19</v>
      </c>
      <c r="G11" s="2">
        <v>38</v>
      </c>
      <c r="H11" s="2">
        <v>62</v>
      </c>
      <c r="I11" s="2">
        <v>33</v>
      </c>
      <c r="J11" s="2">
        <v>27</v>
      </c>
      <c r="K11" s="2"/>
      <c r="L11" s="2">
        <v>3</v>
      </c>
      <c r="M11" s="20">
        <f>(L11/6)</f>
        <v>0.5</v>
      </c>
    </row>
    <row r="12" spans="1:13" x14ac:dyDescent="0.25">
      <c r="A12" s="1" t="s">
        <v>20</v>
      </c>
      <c r="B12" s="23" t="s">
        <v>21</v>
      </c>
      <c r="C12" s="15">
        <v>610696</v>
      </c>
      <c r="D12" s="15">
        <v>3784358</v>
      </c>
      <c r="E12" s="1" t="s">
        <v>22</v>
      </c>
      <c r="F12" s="23" t="s">
        <v>21</v>
      </c>
      <c r="G12" s="2">
        <v>40</v>
      </c>
      <c r="H12" s="2">
        <v>95</v>
      </c>
      <c r="I12" s="2">
        <v>70</v>
      </c>
      <c r="J12" s="2">
        <v>69</v>
      </c>
      <c r="K12" s="2">
        <v>67</v>
      </c>
      <c r="L12" s="2">
        <v>60</v>
      </c>
      <c r="M12" s="20">
        <f t="shared" si="0"/>
        <v>0.98360655737704916</v>
      </c>
    </row>
    <row r="13" spans="1:13" x14ac:dyDescent="0.25">
      <c r="A13" s="1" t="s">
        <v>23</v>
      </c>
      <c r="B13" s="23" t="s">
        <v>24</v>
      </c>
      <c r="C13" s="15">
        <v>658389</v>
      </c>
      <c r="D13" s="15">
        <v>3693255</v>
      </c>
      <c r="E13" s="1" t="s">
        <v>25</v>
      </c>
      <c r="F13" s="23" t="s">
        <v>24</v>
      </c>
      <c r="G13" s="2">
        <v>45</v>
      </c>
      <c r="H13" s="2">
        <v>130</v>
      </c>
      <c r="I13" s="2">
        <v>99</v>
      </c>
      <c r="J13" s="2">
        <v>99</v>
      </c>
      <c r="K13" s="2">
        <v>97</v>
      </c>
      <c r="L13" s="2">
        <v>71</v>
      </c>
      <c r="M13" s="20">
        <f>(L13/73)</f>
        <v>0.9726027397260274</v>
      </c>
    </row>
    <row r="14" spans="1:13" x14ac:dyDescent="0.25">
      <c r="A14" s="1" t="s">
        <v>26</v>
      </c>
      <c r="B14" s="23" t="s">
        <v>24</v>
      </c>
      <c r="C14" s="15">
        <v>658711</v>
      </c>
      <c r="D14" s="15">
        <v>3692520</v>
      </c>
      <c r="E14" s="1" t="s">
        <v>27</v>
      </c>
      <c r="F14" s="23" t="s">
        <v>24</v>
      </c>
      <c r="G14" s="2">
        <v>73</v>
      </c>
      <c r="H14" s="2">
        <v>158</v>
      </c>
      <c r="I14" s="2">
        <v>157</v>
      </c>
      <c r="J14" s="2">
        <v>138</v>
      </c>
      <c r="K14" s="2">
        <v>124</v>
      </c>
      <c r="L14" s="2">
        <v>60</v>
      </c>
      <c r="M14" s="20">
        <f>(L14/73)</f>
        <v>0.82191780821917804</v>
      </c>
    </row>
    <row r="15" spans="1:13" x14ac:dyDescent="0.25">
      <c r="A15" s="1" t="s">
        <v>28</v>
      </c>
      <c r="B15" s="23" t="s">
        <v>24</v>
      </c>
      <c r="C15" s="15">
        <v>658375</v>
      </c>
      <c r="D15" s="15">
        <v>3690944</v>
      </c>
      <c r="E15" s="1" t="s">
        <v>29</v>
      </c>
      <c r="F15" s="23" t="s">
        <v>24</v>
      </c>
      <c r="G15" s="2">
        <v>26</v>
      </c>
      <c r="H15" s="2">
        <v>66</v>
      </c>
      <c r="I15" s="2">
        <v>49</v>
      </c>
      <c r="J15" s="2">
        <v>45</v>
      </c>
      <c r="K15" s="2">
        <v>44</v>
      </c>
      <c r="L15" s="2">
        <v>71</v>
      </c>
      <c r="M15" s="20">
        <f>(L15/73)</f>
        <v>0.9726027397260274</v>
      </c>
    </row>
    <row r="16" spans="1:13" x14ac:dyDescent="0.25">
      <c r="A16" s="1" t="s">
        <v>30</v>
      </c>
      <c r="B16" s="23" t="s">
        <v>24</v>
      </c>
      <c r="C16" s="15">
        <v>659490</v>
      </c>
      <c r="D16" s="15">
        <v>3693858</v>
      </c>
      <c r="E16" s="1" t="s">
        <v>31</v>
      </c>
      <c r="F16" s="23" t="s">
        <v>24</v>
      </c>
      <c r="G16" s="2">
        <v>46</v>
      </c>
      <c r="H16" s="2">
        <v>158</v>
      </c>
      <c r="I16" s="2">
        <v>138</v>
      </c>
      <c r="J16" s="2">
        <v>136</v>
      </c>
      <c r="K16" s="2">
        <v>118</v>
      </c>
      <c r="L16" s="2">
        <v>69</v>
      </c>
      <c r="M16" s="20">
        <f>(L16/73)</f>
        <v>0.9452054794520548</v>
      </c>
    </row>
    <row r="17" spans="1:13" x14ac:dyDescent="0.25">
      <c r="A17" s="1" t="s">
        <v>32</v>
      </c>
      <c r="B17" s="23" t="s">
        <v>33</v>
      </c>
      <c r="C17" s="15">
        <v>371736</v>
      </c>
      <c r="D17" s="15">
        <v>3855846</v>
      </c>
      <c r="E17" s="1" t="s">
        <v>34</v>
      </c>
      <c r="F17" s="23" t="s">
        <v>33</v>
      </c>
      <c r="G17" s="2">
        <v>38</v>
      </c>
      <c r="H17" s="2">
        <v>139</v>
      </c>
      <c r="I17" s="2">
        <v>76</v>
      </c>
      <c r="J17" s="2">
        <v>68</v>
      </c>
      <c r="K17" s="2">
        <v>61</v>
      </c>
      <c r="L17" s="2">
        <v>51</v>
      </c>
      <c r="M17" s="20">
        <f t="shared" si="0"/>
        <v>0.83606557377049184</v>
      </c>
    </row>
    <row r="18" spans="1:13" x14ac:dyDescent="0.25">
      <c r="A18" s="1" t="s">
        <v>35</v>
      </c>
      <c r="B18" s="23" t="s">
        <v>33</v>
      </c>
      <c r="C18" s="15">
        <v>387723</v>
      </c>
      <c r="D18" s="15">
        <v>3866851</v>
      </c>
      <c r="E18" s="1" t="s">
        <v>71</v>
      </c>
      <c r="F18" s="23" t="s">
        <v>36</v>
      </c>
      <c r="G18" s="2">
        <v>32</v>
      </c>
      <c r="H18" s="2">
        <v>103</v>
      </c>
      <c r="I18" s="2">
        <v>77</v>
      </c>
      <c r="J18" s="2">
        <v>71</v>
      </c>
      <c r="K18" s="2">
        <v>71</v>
      </c>
      <c r="L18" s="2">
        <v>56</v>
      </c>
      <c r="M18" s="20">
        <f t="shared" si="0"/>
        <v>0.91803278688524592</v>
      </c>
    </row>
    <row r="19" spans="1:13" x14ac:dyDescent="0.25">
      <c r="A19" s="1" t="s">
        <v>37</v>
      </c>
      <c r="B19" s="23" t="s">
        <v>38</v>
      </c>
      <c r="C19" s="15">
        <v>393814</v>
      </c>
      <c r="D19" s="15">
        <v>3782427</v>
      </c>
      <c r="E19" s="1" t="s">
        <v>39</v>
      </c>
      <c r="F19" s="23" t="s">
        <v>38</v>
      </c>
      <c r="G19" s="2">
        <v>32</v>
      </c>
      <c r="H19" s="2">
        <v>297</v>
      </c>
      <c r="I19" s="2">
        <v>77</v>
      </c>
      <c r="J19" s="2">
        <v>60</v>
      </c>
      <c r="K19" s="2">
        <v>60</v>
      </c>
      <c r="L19" s="2">
        <v>55</v>
      </c>
      <c r="M19" s="20">
        <f t="shared" si="0"/>
        <v>0.90163934426229508</v>
      </c>
    </row>
    <row r="20" spans="1:13" x14ac:dyDescent="0.25">
      <c r="A20" s="1" t="s">
        <v>40</v>
      </c>
      <c r="B20" s="23" t="s">
        <v>38</v>
      </c>
      <c r="C20" s="15">
        <v>393053</v>
      </c>
      <c r="D20" s="15">
        <v>3780864</v>
      </c>
      <c r="E20" s="1" t="s">
        <v>203</v>
      </c>
      <c r="F20" s="2"/>
      <c r="G20" s="2">
        <v>32</v>
      </c>
      <c r="H20" s="2">
        <v>62</v>
      </c>
      <c r="I20" s="2">
        <v>59</v>
      </c>
      <c r="J20" s="2">
        <v>57</v>
      </c>
      <c r="K20" s="2">
        <v>56</v>
      </c>
      <c r="L20" s="2">
        <v>58</v>
      </c>
      <c r="M20" s="20">
        <f t="shared" si="0"/>
        <v>0.95081967213114749</v>
      </c>
    </row>
    <row r="21" spans="1:13" x14ac:dyDescent="0.25">
      <c r="A21" s="1" t="s">
        <v>41</v>
      </c>
      <c r="B21" s="23" t="s">
        <v>42</v>
      </c>
      <c r="C21" s="15">
        <v>489216</v>
      </c>
      <c r="D21" s="15">
        <v>3637122</v>
      </c>
      <c r="E21" s="1" t="s">
        <v>43</v>
      </c>
      <c r="F21" s="23" t="s">
        <v>42</v>
      </c>
      <c r="G21" s="2">
        <v>37</v>
      </c>
      <c r="H21" s="2">
        <v>83</v>
      </c>
      <c r="I21" s="2">
        <v>74</v>
      </c>
      <c r="J21" s="2">
        <v>67</v>
      </c>
      <c r="K21" s="2">
        <v>66</v>
      </c>
      <c r="L21" s="2">
        <v>55</v>
      </c>
      <c r="M21" s="20">
        <f t="shared" si="0"/>
        <v>0.90163934426229508</v>
      </c>
    </row>
    <row r="22" spans="1:13" x14ac:dyDescent="0.25">
      <c r="A22" s="1" t="s">
        <v>44</v>
      </c>
      <c r="B22" s="23" t="s">
        <v>46</v>
      </c>
      <c r="C22" s="15">
        <v>696737</v>
      </c>
      <c r="D22" s="15">
        <v>3731000</v>
      </c>
      <c r="E22" s="1" t="s">
        <v>47</v>
      </c>
      <c r="F22" s="23" t="s">
        <v>45</v>
      </c>
      <c r="G22" s="2">
        <v>32</v>
      </c>
      <c r="H22" s="2">
        <v>81</v>
      </c>
      <c r="I22" s="2">
        <v>58</v>
      </c>
      <c r="J22" s="2">
        <v>56</v>
      </c>
      <c r="K22" s="2">
        <v>54</v>
      </c>
      <c r="L22" s="2">
        <v>53</v>
      </c>
      <c r="M22" s="20">
        <f t="shared" si="0"/>
        <v>0.86885245901639341</v>
      </c>
    </row>
    <row r="23" spans="1:13" x14ac:dyDescent="0.25">
      <c r="A23" s="1" t="s">
        <v>245</v>
      </c>
      <c r="B23" s="23" t="s">
        <v>248</v>
      </c>
      <c r="C23" s="2">
        <v>406283</v>
      </c>
      <c r="D23" s="2">
        <v>3818121</v>
      </c>
      <c r="E23" t="s">
        <v>247</v>
      </c>
      <c r="F23" s="23" t="s">
        <v>248</v>
      </c>
      <c r="G23" s="2">
        <v>25</v>
      </c>
      <c r="H23" s="2">
        <v>63</v>
      </c>
      <c r="I23" s="2">
        <v>54</v>
      </c>
      <c r="J23" s="2">
        <v>49</v>
      </c>
      <c r="K23" s="2">
        <v>43</v>
      </c>
      <c r="L23" s="2">
        <v>60</v>
      </c>
      <c r="M23" s="20">
        <f t="shared" si="0"/>
        <v>0.98360655737704916</v>
      </c>
    </row>
    <row r="24" spans="1:13" x14ac:dyDescent="0.25">
      <c r="A24" s="1" t="s">
        <v>48</v>
      </c>
      <c r="B24" s="23" t="s">
        <v>49</v>
      </c>
      <c r="C24" s="15">
        <v>488916</v>
      </c>
      <c r="D24" s="15">
        <v>3738007</v>
      </c>
      <c r="E24" s="1" t="s">
        <v>202</v>
      </c>
      <c r="F24" s="2"/>
      <c r="G24" s="2">
        <v>31</v>
      </c>
      <c r="H24" s="2">
        <v>67</v>
      </c>
      <c r="I24" s="2">
        <v>64</v>
      </c>
      <c r="J24" s="2">
        <v>62</v>
      </c>
      <c r="K24" s="2">
        <v>61</v>
      </c>
      <c r="L24" s="2">
        <v>53</v>
      </c>
      <c r="M24" s="20">
        <f t="shared" si="0"/>
        <v>0.86885245901639341</v>
      </c>
    </row>
    <row r="25" spans="1:13" x14ac:dyDescent="0.25">
      <c r="A25" s="1" t="s">
        <v>50</v>
      </c>
      <c r="B25" s="23" t="s">
        <v>49</v>
      </c>
      <c r="C25" s="15">
        <v>493969</v>
      </c>
      <c r="D25" s="15">
        <v>3758514</v>
      </c>
      <c r="E25" s="1" t="s">
        <v>52</v>
      </c>
      <c r="F25" s="23" t="s">
        <v>51</v>
      </c>
      <c r="G25" s="2">
        <v>42</v>
      </c>
      <c r="H25" s="2">
        <v>125</v>
      </c>
      <c r="I25" s="2">
        <v>81</v>
      </c>
      <c r="J25" s="2">
        <v>73</v>
      </c>
      <c r="K25" s="2">
        <v>72</v>
      </c>
      <c r="L25" s="2">
        <v>57</v>
      </c>
      <c r="M25" s="20">
        <f t="shared" si="0"/>
        <v>0.93442622950819676</v>
      </c>
    </row>
    <row r="26" spans="1:13" x14ac:dyDescent="0.25">
      <c r="A26" s="1" t="s">
        <v>53</v>
      </c>
      <c r="B26" s="23" t="s">
        <v>55</v>
      </c>
      <c r="C26" s="15">
        <v>497871</v>
      </c>
      <c r="D26" s="15">
        <v>3762547</v>
      </c>
      <c r="E26" s="1" t="s">
        <v>206</v>
      </c>
      <c r="F26" s="23" t="s">
        <v>54</v>
      </c>
      <c r="G26" s="2">
        <v>40</v>
      </c>
      <c r="H26" s="2">
        <v>91</v>
      </c>
      <c r="I26" s="2">
        <v>81</v>
      </c>
      <c r="J26" s="2">
        <v>67</v>
      </c>
      <c r="K26" s="2">
        <v>67</v>
      </c>
      <c r="L26" s="2">
        <v>57</v>
      </c>
      <c r="M26" s="20">
        <f t="shared" si="0"/>
        <v>0.93442622950819676</v>
      </c>
    </row>
    <row r="27" spans="1:13" x14ac:dyDescent="0.25">
      <c r="A27" s="1" t="s">
        <v>56</v>
      </c>
      <c r="B27" s="23" t="s">
        <v>55</v>
      </c>
      <c r="C27" s="15">
        <v>503485</v>
      </c>
      <c r="D27" s="15">
        <v>3772372</v>
      </c>
      <c r="E27" s="1" t="s">
        <v>200</v>
      </c>
      <c r="F27" s="23" t="s">
        <v>54</v>
      </c>
      <c r="G27" s="2">
        <v>33</v>
      </c>
      <c r="H27" s="2">
        <v>88</v>
      </c>
      <c r="I27" s="2">
        <v>74</v>
      </c>
      <c r="J27" s="2">
        <v>74</v>
      </c>
      <c r="K27" s="2">
        <v>59</v>
      </c>
      <c r="L27" s="2">
        <v>60</v>
      </c>
      <c r="M27" s="20">
        <f t="shared" si="0"/>
        <v>0.98360655737704916</v>
      </c>
    </row>
    <row r="28" spans="1:13" x14ac:dyDescent="0.25">
      <c r="A28" s="1" t="s">
        <v>57</v>
      </c>
      <c r="B28" s="23" t="s">
        <v>55</v>
      </c>
      <c r="C28" s="15">
        <v>498204</v>
      </c>
      <c r="D28" s="15">
        <v>3760083</v>
      </c>
      <c r="E28" s="1" t="s">
        <v>201</v>
      </c>
      <c r="F28" s="23" t="s">
        <v>54</v>
      </c>
      <c r="G28" s="2">
        <v>43</v>
      </c>
      <c r="H28" s="2">
        <v>124</v>
      </c>
      <c r="I28" s="2">
        <v>122</v>
      </c>
      <c r="J28" s="2">
        <v>120</v>
      </c>
      <c r="K28" s="2">
        <v>100</v>
      </c>
      <c r="L28" s="2">
        <v>56</v>
      </c>
      <c r="M28" s="20">
        <f t="shared" si="0"/>
        <v>0.91803278688524592</v>
      </c>
    </row>
    <row r="29" spans="1:13" x14ac:dyDescent="0.25">
      <c r="A29" s="1" t="s">
        <v>232</v>
      </c>
      <c r="B29" s="23" t="s">
        <v>55</v>
      </c>
      <c r="C29" s="15">
        <v>520258</v>
      </c>
      <c r="D29" s="15">
        <v>3741410</v>
      </c>
      <c r="E29" s="26" t="s">
        <v>233</v>
      </c>
      <c r="F29" s="23"/>
      <c r="G29" s="2">
        <v>22</v>
      </c>
      <c r="H29" s="2">
        <v>48</v>
      </c>
      <c r="I29" s="2">
        <v>41</v>
      </c>
      <c r="J29" s="2">
        <v>38</v>
      </c>
      <c r="K29" s="2">
        <v>37</v>
      </c>
      <c r="L29" s="2">
        <v>47</v>
      </c>
      <c r="M29" s="20">
        <f>(L29/55)</f>
        <v>0.8545454545454545</v>
      </c>
    </row>
    <row r="30" spans="1:13" x14ac:dyDescent="0.25">
      <c r="A30" s="1" t="s">
        <v>58</v>
      </c>
      <c r="B30" s="23" t="s">
        <v>55</v>
      </c>
      <c r="C30" s="15">
        <v>516067</v>
      </c>
      <c r="D30" s="15">
        <v>3741587</v>
      </c>
      <c r="E30" s="1" t="s">
        <v>234</v>
      </c>
      <c r="F30" s="2"/>
      <c r="G30" s="2">
        <v>15</v>
      </c>
      <c r="H30" s="2">
        <v>19</v>
      </c>
      <c r="I30" s="2">
        <v>16</v>
      </c>
      <c r="J30" s="2">
        <v>13</v>
      </c>
      <c r="K30" s="2">
        <v>12</v>
      </c>
      <c r="L30" s="2">
        <v>4</v>
      </c>
      <c r="M30" s="20">
        <f>(L30/6)</f>
        <v>0.66666666666666663</v>
      </c>
    </row>
    <row r="31" spans="1:13" x14ac:dyDescent="0.25">
      <c r="A31" s="1" t="s">
        <v>59</v>
      </c>
      <c r="B31" s="23" t="s">
        <v>60</v>
      </c>
      <c r="C31" s="15">
        <v>414850</v>
      </c>
      <c r="D31" s="15">
        <v>3867421</v>
      </c>
      <c r="E31" s="1" t="s">
        <v>61</v>
      </c>
      <c r="F31" s="23" t="s">
        <v>60</v>
      </c>
      <c r="G31" s="2">
        <v>36</v>
      </c>
      <c r="H31" s="2">
        <v>86</v>
      </c>
      <c r="I31" s="2">
        <v>84</v>
      </c>
      <c r="J31" s="2">
        <v>76</v>
      </c>
      <c r="K31" s="2">
        <v>74</v>
      </c>
      <c r="L31" s="2">
        <v>54</v>
      </c>
      <c r="M31" s="20">
        <f t="shared" si="0"/>
        <v>0.88524590163934425</v>
      </c>
    </row>
    <row r="32" spans="1:13" x14ac:dyDescent="0.25">
      <c r="A32" s="1" t="s">
        <v>246</v>
      </c>
      <c r="B32" s="23" t="s">
        <v>250</v>
      </c>
      <c r="C32" s="2">
        <v>561238</v>
      </c>
      <c r="D32" s="2">
        <v>3753536</v>
      </c>
      <c r="E32" t="s">
        <v>249</v>
      </c>
      <c r="F32" s="23" t="s">
        <v>250</v>
      </c>
      <c r="G32" s="2">
        <v>34</v>
      </c>
      <c r="H32" s="2">
        <v>83</v>
      </c>
      <c r="I32" s="2">
        <v>59</v>
      </c>
      <c r="J32" s="2">
        <v>58</v>
      </c>
      <c r="K32" s="2">
        <v>57</v>
      </c>
      <c r="L32" s="2">
        <v>59</v>
      </c>
      <c r="M32" s="20">
        <f t="shared" si="0"/>
        <v>0.96721311475409832</v>
      </c>
    </row>
    <row r="33" spans="1:13" x14ac:dyDescent="0.25">
      <c r="A33" s="1" t="s">
        <v>62</v>
      </c>
      <c r="B33" s="23" t="s">
        <v>64</v>
      </c>
      <c r="C33" s="15">
        <v>499924</v>
      </c>
      <c r="D33" s="15">
        <v>3868718</v>
      </c>
      <c r="E33" s="1" t="s">
        <v>69</v>
      </c>
      <c r="F33" s="23" t="s">
        <v>63</v>
      </c>
      <c r="G33" s="2">
        <v>41</v>
      </c>
      <c r="H33" s="2">
        <v>86</v>
      </c>
      <c r="I33" s="2">
        <v>75</v>
      </c>
      <c r="J33" s="2">
        <v>68</v>
      </c>
      <c r="K33" s="2">
        <v>62</v>
      </c>
      <c r="L33" s="2">
        <v>58</v>
      </c>
      <c r="M33" s="20">
        <f t="shared" si="0"/>
        <v>0.95081967213114749</v>
      </c>
    </row>
    <row r="34" spans="1:13" x14ac:dyDescent="0.25">
      <c r="A34" s="1"/>
      <c r="B34" s="23"/>
      <c r="C34" s="16"/>
      <c r="D34" s="16"/>
      <c r="E34" s="1"/>
      <c r="F34" s="23"/>
      <c r="G34" s="2"/>
      <c r="H34" s="2"/>
      <c r="I34" s="2"/>
      <c r="J34" s="2"/>
      <c r="K34" s="2"/>
      <c r="L34" s="2"/>
      <c r="M34" s="20"/>
    </row>
    <row r="35" spans="1:13" x14ac:dyDescent="0.25">
      <c r="A35" s="24" t="s">
        <v>252</v>
      </c>
      <c r="B35" s="1"/>
      <c r="C35" s="16"/>
      <c r="D35" s="16"/>
      <c r="E35" s="1"/>
      <c r="F35" s="1"/>
      <c r="G35" s="15">
        <f>AVERAGE(G6:G33)</f>
        <v>35.785714285714285</v>
      </c>
      <c r="H35" s="15"/>
      <c r="I35" s="15"/>
      <c r="J35" s="15"/>
      <c r="K35" s="15"/>
      <c r="L35" s="15">
        <f>AVERAGE(L6:L33)</f>
        <v>53.642857142857146</v>
      </c>
      <c r="M35" s="19">
        <f>SUM(L6:L33)/1640</f>
        <v>0.9158536585365854</v>
      </c>
    </row>
    <row r="36" spans="1:13" x14ac:dyDescent="0.25">
      <c r="A36" s="24" t="s">
        <v>253</v>
      </c>
      <c r="B36" s="1"/>
      <c r="C36" s="16"/>
      <c r="D36" s="16"/>
      <c r="E36" s="1"/>
      <c r="F36" s="1"/>
      <c r="G36" s="15"/>
      <c r="H36" s="15">
        <v>297</v>
      </c>
      <c r="I36" s="15">
        <v>158</v>
      </c>
      <c r="J36" s="15">
        <v>158</v>
      </c>
      <c r="K36" s="15">
        <v>157</v>
      </c>
      <c r="L36" s="15"/>
      <c r="M36" s="19"/>
    </row>
    <row r="37" spans="1:13" x14ac:dyDescent="0.25">
      <c r="A37" t="s">
        <v>235</v>
      </c>
      <c r="H37" s="2"/>
      <c r="I37" s="2"/>
      <c r="J37" s="2"/>
      <c r="K37" s="2"/>
    </row>
  </sheetData>
  <mergeCells count="3">
    <mergeCell ref="A1:M1"/>
    <mergeCell ref="A2:M2"/>
    <mergeCell ref="H4:K4"/>
  </mergeCells>
  <phoneticPr fontId="0" type="noConversion"/>
  <printOptions horizontalCentered="1"/>
  <pageMargins left="0.25" right="0.25" top="0.5" bottom="0.5" header="0" footer="0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workbookViewId="0">
      <selection activeCell="A6" sqref="A6"/>
    </sheetView>
  </sheetViews>
  <sheetFormatPr defaultRowHeight="13.2" x14ac:dyDescent="0.25"/>
  <cols>
    <col min="1" max="1" width="12.6640625" customWidth="1"/>
    <col min="2" max="2" width="15" bestFit="1" customWidth="1"/>
    <col min="3" max="3" width="6.88671875" customWidth="1"/>
    <col min="4" max="4" width="8.109375" customWidth="1"/>
    <col min="5" max="5" width="41" bestFit="1" customWidth="1"/>
    <col min="6" max="6" width="20.33203125" bestFit="1" customWidth="1"/>
    <col min="7" max="7" width="6.88671875" style="2" bestFit="1" customWidth="1"/>
    <col min="8" max="8" width="6.44140625" bestFit="1" customWidth="1"/>
    <col min="9" max="9" width="6.88671875" bestFit="1" customWidth="1"/>
    <col min="10" max="10" width="6.44140625" bestFit="1" customWidth="1"/>
    <col min="11" max="11" width="6.88671875" style="2" bestFit="1" customWidth="1"/>
    <col min="12" max="12" width="6.44140625" bestFit="1" customWidth="1"/>
    <col min="13" max="13" width="6.88671875" bestFit="1" customWidth="1"/>
    <col min="14" max="14" width="6.44140625" bestFit="1" customWidth="1"/>
    <col min="15" max="15" width="6.88671875" bestFit="1" customWidth="1"/>
    <col min="16" max="16" width="13.44140625" bestFit="1" customWidth="1"/>
  </cols>
  <sheetData>
    <row r="1" spans="1:16" ht="18" x14ac:dyDescent="0.3">
      <c r="A1" s="46" t="s">
        <v>256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5.6" x14ac:dyDescent="0.25">
      <c r="A2" s="42" t="s">
        <v>257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x14ac:dyDescent="0.25">
      <c r="A3" s="4"/>
      <c r="B3" s="4"/>
      <c r="C3" s="4"/>
      <c r="D3" s="4"/>
      <c r="E3" s="4"/>
      <c r="F3" s="4"/>
      <c r="H3" s="4"/>
      <c r="I3" s="4"/>
      <c r="J3" s="4"/>
      <c r="L3" s="4"/>
      <c r="M3" s="4"/>
      <c r="N3" s="4"/>
    </row>
    <row r="4" spans="1:16" x14ac:dyDescent="0.25">
      <c r="A4" s="4"/>
      <c r="B4" s="4"/>
      <c r="C4" s="4"/>
      <c r="D4" s="4"/>
      <c r="E4" s="4"/>
      <c r="F4" s="4"/>
      <c r="G4" s="45" t="s">
        <v>142</v>
      </c>
      <c r="H4" s="45"/>
      <c r="I4" s="45" t="s">
        <v>143</v>
      </c>
      <c r="J4" s="45"/>
      <c r="K4" s="45" t="s">
        <v>144</v>
      </c>
      <c r="L4" s="45"/>
      <c r="M4" s="45" t="s">
        <v>145</v>
      </c>
      <c r="N4" s="45"/>
      <c r="O4" s="45" t="s">
        <v>193</v>
      </c>
      <c r="P4" s="45"/>
    </row>
    <row r="5" spans="1:16" x14ac:dyDescent="0.25">
      <c r="A5" s="6" t="s">
        <v>0</v>
      </c>
      <c r="B5" s="6" t="s">
        <v>2</v>
      </c>
      <c r="C5" s="6" t="s">
        <v>68</v>
      </c>
      <c r="D5" s="6" t="s">
        <v>67</v>
      </c>
      <c r="E5" s="6" t="s">
        <v>66</v>
      </c>
      <c r="F5" s="6" t="s">
        <v>1</v>
      </c>
      <c r="G5" s="6" t="s">
        <v>141</v>
      </c>
      <c r="H5" s="6" t="s">
        <v>5</v>
      </c>
      <c r="I5" s="6" t="s">
        <v>141</v>
      </c>
      <c r="J5" s="6" t="s">
        <v>5</v>
      </c>
      <c r="K5" s="6" t="s">
        <v>141</v>
      </c>
      <c r="L5" s="6" t="s">
        <v>5</v>
      </c>
      <c r="M5" s="6" t="s">
        <v>141</v>
      </c>
      <c r="N5" s="6" t="s">
        <v>5</v>
      </c>
      <c r="O5" s="6" t="s">
        <v>141</v>
      </c>
      <c r="P5" s="6" t="s">
        <v>213</v>
      </c>
    </row>
    <row r="6" spans="1:16" x14ac:dyDescent="0.25">
      <c r="A6" t="s">
        <v>6</v>
      </c>
      <c r="B6" s="2" t="s">
        <v>7</v>
      </c>
      <c r="C6" s="15">
        <v>417056</v>
      </c>
      <c r="D6" s="15">
        <v>3699183</v>
      </c>
      <c r="E6" t="s">
        <v>8</v>
      </c>
      <c r="F6" s="2"/>
      <c r="G6" s="15">
        <v>14</v>
      </c>
      <c r="H6" s="7">
        <v>0</v>
      </c>
      <c r="I6" s="15">
        <v>12</v>
      </c>
      <c r="J6" s="7">
        <v>0.01</v>
      </c>
      <c r="K6" s="15">
        <v>11</v>
      </c>
      <c r="L6" s="7">
        <v>0</v>
      </c>
      <c r="M6" s="15">
        <v>9</v>
      </c>
      <c r="N6" s="7">
        <v>0</v>
      </c>
      <c r="O6" s="2">
        <v>46</v>
      </c>
      <c r="P6" s="21">
        <f>(O6/61)</f>
        <v>0.75409836065573765</v>
      </c>
    </row>
    <row r="7" spans="1:16" x14ac:dyDescent="0.25">
      <c r="A7" t="s">
        <v>10</v>
      </c>
      <c r="B7" s="2" t="s">
        <v>9</v>
      </c>
      <c r="C7" s="15">
        <v>530355</v>
      </c>
      <c r="D7" s="15">
        <v>3588470</v>
      </c>
      <c r="E7" t="s">
        <v>11</v>
      </c>
      <c r="F7" s="2" t="s">
        <v>9</v>
      </c>
      <c r="G7" s="15">
        <v>15</v>
      </c>
      <c r="H7" s="7">
        <v>0</v>
      </c>
      <c r="I7" s="15">
        <v>14</v>
      </c>
      <c r="J7" s="7">
        <v>0</v>
      </c>
      <c r="K7" s="2">
        <v>13</v>
      </c>
      <c r="L7" s="7">
        <v>0</v>
      </c>
      <c r="M7" s="15">
        <v>13</v>
      </c>
      <c r="N7" s="7">
        <v>0</v>
      </c>
      <c r="O7" s="2">
        <v>55</v>
      </c>
      <c r="P7" s="21">
        <f t="shared" ref="P7:P33" si="0">(O7/61)</f>
        <v>0.90163934426229508</v>
      </c>
    </row>
    <row r="8" spans="1:16" x14ac:dyDescent="0.25">
      <c r="A8" t="s">
        <v>12</v>
      </c>
      <c r="B8" s="2" t="s">
        <v>13</v>
      </c>
      <c r="C8" s="15">
        <v>595649</v>
      </c>
      <c r="D8" s="15">
        <v>3638503</v>
      </c>
      <c r="E8" t="s">
        <v>14</v>
      </c>
      <c r="F8" s="23" t="s">
        <v>154</v>
      </c>
      <c r="G8" s="15">
        <v>15</v>
      </c>
      <c r="H8" s="7">
        <v>0.02</v>
      </c>
      <c r="I8" s="15">
        <v>14</v>
      </c>
      <c r="J8" s="7">
        <v>0.01</v>
      </c>
      <c r="K8" s="15">
        <v>13</v>
      </c>
      <c r="L8" s="7">
        <v>0.01</v>
      </c>
      <c r="M8" s="15">
        <v>15</v>
      </c>
      <c r="N8" s="7">
        <v>0.01</v>
      </c>
      <c r="O8" s="2">
        <v>57</v>
      </c>
      <c r="P8" s="21">
        <f t="shared" si="0"/>
        <v>0.93442622950819676</v>
      </c>
    </row>
    <row r="9" spans="1:16" x14ac:dyDescent="0.25">
      <c r="A9" t="s">
        <v>15</v>
      </c>
      <c r="B9" s="2" t="s">
        <v>13</v>
      </c>
      <c r="C9" s="15">
        <v>625554</v>
      </c>
      <c r="D9" s="15">
        <v>3645337</v>
      </c>
      <c r="E9" t="s">
        <v>16</v>
      </c>
      <c r="F9" s="2"/>
      <c r="G9" s="15">
        <v>15</v>
      </c>
      <c r="H9" s="7">
        <v>0</v>
      </c>
      <c r="I9" s="15">
        <v>14</v>
      </c>
      <c r="J9" s="7">
        <v>0</v>
      </c>
      <c r="K9" s="15">
        <v>14</v>
      </c>
      <c r="L9" s="7">
        <v>0</v>
      </c>
      <c r="M9" s="15">
        <v>15</v>
      </c>
      <c r="N9" s="7">
        <v>0</v>
      </c>
      <c r="O9" s="2">
        <v>58</v>
      </c>
      <c r="P9" s="21">
        <f t="shared" si="0"/>
        <v>0.95081967213114749</v>
      </c>
    </row>
    <row r="10" spans="1:16" x14ac:dyDescent="0.25">
      <c r="A10" t="s">
        <v>17</v>
      </c>
      <c r="B10" s="2" t="s">
        <v>13</v>
      </c>
      <c r="C10" s="15">
        <v>598473</v>
      </c>
      <c r="D10" s="15">
        <v>3634157</v>
      </c>
      <c r="E10" t="s">
        <v>72</v>
      </c>
      <c r="F10" s="23" t="s">
        <v>154</v>
      </c>
      <c r="G10" s="15">
        <v>15</v>
      </c>
      <c r="H10" s="7">
        <v>0.02</v>
      </c>
      <c r="I10" s="15">
        <v>14</v>
      </c>
      <c r="J10" s="7">
        <v>0.01</v>
      </c>
      <c r="K10" s="15">
        <v>15</v>
      </c>
      <c r="L10" s="7">
        <v>0.01</v>
      </c>
      <c r="M10" s="15">
        <v>15</v>
      </c>
      <c r="N10" s="7">
        <v>0.01</v>
      </c>
      <c r="O10" s="2">
        <v>59</v>
      </c>
      <c r="P10" s="21">
        <f t="shared" si="0"/>
        <v>0.96721311475409832</v>
      </c>
    </row>
    <row r="11" spans="1:16" x14ac:dyDescent="0.25">
      <c r="A11" t="s">
        <v>18</v>
      </c>
      <c r="B11" s="2" t="s">
        <v>19</v>
      </c>
      <c r="C11" s="15">
        <v>649208</v>
      </c>
      <c r="D11" s="15">
        <v>3809572</v>
      </c>
      <c r="E11" t="s">
        <v>207</v>
      </c>
      <c r="F11" s="2" t="s">
        <v>19</v>
      </c>
      <c r="G11" s="15">
        <v>3</v>
      </c>
      <c r="H11" s="7">
        <v>0.05</v>
      </c>
      <c r="I11" s="15"/>
      <c r="J11" s="7"/>
      <c r="K11" s="15"/>
      <c r="L11" s="7"/>
      <c r="M11" s="15"/>
      <c r="N11" s="7"/>
      <c r="O11" s="2">
        <v>3</v>
      </c>
      <c r="P11" s="21">
        <f>(O11/6)</f>
        <v>0.5</v>
      </c>
    </row>
    <row r="12" spans="1:16" x14ac:dyDescent="0.25">
      <c r="A12" t="s">
        <v>20</v>
      </c>
      <c r="B12" s="2" t="s">
        <v>21</v>
      </c>
      <c r="C12" s="15">
        <v>610696</v>
      </c>
      <c r="D12" s="15">
        <v>3784358</v>
      </c>
      <c r="E12" t="s">
        <v>147</v>
      </c>
      <c r="F12" s="2" t="s">
        <v>21</v>
      </c>
      <c r="G12" s="15">
        <v>16</v>
      </c>
      <c r="H12" s="7">
        <v>0.01</v>
      </c>
      <c r="I12" s="15">
        <v>15</v>
      </c>
      <c r="J12" s="7">
        <v>0.01</v>
      </c>
      <c r="K12" s="15">
        <v>15</v>
      </c>
      <c r="L12" s="7">
        <v>0.01</v>
      </c>
      <c r="M12" s="15">
        <v>14</v>
      </c>
      <c r="N12" s="7">
        <v>0.01</v>
      </c>
      <c r="O12" s="2">
        <v>60</v>
      </c>
      <c r="P12" s="21">
        <f t="shared" si="0"/>
        <v>0.98360655737704916</v>
      </c>
    </row>
    <row r="13" spans="1:16" x14ac:dyDescent="0.25">
      <c r="A13" t="s">
        <v>23</v>
      </c>
      <c r="B13" s="2" t="s">
        <v>24</v>
      </c>
      <c r="C13" s="15">
        <v>658389</v>
      </c>
      <c r="D13" s="15">
        <v>3693255</v>
      </c>
      <c r="E13" t="s">
        <v>25</v>
      </c>
      <c r="F13" s="2" t="s">
        <v>24</v>
      </c>
      <c r="G13" s="15">
        <v>24</v>
      </c>
      <c r="H13" s="7">
        <v>0.01</v>
      </c>
      <c r="I13" s="15">
        <v>17</v>
      </c>
      <c r="J13" s="7">
        <v>0.01</v>
      </c>
      <c r="K13" s="15">
        <v>15</v>
      </c>
      <c r="L13" s="7">
        <v>0</v>
      </c>
      <c r="M13" s="15">
        <v>15</v>
      </c>
      <c r="N13" s="7">
        <v>0.01</v>
      </c>
      <c r="O13" s="2">
        <v>71</v>
      </c>
      <c r="P13" s="21">
        <f>(O13/73)</f>
        <v>0.9726027397260274</v>
      </c>
    </row>
    <row r="14" spans="1:16" x14ac:dyDescent="0.25">
      <c r="A14" t="s">
        <v>26</v>
      </c>
      <c r="B14" s="2" t="s">
        <v>24</v>
      </c>
      <c r="C14" s="15">
        <v>658711</v>
      </c>
      <c r="D14" s="15">
        <v>3692520</v>
      </c>
      <c r="E14" t="s">
        <v>27</v>
      </c>
      <c r="F14" s="2" t="s">
        <v>24</v>
      </c>
      <c r="G14" s="15">
        <v>20</v>
      </c>
      <c r="H14" s="7">
        <v>0.01</v>
      </c>
      <c r="I14" s="15">
        <v>13</v>
      </c>
      <c r="J14" s="7">
        <v>0.01</v>
      </c>
      <c r="K14" s="15">
        <v>12</v>
      </c>
      <c r="L14" s="7">
        <v>0.01</v>
      </c>
      <c r="M14" s="15">
        <v>15</v>
      </c>
      <c r="N14" s="7">
        <v>0.01</v>
      </c>
      <c r="O14" s="2">
        <v>60</v>
      </c>
      <c r="P14" s="21">
        <f>(O14/73)</f>
        <v>0.82191780821917804</v>
      </c>
    </row>
    <row r="15" spans="1:16" x14ac:dyDescent="0.25">
      <c r="A15" t="s">
        <v>28</v>
      </c>
      <c r="B15" s="2" t="s">
        <v>24</v>
      </c>
      <c r="C15" s="15">
        <v>658375</v>
      </c>
      <c r="D15" s="15">
        <v>3690944</v>
      </c>
      <c r="E15" t="s">
        <v>29</v>
      </c>
      <c r="F15" s="2" t="s">
        <v>24</v>
      </c>
      <c r="G15" s="15">
        <v>26</v>
      </c>
      <c r="H15" s="7">
        <v>0</v>
      </c>
      <c r="I15" s="15">
        <v>17</v>
      </c>
      <c r="J15" s="7">
        <v>0</v>
      </c>
      <c r="K15" s="15">
        <v>14</v>
      </c>
      <c r="L15" s="7">
        <v>0</v>
      </c>
      <c r="M15" s="15">
        <v>14</v>
      </c>
      <c r="N15" s="7">
        <v>0</v>
      </c>
      <c r="O15" s="2">
        <v>71</v>
      </c>
      <c r="P15" s="21">
        <f>(O15/73)</f>
        <v>0.9726027397260274</v>
      </c>
    </row>
    <row r="16" spans="1:16" x14ac:dyDescent="0.25">
      <c r="A16" t="s">
        <v>30</v>
      </c>
      <c r="B16" s="2" t="s">
        <v>24</v>
      </c>
      <c r="C16" s="15">
        <v>659490</v>
      </c>
      <c r="D16" s="15">
        <v>3693858</v>
      </c>
      <c r="E16" t="s">
        <v>31</v>
      </c>
      <c r="F16" s="2" t="s">
        <v>24</v>
      </c>
      <c r="G16" s="15">
        <v>24</v>
      </c>
      <c r="H16" s="7">
        <v>0.01</v>
      </c>
      <c r="I16" s="15">
        <v>15</v>
      </c>
      <c r="J16" s="7">
        <v>0.02</v>
      </c>
      <c r="K16" s="15">
        <v>15</v>
      </c>
      <c r="L16" s="7">
        <v>0.02</v>
      </c>
      <c r="M16" s="15">
        <v>15</v>
      </c>
      <c r="N16" s="7">
        <v>0.01</v>
      </c>
      <c r="O16" s="2">
        <v>69</v>
      </c>
      <c r="P16" s="21">
        <f>(O16/73)</f>
        <v>0.9452054794520548</v>
      </c>
    </row>
    <row r="17" spans="1:16" x14ac:dyDescent="0.25">
      <c r="A17" t="s">
        <v>32</v>
      </c>
      <c r="B17" s="2" t="s">
        <v>33</v>
      </c>
      <c r="C17" s="15">
        <v>371736</v>
      </c>
      <c r="D17" s="15">
        <v>3855846</v>
      </c>
      <c r="E17" t="s">
        <v>148</v>
      </c>
      <c r="F17" s="2" t="s">
        <v>33</v>
      </c>
      <c r="G17" s="15">
        <v>16</v>
      </c>
      <c r="H17" s="7">
        <v>0.02</v>
      </c>
      <c r="I17" s="15">
        <v>11</v>
      </c>
      <c r="J17" s="7">
        <v>0.01</v>
      </c>
      <c r="K17" s="15">
        <v>12</v>
      </c>
      <c r="L17" s="7">
        <v>0.01</v>
      </c>
      <c r="M17" s="15">
        <v>12</v>
      </c>
      <c r="N17" s="7">
        <v>0.01</v>
      </c>
      <c r="O17" s="2">
        <v>51</v>
      </c>
      <c r="P17" s="21">
        <f t="shared" si="0"/>
        <v>0.83606557377049184</v>
      </c>
    </row>
    <row r="18" spans="1:16" x14ac:dyDescent="0.25">
      <c r="A18" t="s">
        <v>35</v>
      </c>
      <c r="B18" s="2" t="s">
        <v>33</v>
      </c>
      <c r="C18" s="15">
        <v>387723</v>
      </c>
      <c r="D18" s="15">
        <v>3866851</v>
      </c>
      <c r="E18" t="s">
        <v>71</v>
      </c>
      <c r="F18" s="2" t="s">
        <v>36</v>
      </c>
      <c r="G18" s="15">
        <v>15</v>
      </c>
      <c r="H18" s="7">
        <v>0</v>
      </c>
      <c r="I18" s="15">
        <v>13</v>
      </c>
      <c r="J18" s="7">
        <v>0</v>
      </c>
      <c r="K18" s="15">
        <v>15</v>
      </c>
      <c r="L18" s="7">
        <v>0.01</v>
      </c>
      <c r="M18" s="15">
        <v>13</v>
      </c>
      <c r="N18" s="7">
        <v>0.01</v>
      </c>
      <c r="O18" s="2">
        <v>56</v>
      </c>
      <c r="P18" s="21">
        <f t="shared" si="0"/>
        <v>0.91803278688524592</v>
      </c>
    </row>
    <row r="19" spans="1:16" x14ac:dyDescent="0.25">
      <c r="A19" t="s">
        <v>37</v>
      </c>
      <c r="B19" s="2" t="s">
        <v>38</v>
      </c>
      <c r="C19" s="15">
        <v>393814</v>
      </c>
      <c r="D19" s="15">
        <v>3782427</v>
      </c>
      <c r="E19" t="s">
        <v>149</v>
      </c>
      <c r="F19" s="2" t="s">
        <v>38</v>
      </c>
      <c r="G19" s="15">
        <v>15</v>
      </c>
      <c r="H19" s="7">
        <v>0.01</v>
      </c>
      <c r="I19" s="15">
        <v>11</v>
      </c>
      <c r="J19" s="7">
        <v>0.01</v>
      </c>
      <c r="K19" s="15">
        <v>15</v>
      </c>
      <c r="L19" s="7">
        <v>0</v>
      </c>
      <c r="M19" s="15">
        <v>14</v>
      </c>
      <c r="N19" s="7">
        <v>0.01</v>
      </c>
      <c r="O19" s="2">
        <v>55</v>
      </c>
      <c r="P19" s="21">
        <f t="shared" si="0"/>
        <v>0.90163934426229508</v>
      </c>
    </row>
    <row r="20" spans="1:16" x14ac:dyDescent="0.25">
      <c r="A20" t="s">
        <v>40</v>
      </c>
      <c r="B20" s="2" t="s">
        <v>38</v>
      </c>
      <c r="C20" s="15">
        <v>393053</v>
      </c>
      <c r="D20" s="15">
        <v>3780864</v>
      </c>
      <c r="E20" t="s">
        <v>203</v>
      </c>
      <c r="F20" s="2"/>
      <c r="G20" s="15">
        <v>15</v>
      </c>
      <c r="H20" s="7">
        <v>0.02</v>
      </c>
      <c r="I20" s="15">
        <v>15</v>
      </c>
      <c r="J20" s="7">
        <v>0.02</v>
      </c>
      <c r="K20" s="15">
        <v>14</v>
      </c>
      <c r="L20" s="7">
        <v>0.02</v>
      </c>
      <c r="M20" s="15">
        <v>14</v>
      </c>
      <c r="N20" s="7">
        <v>0.02</v>
      </c>
      <c r="O20" s="2">
        <v>58</v>
      </c>
      <c r="P20" s="21">
        <f t="shared" si="0"/>
        <v>0.95081967213114749</v>
      </c>
    </row>
    <row r="21" spans="1:16" x14ac:dyDescent="0.25">
      <c r="A21" t="s">
        <v>41</v>
      </c>
      <c r="B21" s="2" t="s">
        <v>42</v>
      </c>
      <c r="C21" s="15">
        <v>489216</v>
      </c>
      <c r="D21" s="15">
        <v>3637122</v>
      </c>
      <c r="E21" t="s">
        <v>43</v>
      </c>
      <c r="F21" s="2" t="s">
        <v>42</v>
      </c>
      <c r="G21" s="15">
        <v>15</v>
      </c>
      <c r="H21" s="7">
        <v>0</v>
      </c>
      <c r="I21" s="15">
        <v>12</v>
      </c>
      <c r="J21" s="7">
        <v>0</v>
      </c>
      <c r="K21" s="15">
        <v>14</v>
      </c>
      <c r="L21" s="7">
        <v>0</v>
      </c>
      <c r="M21" s="15">
        <v>14</v>
      </c>
      <c r="N21" s="7">
        <v>0</v>
      </c>
      <c r="O21" s="2">
        <v>55</v>
      </c>
      <c r="P21" s="21">
        <f t="shared" si="0"/>
        <v>0.90163934426229508</v>
      </c>
    </row>
    <row r="22" spans="1:16" x14ac:dyDescent="0.25">
      <c r="A22" t="s">
        <v>44</v>
      </c>
      <c r="B22" s="2" t="s">
        <v>46</v>
      </c>
      <c r="C22" s="15">
        <v>696737</v>
      </c>
      <c r="D22" s="15">
        <v>3731000</v>
      </c>
      <c r="E22" t="s">
        <v>47</v>
      </c>
      <c r="F22" s="2" t="s">
        <v>45</v>
      </c>
      <c r="G22" s="15">
        <v>16</v>
      </c>
      <c r="H22" s="7">
        <v>0.01</v>
      </c>
      <c r="I22" s="15">
        <v>13</v>
      </c>
      <c r="J22" s="7">
        <v>0.01</v>
      </c>
      <c r="K22" s="15">
        <v>11</v>
      </c>
      <c r="L22" s="7">
        <v>0</v>
      </c>
      <c r="M22" s="15">
        <v>13</v>
      </c>
      <c r="N22" s="7">
        <v>0.01</v>
      </c>
      <c r="O22" s="2">
        <v>53</v>
      </c>
      <c r="P22" s="21">
        <f t="shared" si="0"/>
        <v>0.86885245901639341</v>
      </c>
    </row>
    <row r="23" spans="1:16" x14ac:dyDescent="0.25">
      <c r="A23" s="1" t="s">
        <v>245</v>
      </c>
      <c r="B23" s="23" t="s">
        <v>248</v>
      </c>
      <c r="C23" s="2">
        <v>406283</v>
      </c>
      <c r="D23" s="2">
        <v>3818121</v>
      </c>
      <c r="E23" t="s">
        <v>247</v>
      </c>
      <c r="F23" s="23" t="s">
        <v>248</v>
      </c>
      <c r="G23" s="15">
        <v>16</v>
      </c>
      <c r="H23" s="7">
        <v>0.01</v>
      </c>
      <c r="I23" s="15">
        <v>14</v>
      </c>
      <c r="J23" s="7">
        <v>0</v>
      </c>
      <c r="K23" s="15">
        <v>15</v>
      </c>
      <c r="L23" s="7">
        <v>0</v>
      </c>
      <c r="M23" s="15">
        <v>15</v>
      </c>
      <c r="N23" s="7">
        <v>0</v>
      </c>
      <c r="O23" s="2">
        <v>60</v>
      </c>
      <c r="P23" s="21">
        <f t="shared" si="0"/>
        <v>0.98360655737704916</v>
      </c>
    </row>
    <row r="24" spans="1:16" x14ac:dyDescent="0.25">
      <c r="A24" t="s">
        <v>48</v>
      </c>
      <c r="B24" s="2" t="s">
        <v>49</v>
      </c>
      <c r="C24" s="15">
        <v>488916</v>
      </c>
      <c r="D24" s="15">
        <v>3738007</v>
      </c>
      <c r="E24" t="s">
        <v>205</v>
      </c>
      <c r="F24" s="2"/>
      <c r="G24" s="15">
        <v>14</v>
      </c>
      <c r="H24" s="7">
        <v>0.01</v>
      </c>
      <c r="I24" s="15">
        <v>14</v>
      </c>
      <c r="J24" s="7">
        <v>0.01</v>
      </c>
      <c r="K24" s="15">
        <v>12</v>
      </c>
      <c r="L24" s="7">
        <v>0.01</v>
      </c>
      <c r="M24" s="15">
        <v>13</v>
      </c>
      <c r="N24" s="7">
        <v>0.01</v>
      </c>
      <c r="O24" s="2">
        <v>53</v>
      </c>
      <c r="P24" s="21">
        <f t="shared" si="0"/>
        <v>0.86885245901639341</v>
      </c>
    </row>
    <row r="25" spans="1:16" x14ac:dyDescent="0.25">
      <c r="A25" s="1" t="s">
        <v>50</v>
      </c>
      <c r="B25" s="23" t="s">
        <v>49</v>
      </c>
      <c r="C25" s="15">
        <v>493969</v>
      </c>
      <c r="D25" s="15">
        <v>3758514</v>
      </c>
      <c r="E25" s="1" t="s">
        <v>52</v>
      </c>
      <c r="F25" s="23" t="s">
        <v>51</v>
      </c>
      <c r="G25" s="2">
        <v>15</v>
      </c>
      <c r="H25" s="7">
        <v>0.02</v>
      </c>
      <c r="I25" s="15">
        <v>15</v>
      </c>
      <c r="J25" s="7">
        <v>0.01</v>
      </c>
      <c r="K25" s="15">
        <v>12</v>
      </c>
      <c r="L25" s="7">
        <v>0.01</v>
      </c>
      <c r="M25" s="15">
        <v>15</v>
      </c>
      <c r="N25" s="7">
        <v>0.01</v>
      </c>
      <c r="O25" s="2">
        <v>57</v>
      </c>
      <c r="P25" s="21">
        <f t="shared" si="0"/>
        <v>0.93442622950819676</v>
      </c>
    </row>
    <row r="26" spans="1:16" x14ac:dyDescent="0.25">
      <c r="A26" t="s">
        <v>53</v>
      </c>
      <c r="B26" s="2" t="s">
        <v>55</v>
      </c>
      <c r="C26" s="15">
        <v>497871</v>
      </c>
      <c r="D26" s="15">
        <v>3762547</v>
      </c>
      <c r="E26" s="1" t="s">
        <v>206</v>
      </c>
      <c r="F26" s="2" t="s">
        <v>54</v>
      </c>
      <c r="G26" s="15">
        <v>14</v>
      </c>
      <c r="H26" s="7">
        <v>0.04</v>
      </c>
      <c r="I26" s="15">
        <v>15</v>
      </c>
      <c r="J26" s="7">
        <v>0.01</v>
      </c>
      <c r="K26" s="15">
        <v>14</v>
      </c>
      <c r="L26" s="7">
        <v>0</v>
      </c>
      <c r="M26" s="15">
        <v>14</v>
      </c>
      <c r="N26" s="7">
        <v>0.01</v>
      </c>
      <c r="O26" s="2">
        <v>57</v>
      </c>
      <c r="P26" s="21">
        <f t="shared" si="0"/>
        <v>0.93442622950819676</v>
      </c>
    </row>
    <row r="27" spans="1:16" x14ac:dyDescent="0.25">
      <c r="A27" t="s">
        <v>56</v>
      </c>
      <c r="B27" s="2" t="s">
        <v>55</v>
      </c>
      <c r="C27" s="15">
        <v>503485</v>
      </c>
      <c r="D27" s="15">
        <v>3772372</v>
      </c>
      <c r="E27" t="s">
        <v>204</v>
      </c>
      <c r="F27" s="2" t="s">
        <v>54</v>
      </c>
      <c r="G27" s="15">
        <v>16</v>
      </c>
      <c r="H27" s="7">
        <v>0.01</v>
      </c>
      <c r="I27" s="15">
        <v>15</v>
      </c>
      <c r="J27" s="7">
        <v>0</v>
      </c>
      <c r="K27" s="15">
        <v>14</v>
      </c>
      <c r="L27" s="7">
        <v>7.0000000000000007E-2</v>
      </c>
      <c r="M27" s="15">
        <v>15</v>
      </c>
      <c r="N27" s="7">
        <v>0</v>
      </c>
      <c r="O27" s="2">
        <v>60</v>
      </c>
      <c r="P27" s="21">
        <f t="shared" si="0"/>
        <v>0.98360655737704916</v>
      </c>
    </row>
    <row r="28" spans="1:16" x14ac:dyDescent="0.25">
      <c r="A28" s="1" t="s">
        <v>57</v>
      </c>
      <c r="B28" s="23" t="s">
        <v>55</v>
      </c>
      <c r="C28" s="15">
        <v>498204</v>
      </c>
      <c r="D28" s="15">
        <v>3760083</v>
      </c>
      <c r="E28" s="1" t="s">
        <v>201</v>
      </c>
      <c r="F28" s="23" t="s">
        <v>54</v>
      </c>
      <c r="G28" s="15">
        <v>15</v>
      </c>
      <c r="H28" s="7">
        <v>0.01</v>
      </c>
      <c r="I28" s="15">
        <v>14</v>
      </c>
      <c r="J28" s="7">
        <v>0.01</v>
      </c>
      <c r="K28" s="15">
        <v>14</v>
      </c>
      <c r="L28" s="7">
        <v>0.01</v>
      </c>
      <c r="M28" s="15">
        <v>13</v>
      </c>
      <c r="N28" s="7">
        <v>0.01</v>
      </c>
      <c r="O28" s="2">
        <v>56</v>
      </c>
      <c r="P28" s="21">
        <f t="shared" si="0"/>
        <v>0.91803278688524592</v>
      </c>
    </row>
    <row r="29" spans="1:16" x14ac:dyDescent="0.25">
      <c r="A29" s="1" t="s">
        <v>232</v>
      </c>
      <c r="B29" s="23" t="s">
        <v>55</v>
      </c>
      <c r="C29" s="15">
        <v>520258</v>
      </c>
      <c r="D29" s="15">
        <v>3741410</v>
      </c>
      <c r="E29" s="26" t="s">
        <v>233</v>
      </c>
      <c r="F29" s="23"/>
      <c r="G29" s="15">
        <v>9</v>
      </c>
      <c r="H29" s="7">
        <v>0</v>
      </c>
      <c r="I29" s="15">
        <v>15</v>
      </c>
      <c r="J29" s="7">
        <v>0</v>
      </c>
      <c r="K29" s="15">
        <v>11</v>
      </c>
      <c r="L29" s="7">
        <v>0</v>
      </c>
      <c r="M29" s="15">
        <v>12</v>
      </c>
      <c r="N29" s="7">
        <v>0</v>
      </c>
      <c r="O29" s="2">
        <v>47</v>
      </c>
      <c r="P29" s="21">
        <f>(O29/55)</f>
        <v>0.8545454545454545</v>
      </c>
    </row>
    <row r="30" spans="1:16" x14ac:dyDescent="0.25">
      <c r="A30" s="1" t="s">
        <v>58</v>
      </c>
      <c r="B30" s="23" t="s">
        <v>55</v>
      </c>
      <c r="C30" s="15">
        <v>516067</v>
      </c>
      <c r="D30" s="15">
        <v>3741587</v>
      </c>
      <c r="E30" s="1" t="s">
        <v>234</v>
      </c>
      <c r="F30" s="2"/>
      <c r="G30" s="15">
        <v>4</v>
      </c>
      <c r="H30" s="7">
        <v>0</v>
      </c>
      <c r="I30" s="15"/>
      <c r="J30" s="7"/>
      <c r="K30" s="15"/>
      <c r="L30" s="7"/>
      <c r="M30" s="15"/>
      <c r="N30" s="7"/>
      <c r="O30" s="2">
        <v>4</v>
      </c>
      <c r="P30" s="21">
        <f>(O30/6)</f>
        <v>0.66666666666666663</v>
      </c>
    </row>
    <row r="31" spans="1:16" x14ac:dyDescent="0.25">
      <c r="A31" t="s">
        <v>59</v>
      </c>
      <c r="B31" s="2" t="s">
        <v>60</v>
      </c>
      <c r="C31" s="15">
        <v>414850</v>
      </c>
      <c r="D31" s="15">
        <v>3867421</v>
      </c>
      <c r="E31" t="s">
        <v>61</v>
      </c>
      <c r="F31" s="2" t="s">
        <v>60</v>
      </c>
      <c r="G31" s="15">
        <v>14</v>
      </c>
      <c r="H31" s="7">
        <v>0.01</v>
      </c>
      <c r="I31" s="15">
        <v>14</v>
      </c>
      <c r="J31" s="7">
        <v>0.01</v>
      </c>
      <c r="K31" s="15">
        <v>13</v>
      </c>
      <c r="L31" s="7">
        <v>0.01</v>
      </c>
      <c r="M31" s="15">
        <v>13</v>
      </c>
      <c r="N31" s="7">
        <v>0.01</v>
      </c>
      <c r="O31" s="2">
        <v>54</v>
      </c>
      <c r="P31" s="21">
        <f t="shared" si="0"/>
        <v>0.88524590163934425</v>
      </c>
    </row>
    <row r="32" spans="1:16" x14ac:dyDescent="0.25">
      <c r="A32" s="1" t="s">
        <v>246</v>
      </c>
      <c r="B32" s="23" t="s">
        <v>250</v>
      </c>
      <c r="C32" s="2">
        <v>561238</v>
      </c>
      <c r="D32" s="2">
        <v>3753536</v>
      </c>
      <c r="E32" t="s">
        <v>249</v>
      </c>
      <c r="F32" s="23" t="s">
        <v>250</v>
      </c>
      <c r="G32" s="15">
        <v>15</v>
      </c>
      <c r="H32" s="7">
        <v>0.01</v>
      </c>
      <c r="I32" s="15">
        <v>15</v>
      </c>
      <c r="J32" s="7">
        <v>0.01</v>
      </c>
      <c r="K32" s="15">
        <v>15</v>
      </c>
      <c r="L32" s="7">
        <v>0</v>
      </c>
      <c r="M32" s="15">
        <v>14</v>
      </c>
      <c r="N32" s="7">
        <v>0.01</v>
      </c>
      <c r="O32" s="2">
        <v>59</v>
      </c>
      <c r="P32" s="21">
        <f t="shared" si="0"/>
        <v>0.96721311475409832</v>
      </c>
    </row>
    <row r="33" spans="1:16" x14ac:dyDescent="0.25">
      <c r="A33" t="s">
        <v>62</v>
      </c>
      <c r="B33" s="2" t="s">
        <v>64</v>
      </c>
      <c r="C33" s="15">
        <v>499924</v>
      </c>
      <c r="D33" s="15">
        <v>3868718</v>
      </c>
      <c r="E33" t="s">
        <v>69</v>
      </c>
      <c r="F33" s="2" t="s">
        <v>63</v>
      </c>
      <c r="G33" s="15">
        <v>16</v>
      </c>
      <c r="H33" s="7">
        <v>0.04</v>
      </c>
      <c r="I33" s="15">
        <v>14</v>
      </c>
      <c r="J33" s="7">
        <v>0.01</v>
      </c>
      <c r="K33" s="15">
        <v>15</v>
      </c>
      <c r="L33" s="7">
        <v>0.01</v>
      </c>
      <c r="M33" s="15">
        <v>13</v>
      </c>
      <c r="N33" s="7">
        <v>0.01</v>
      </c>
      <c r="O33" s="2">
        <v>58</v>
      </c>
      <c r="P33" s="21">
        <f t="shared" si="0"/>
        <v>0.95081967213114749</v>
      </c>
    </row>
    <row r="34" spans="1:16" x14ac:dyDescent="0.25">
      <c r="B34" s="2"/>
      <c r="C34" s="16"/>
      <c r="D34" s="16"/>
      <c r="F34" s="2"/>
      <c r="G34" s="15"/>
      <c r="H34" s="7"/>
      <c r="I34" s="15"/>
      <c r="J34" s="7"/>
      <c r="K34" s="15"/>
      <c r="L34" s="7"/>
      <c r="M34" s="15"/>
      <c r="N34" s="7"/>
      <c r="P34" s="21"/>
    </row>
    <row r="35" spans="1:16" x14ac:dyDescent="0.25">
      <c r="A35" s="24" t="s">
        <v>252</v>
      </c>
      <c r="C35" s="16"/>
      <c r="D35" s="16"/>
      <c r="G35" s="15">
        <f t="shared" ref="G35:O35" si="1">AVERAGE(G6:G33)</f>
        <v>15.25</v>
      </c>
      <c r="H35" s="7">
        <f t="shared" si="1"/>
        <v>1.2499999999999999E-2</v>
      </c>
      <c r="I35" s="15">
        <f t="shared" si="1"/>
        <v>14.038461538461538</v>
      </c>
      <c r="J35" s="7">
        <f t="shared" si="1"/>
        <v>7.6923076923076945E-3</v>
      </c>
      <c r="K35" s="15">
        <f t="shared" si="1"/>
        <v>13.576923076923077</v>
      </c>
      <c r="L35" s="7">
        <f t="shared" si="1"/>
        <v>8.461538461538463E-3</v>
      </c>
      <c r="M35" s="15">
        <f t="shared" si="1"/>
        <v>13.73076923076923</v>
      </c>
      <c r="N35" s="7">
        <f t="shared" si="1"/>
        <v>7.3076923076923102E-3</v>
      </c>
      <c r="O35" s="15">
        <f t="shared" si="1"/>
        <v>53.642857142857146</v>
      </c>
      <c r="P35" s="22">
        <f>SUM(O6:O33)/1762</f>
        <v>0.85244040862656068</v>
      </c>
    </row>
    <row r="36" spans="1:16" x14ac:dyDescent="0.25">
      <c r="A36" t="s">
        <v>235</v>
      </c>
    </row>
  </sheetData>
  <mergeCells count="7">
    <mergeCell ref="O4:P4"/>
    <mergeCell ref="A1:P1"/>
    <mergeCell ref="A2:P2"/>
    <mergeCell ref="G4:H4"/>
    <mergeCell ref="I4:J4"/>
    <mergeCell ref="K4:L4"/>
    <mergeCell ref="M4:N4"/>
  </mergeCells>
  <phoneticPr fontId="0" type="noConversion"/>
  <printOptions horizontalCentered="1"/>
  <pageMargins left="0.25" right="0.25" top="0.5" bottom="0.5" header="0" footer="0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workbookViewId="0">
      <selection activeCell="A6" sqref="A6"/>
    </sheetView>
  </sheetViews>
  <sheetFormatPr defaultRowHeight="13.2" x14ac:dyDescent="0.25"/>
  <cols>
    <col min="1" max="1" width="11.109375" bestFit="1" customWidth="1"/>
    <col min="2" max="2" width="13.44140625" customWidth="1"/>
    <col min="3" max="3" width="7.33203125" customWidth="1"/>
    <col min="4" max="4" width="7.6640625" customWidth="1"/>
    <col min="5" max="5" width="25.6640625" bestFit="1" customWidth="1"/>
    <col min="6" max="6" width="13.88671875" customWidth="1"/>
    <col min="7" max="7" width="7.5546875" customWidth="1"/>
    <col min="8" max="8" width="7.44140625" customWidth="1"/>
    <col min="9" max="9" width="9" customWidth="1"/>
    <col min="10" max="10" width="7" customWidth="1"/>
    <col min="11" max="11" width="5" customWidth="1"/>
    <col min="12" max="12" width="8.44140625" customWidth="1"/>
    <col min="13" max="13" width="7.88671875" customWidth="1"/>
    <col min="14" max="14" width="8.88671875" bestFit="1" customWidth="1"/>
  </cols>
  <sheetData>
    <row r="1" spans="1:15" ht="15.6" x14ac:dyDescent="0.3">
      <c r="A1" s="46" t="s">
        <v>258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x14ac:dyDescent="0.25">
      <c r="A2" s="42" t="s">
        <v>270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5" x14ac:dyDescent="0.25">
      <c r="E3" s="8"/>
      <c r="F3" s="8"/>
    </row>
    <row r="4" spans="1:15" x14ac:dyDescent="0.25">
      <c r="G4" s="45" t="s">
        <v>152</v>
      </c>
      <c r="H4" s="45"/>
      <c r="I4" s="45"/>
      <c r="J4" s="45" t="s">
        <v>153</v>
      </c>
      <c r="K4" s="45"/>
      <c r="L4" s="45"/>
      <c r="N4" s="18" t="s">
        <v>211</v>
      </c>
      <c r="O4" s="17"/>
    </row>
    <row r="5" spans="1:15" x14ac:dyDescent="0.25">
      <c r="A5" s="12" t="s">
        <v>0</v>
      </c>
      <c r="B5" s="12" t="s">
        <v>2</v>
      </c>
      <c r="C5" s="6" t="s">
        <v>68</v>
      </c>
      <c r="D5" s="6" t="s">
        <v>67</v>
      </c>
      <c r="E5" s="12" t="s">
        <v>66</v>
      </c>
      <c r="F5" s="12" t="s">
        <v>1</v>
      </c>
      <c r="G5" s="6" t="s">
        <v>3</v>
      </c>
      <c r="H5" s="6" t="s">
        <v>4</v>
      </c>
      <c r="I5" s="6" t="s">
        <v>150</v>
      </c>
      <c r="J5" s="6" t="s">
        <v>3</v>
      </c>
      <c r="K5" s="6" t="s">
        <v>4</v>
      </c>
      <c r="L5" s="6" t="s">
        <v>151</v>
      </c>
      <c r="M5" s="6" t="s">
        <v>141</v>
      </c>
      <c r="N5" s="18" t="s">
        <v>212</v>
      </c>
      <c r="O5" s="17"/>
    </row>
    <row r="6" spans="1:15" x14ac:dyDescent="0.25">
      <c r="A6" s="1" t="s">
        <v>73</v>
      </c>
      <c r="B6" s="23" t="s">
        <v>13</v>
      </c>
      <c r="C6" s="15">
        <v>598631</v>
      </c>
      <c r="D6" s="15">
        <v>3628738</v>
      </c>
      <c r="E6" s="1" t="s">
        <v>74</v>
      </c>
      <c r="F6" s="23" t="s">
        <v>13</v>
      </c>
      <c r="G6" s="13">
        <v>4.8</v>
      </c>
      <c r="H6" s="13">
        <v>4.4000000000000004</v>
      </c>
      <c r="I6" s="2">
        <v>0</v>
      </c>
      <c r="J6" s="13">
        <v>3.3</v>
      </c>
      <c r="K6" s="13">
        <v>2.7</v>
      </c>
      <c r="L6" s="2">
        <v>0</v>
      </c>
      <c r="M6" s="2">
        <v>8657</v>
      </c>
      <c r="N6" s="21">
        <f>(M6/8784)</f>
        <v>0.98554189435336981</v>
      </c>
      <c r="O6" s="17"/>
    </row>
    <row r="7" spans="1:15" x14ac:dyDescent="0.25">
      <c r="A7" s="1" t="s">
        <v>32</v>
      </c>
      <c r="B7" s="23" t="s">
        <v>33</v>
      </c>
      <c r="C7" s="15">
        <v>371736</v>
      </c>
      <c r="D7" s="15">
        <v>3855846</v>
      </c>
      <c r="E7" s="1" t="s">
        <v>34</v>
      </c>
      <c r="F7" s="23" t="s">
        <v>33</v>
      </c>
      <c r="G7" s="13">
        <v>5.3</v>
      </c>
      <c r="H7" s="13">
        <v>5.3</v>
      </c>
      <c r="I7" s="2">
        <v>0</v>
      </c>
      <c r="J7" s="13">
        <v>3.7</v>
      </c>
      <c r="K7" s="13">
        <v>3.6</v>
      </c>
      <c r="L7" s="2">
        <v>0</v>
      </c>
      <c r="M7" s="2">
        <v>8001</v>
      </c>
      <c r="N7" s="21">
        <f>(M7/8784)</f>
        <v>0.91086065573770492</v>
      </c>
      <c r="O7" s="17"/>
    </row>
    <row r="8" spans="1:15" x14ac:dyDescent="0.25">
      <c r="A8" s="1" t="s">
        <v>75</v>
      </c>
      <c r="B8" s="23" t="s">
        <v>55</v>
      </c>
      <c r="C8" s="15">
        <v>496845</v>
      </c>
      <c r="D8" s="15">
        <v>3763656</v>
      </c>
      <c r="E8" s="32" t="s">
        <v>231</v>
      </c>
      <c r="F8" s="23" t="s">
        <v>54</v>
      </c>
      <c r="G8" s="13">
        <v>4.8</v>
      </c>
      <c r="H8" s="13">
        <v>4.5999999999999996</v>
      </c>
      <c r="I8" s="2">
        <v>0</v>
      </c>
      <c r="J8" s="13">
        <v>3.7</v>
      </c>
      <c r="K8" s="13">
        <v>3.6</v>
      </c>
      <c r="L8" s="2">
        <v>0</v>
      </c>
      <c r="M8" s="2">
        <v>8544</v>
      </c>
      <c r="N8" s="21">
        <f>(M8/8784)</f>
        <v>0.97267759562841527</v>
      </c>
      <c r="O8" s="17"/>
    </row>
    <row r="9" spans="1:15" x14ac:dyDescent="0.25">
      <c r="A9" s="1"/>
      <c r="B9" s="23"/>
      <c r="C9" s="15"/>
      <c r="D9" s="15"/>
      <c r="E9" s="32"/>
      <c r="F9" s="23"/>
      <c r="G9" s="13"/>
      <c r="H9" s="13"/>
      <c r="I9" s="2"/>
      <c r="J9" s="13"/>
      <c r="K9" s="13"/>
      <c r="L9" s="2"/>
      <c r="M9" s="2"/>
      <c r="N9" s="21"/>
      <c r="O9" s="17"/>
    </row>
    <row r="10" spans="1:15" x14ac:dyDescent="0.25">
      <c r="A10" s="24" t="s">
        <v>252</v>
      </c>
      <c r="G10" s="13"/>
      <c r="H10" s="13"/>
      <c r="I10" s="15">
        <v>0</v>
      </c>
      <c r="J10" s="13"/>
      <c r="K10" s="13"/>
      <c r="L10" s="15">
        <v>0</v>
      </c>
      <c r="M10" s="15">
        <f>AVERAGE(M6:M8)</f>
        <v>8400.6666666666661</v>
      </c>
      <c r="N10" s="22">
        <f>(SUM(M6:M8)/26352)</f>
        <v>0.95636004857316337</v>
      </c>
    </row>
    <row r="11" spans="1:15" x14ac:dyDescent="0.25">
      <c r="A11" s="24" t="s">
        <v>253</v>
      </c>
      <c r="G11">
        <v>5.3</v>
      </c>
      <c r="H11">
        <v>5.3</v>
      </c>
      <c r="J11">
        <v>3.7</v>
      </c>
      <c r="K11">
        <v>3.7</v>
      </c>
    </row>
    <row r="14" spans="1:15" ht="15.6" x14ac:dyDescent="0.3">
      <c r="A14" s="46" t="s">
        <v>277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1:15" ht="18" x14ac:dyDescent="0.3">
      <c r="A15" s="46" t="s">
        <v>275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1:15" ht="15.6" x14ac:dyDescent="0.25">
      <c r="A16" s="42" t="s">
        <v>276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</row>
    <row r="17" spans="1:15" x14ac:dyDescent="0.25">
      <c r="E17" s="8"/>
      <c r="F17" s="8"/>
    </row>
    <row r="18" spans="1:15" x14ac:dyDescent="0.25">
      <c r="G18" s="45" t="s">
        <v>152</v>
      </c>
      <c r="H18" s="45"/>
      <c r="I18" s="45" t="s">
        <v>153</v>
      </c>
      <c r="J18" s="45"/>
      <c r="L18" s="6"/>
      <c r="N18" s="18"/>
      <c r="O18" s="17"/>
    </row>
    <row r="19" spans="1:15" x14ac:dyDescent="0.25">
      <c r="A19" s="12" t="s">
        <v>0</v>
      </c>
      <c r="B19" s="12" t="s">
        <v>2</v>
      </c>
      <c r="C19" s="6" t="s">
        <v>68</v>
      </c>
      <c r="D19" s="6" t="s">
        <v>67</v>
      </c>
      <c r="E19" s="12" t="s">
        <v>66</v>
      </c>
      <c r="F19" s="12" t="s">
        <v>1</v>
      </c>
      <c r="G19" s="6" t="s">
        <v>3</v>
      </c>
      <c r="H19" s="6" t="s">
        <v>4</v>
      </c>
      <c r="I19" s="6" t="s">
        <v>3</v>
      </c>
      <c r="J19" s="6" t="s">
        <v>4</v>
      </c>
      <c r="L19" s="6"/>
      <c r="M19" s="6"/>
      <c r="N19" s="18"/>
      <c r="O19" s="17"/>
    </row>
    <row r="20" spans="1:15" x14ac:dyDescent="0.25">
      <c r="A20" s="1" t="s">
        <v>73</v>
      </c>
      <c r="B20" s="23" t="s">
        <v>13</v>
      </c>
      <c r="C20" s="15">
        <v>598631</v>
      </c>
      <c r="D20" s="15">
        <v>3628738</v>
      </c>
      <c r="E20" s="1" t="s">
        <v>74</v>
      </c>
      <c r="F20" s="23" t="s">
        <v>13</v>
      </c>
      <c r="G20" s="15">
        <f t="shared" ref="G20:H22" si="0">G6*1.15*1000</f>
        <v>5520</v>
      </c>
      <c r="H20" s="15">
        <f t="shared" si="0"/>
        <v>5060</v>
      </c>
      <c r="I20" s="15">
        <f t="shared" ref="I20:J22" si="1">J6*1.15*1000</f>
        <v>3794.9999999999995</v>
      </c>
      <c r="J20" s="15">
        <f t="shared" si="1"/>
        <v>3105</v>
      </c>
      <c r="L20" s="2"/>
      <c r="M20" s="2"/>
      <c r="N20" s="21"/>
      <c r="O20" s="17"/>
    </row>
    <row r="21" spans="1:15" x14ac:dyDescent="0.25">
      <c r="A21" s="1" t="s">
        <v>32</v>
      </c>
      <c r="B21" s="23" t="s">
        <v>33</v>
      </c>
      <c r="C21" s="15">
        <v>371736</v>
      </c>
      <c r="D21" s="15">
        <v>3855846</v>
      </c>
      <c r="E21" s="1" t="s">
        <v>34</v>
      </c>
      <c r="F21" s="23" t="s">
        <v>33</v>
      </c>
      <c r="G21" s="15">
        <f t="shared" si="0"/>
        <v>6095</v>
      </c>
      <c r="H21" s="15">
        <f t="shared" si="0"/>
        <v>6095</v>
      </c>
      <c r="I21" s="15">
        <f t="shared" si="1"/>
        <v>4255</v>
      </c>
      <c r="J21" s="15">
        <f t="shared" si="1"/>
        <v>4140</v>
      </c>
      <c r="L21" s="2"/>
      <c r="M21" s="2"/>
      <c r="N21" s="21"/>
      <c r="O21" s="17"/>
    </row>
    <row r="22" spans="1:15" x14ac:dyDescent="0.25">
      <c r="A22" s="1" t="s">
        <v>75</v>
      </c>
      <c r="B22" s="23" t="s">
        <v>55</v>
      </c>
      <c r="C22" s="15">
        <v>496845</v>
      </c>
      <c r="D22" s="15">
        <v>3763656</v>
      </c>
      <c r="E22" s="32" t="s">
        <v>231</v>
      </c>
      <c r="F22" s="23" t="s">
        <v>54</v>
      </c>
      <c r="G22" s="15">
        <f t="shared" si="0"/>
        <v>5520</v>
      </c>
      <c r="H22" s="15">
        <f t="shared" si="0"/>
        <v>5289.9999999999991</v>
      </c>
      <c r="I22" s="15">
        <f t="shared" si="1"/>
        <v>4255</v>
      </c>
      <c r="J22" s="15">
        <f t="shared" si="1"/>
        <v>4140</v>
      </c>
      <c r="L22" s="2"/>
      <c r="M22" s="2"/>
      <c r="N22" s="21"/>
      <c r="O22" s="17"/>
    </row>
    <row r="24" spans="1:15" ht="15.6" x14ac:dyDescent="0.25">
      <c r="A24" s="48" t="s">
        <v>280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5" x14ac:dyDescent="0.25">
      <c r="A25" s="47" t="s">
        <v>278</v>
      </c>
      <c r="B25" s="47"/>
      <c r="C25" s="47"/>
      <c r="D25" s="47"/>
      <c r="E25" s="40"/>
      <c r="F25" s="40"/>
    </row>
  </sheetData>
  <dataConsolidate/>
  <mergeCells count="11">
    <mergeCell ref="A16:N16"/>
    <mergeCell ref="A25:D25"/>
    <mergeCell ref="A24:N24"/>
    <mergeCell ref="G4:I4"/>
    <mergeCell ref="J4:L4"/>
    <mergeCell ref="A1:N1"/>
    <mergeCell ref="A2:N2"/>
    <mergeCell ref="A14:N14"/>
    <mergeCell ref="G18:H18"/>
    <mergeCell ref="I18:J18"/>
    <mergeCell ref="A15:N15"/>
  </mergeCells>
  <phoneticPr fontId="0" type="noConversion"/>
  <printOptions horizontalCentered="1"/>
  <pageMargins left="0.25" right="0.25" top="0.5" bottom="0.5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workbookViewId="0">
      <selection activeCell="A6" sqref="A6"/>
    </sheetView>
  </sheetViews>
  <sheetFormatPr defaultRowHeight="13.2" x14ac:dyDescent="0.25"/>
  <cols>
    <col min="1" max="1" width="12.109375" bestFit="1" customWidth="1"/>
    <col min="2" max="2" width="14.6640625" bestFit="1" customWidth="1"/>
    <col min="3" max="3" width="7" customWidth="1"/>
    <col min="4" max="4" width="8.109375" customWidth="1"/>
    <col min="5" max="5" width="41" bestFit="1" customWidth="1"/>
    <col min="6" max="6" width="20.33203125" bestFit="1" customWidth="1"/>
    <col min="7" max="7" width="8.44140625" bestFit="1" customWidth="1"/>
    <col min="8" max="8" width="6.88671875" customWidth="1"/>
    <col min="9" max="9" width="7.109375" customWidth="1"/>
    <col min="10" max="10" width="10" customWidth="1"/>
    <col min="11" max="11" width="7.6640625" customWidth="1"/>
    <col min="12" max="12" width="5.5546875" bestFit="1" customWidth="1"/>
    <col min="13" max="13" width="10.88671875" customWidth="1"/>
    <col min="14" max="14" width="6" customWidth="1"/>
    <col min="15" max="15" width="5.5546875" bestFit="1" customWidth="1"/>
    <col min="16" max="16" width="6.33203125" bestFit="1" customWidth="1"/>
    <col min="17" max="17" width="8.88671875" bestFit="1" customWidth="1"/>
  </cols>
  <sheetData>
    <row r="1" spans="1:17" ht="18" x14ac:dyDescent="0.4">
      <c r="A1" s="46" t="s">
        <v>259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x14ac:dyDescent="0.25">
      <c r="A2" s="42" t="s">
        <v>260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x14ac:dyDescent="0.25">
      <c r="A3" s="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x14ac:dyDescent="0.25">
      <c r="A4" s="24"/>
      <c r="B4" s="24"/>
      <c r="C4" s="24"/>
      <c r="D4" s="24"/>
      <c r="E4" s="24"/>
      <c r="F4" s="24"/>
      <c r="G4" s="6" t="s">
        <v>193</v>
      </c>
      <c r="H4" s="45" t="s">
        <v>162</v>
      </c>
      <c r="I4" s="50"/>
      <c r="J4" s="50"/>
      <c r="K4" s="45" t="s">
        <v>159</v>
      </c>
      <c r="L4" s="49"/>
      <c r="M4" s="45"/>
      <c r="N4" s="45" t="s">
        <v>157</v>
      </c>
      <c r="O4" s="49"/>
      <c r="P4" s="6"/>
      <c r="Q4" s="18" t="s">
        <v>211</v>
      </c>
    </row>
    <row r="5" spans="1:17" x14ac:dyDescent="0.25">
      <c r="A5" s="12" t="s">
        <v>0</v>
      </c>
      <c r="B5" s="12" t="s">
        <v>2</v>
      </c>
      <c r="C5" s="6" t="s">
        <v>68</v>
      </c>
      <c r="D5" s="6" t="s">
        <v>67</v>
      </c>
      <c r="E5" s="12" t="s">
        <v>66</v>
      </c>
      <c r="F5" s="12" t="s">
        <v>1</v>
      </c>
      <c r="G5" s="6" t="s">
        <v>158</v>
      </c>
      <c r="H5" s="6" t="s">
        <v>3</v>
      </c>
      <c r="I5" s="6" t="s">
        <v>4</v>
      </c>
      <c r="J5" s="6" t="s">
        <v>161</v>
      </c>
      <c r="K5" s="6" t="s">
        <v>3</v>
      </c>
      <c r="L5" s="6" t="s">
        <v>4</v>
      </c>
      <c r="M5" s="6" t="s">
        <v>160</v>
      </c>
      <c r="N5" s="6" t="s">
        <v>3</v>
      </c>
      <c r="O5" s="6" t="s">
        <v>4</v>
      </c>
      <c r="P5" s="6" t="s">
        <v>163</v>
      </c>
      <c r="Q5" s="18" t="s">
        <v>212</v>
      </c>
    </row>
    <row r="6" spans="1:17" x14ac:dyDescent="0.25">
      <c r="A6" s="26" t="s">
        <v>77</v>
      </c>
      <c r="B6" s="27" t="s">
        <v>78</v>
      </c>
      <c r="C6" s="33">
        <v>456692</v>
      </c>
      <c r="D6" s="33">
        <v>3686698</v>
      </c>
      <c r="E6" s="26" t="s">
        <v>155</v>
      </c>
      <c r="F6" s="25"/>
      <c r="G6" s="29">
        <v>2E-3</v>
      </c>
      <c r="H6" s="29">
        <v>7.0000000000000001E-3</v>
      </c>
      <c r="I6" s="29">
        <v>7.0000000000000001E-3</v>
      </c>
      <c r="J6" s="25">
        <v>0</v>
      </c>
      <c r="K6" s="29">
        <v>2.1999999999999999E-2</v>
      </c>
      <c r="L6" s="29">
        <v>2.1000000000000001E-2</v>
      </c>
      <c r="M6" s="25">
        <v>0</v>
      </c>
      <c r="N6" s="29">
        <v>4.4999999999999998E-2</v>
      </c>
      <c r="O6" s="29">
        <v>3.9E-2</v>
      </c>
      <c r="P6" s="25">
        <v>8200</v>
      </c>
      <c r="Q6" s="30">
        <f>(P6/8784)</f>
        <v>0.93351548269581053</v>
      </c>
    </row>
    <row r="7" spans="1:17" x14ac:dyDescent="0.25">
      <c r="A7" s="26" t="s">
        <v>12</v>
      </c>
      <c r="B7" s="27" t="s">
        <v>13</v>
      </c>
      <c r="C7" s="33">
        <v>595649</v>
      </c>
      <c r="D7" s="33">
        <v>3638503</v>
      </c>
      <c r="E7" s="26" t="s">
        <v>14</v>
      </c>
      <c r="F7" s="27" t="s">
        <v>154</v>
      </c>
      <c r="G7" s="29">
        <v>3.0000000000000001E-3</v>
      </c>
      <c r="H7" s="29">
        <v>1.6E-2</v>
      </c>
      <c r="I7" s="29">
        <v>1.2999999999999999E-2</v>
      </c>
      <c r="J7" s="25">
        <v>0</v>
      </c>
      <c r="K7" s="29">
        <v>4.3999999999999997E-2</v>
      </c>
      <c r="L7" s="29">
        <v>3.4000000000000002E-2</v>
      </c>
      <c r="M7" s="25">
        <v>0</v>
      </c>
      <c r="N7" s="29">
        <v>5.8999999999999997E-2</v>
      </c>
      <c r="O7" s="29">
        <v>5.0999999999999997E-2</v>
      </c>
      <c r="P7" s="25">
        <v>8467</v>
      </c>
      <c r="Q7" s="30">
        <f t="shared" ref="Q7:Q16" si="0">(P7/8784)</f>
        <v>0.9639116575591985</v>
      </c>
    </row>
    <row r="8" spans="1:17" x14ac:dyDescent="0.25">
      <c r="A8" s="26" t="s">
        <v>15</v>
      </c>
      <c r="B8" s="27" t="s">
        <v>13</v>
      </c>
      <c r="C8" s="33">
        <v>625554</v>
      </c>
      <c r="D8" s="33">
        <v>3645337</v>
      </c>
      <c r="E8" s="26" t="s">
        <v>16</v>
      </c>
      <c r="F8" s="25"/>
      <c r="G8" s="29">
        <v>2E-3</v>
      </c>
      <c r="H8" s="29">
        <v>8.9999999999999993E-3</v>
      </c>
      <c r="I8" s="29">
        <v>8.9999999999999993E-3</v>
      </c>
      <c r="J8" s="25">
        <v>0</v>
      </c>
      <c r="K8" s="29">
        <v>2.7E-2</v>
      </c>
      <c r="L8" s="29">
        <v>2.4E-2</v>
      </c>
      <c r="M8" s="25">
        <v>0</v>
      </c>
      <c r="N8" s="29">
        <v>6.4000000000000001E-2</v>
      </c>
      <c r="O8" s="29">
        <v>0.04</v>
      </c>
      <c r="P8" s="25">
        <v>7757</v>
      </c>
      <c r="Q8" s="30">
        <f t="shared" si="0"/>
        <v>0.88308287795992713</v>
      </c>
    </row>
    <row r="9" spans="1:17" x14ac:dyDescent="0.25">
      <c r="A9" s="26" t="s">
        <v>26</v>
      </c>
      <c r="B9" s="27" t="s">
        <v>24</v>
      </c>
      <c r="C9" s="33">
        <v>658711</v>
      </c>
      <c r="D9" s="33">
        <v>3692520</v>
      </c>
      <c r="E9" s="26" t="s">
        <v>27</v>
      </c>
      <c r="F9" s="27" t="s">
        <v>24</v>
      </c>
      <c r="G9" s="29">
        <v>2E-3</v>
      </c>
      <c r="H9" s="14">
        <v>0.01</v>
      </c>
      <c r="I9" s="14">
        <v>0.01</v>
      </c>
      <c r="J9" s="25">
        <v>0</v>
      </c>
      <c r="K9" s="29">
        <v>3.7999999999999999E-2</v>
      </c>
      <c r="L9" s="29">
        <v>3.7999999999999999E-2</v>
      </c>
      <c r="M9" s="25">
        <v>0</v>
      </c>
      <c r="N9" s="29">
        <v>6.3E-2</v>
      </c>
      <c r="O9" s="29">
        <v>6.0999999999999999E-2</v>
      </c>
      <c r="P9" s="25">
        <v>6376</v>
      </c>
      <c r="Q9" s="30">
        <f t="shared" si="0"/>
        <v>0.7258652094717668</v>
      </c>
    </row>
    <row r="10" spans="1:17" x14ac:dyDescent="0.25">
      <c r="A10" s="26" t="s">
        <v>32</v>
      </c>
      <c r="B10" s="27" t="s">
        <v>33</v>
      </c>
      <c r="C10" s="33">
        <v>371736</v>
      </c>
      <c r="D10" s="33">
        <v>3855846</v>
      </c>
      <c r="E10" s="26" t="s">
        <v>148</v>
      </c>
      <c r="F10" s="27" t="s">
        <v>33</v>
      </c>
      <c r="G10" s="29">
        <v>0</v>
      </c>
      <c r="H10" s="29">
        <v>1.2999999999999999E-2</v>
      </c>
      <c r="I10" s="29">
        <v>1.0999999999999999E-2</v>
      </c>
      <c r="J10" s="25">
        <v>0</v>
      </c>
      <c r="K10" s="29">
        <v>3.5000000000000003E-2</v>
      </c>
      <c r="L10" s="29">
        <v>2.5000000000000001E-2</v>
      </c>
      <c r="M10" s="25">
        <v>0</v>
      </c>
      <c r="N10" s="29">
        <v>4.1000000000000002E-2</v>
      </c>
      <c r="O10" s="29">
        <v>3.5999999999999997E-2</v>
      </c>
      <c r="P10" s="25">
        <v>8611</v>
      </c>
      <c r="Q10" s="30">
        <f t="shared" si="0"/>
        <v>0.98030510018214934</v>
      </c>
    </row>
    <row r="11" spans="1:17" x14ac:dyDescent="0.25">
      <c r="A11" s="26" t="s">
        <v>79</v>
      </c>
      <c r="B11" s="27" t="s">
        <v>49</v>
      </c>
      <c r="C11" s="33">
        <v>485720</v>
      </c>
      <c r="D11" s="33">
        <v>3767608</v>
      </c>
      <c r="E11" s="26" t="s">
        <v>156</v>
      </c>
      <c r="F11" s="27" t="s">
        <v>80</v>
      </c>
      <c r="G11" s="29">
        <v>3.0000000000000001E-3</v>
      </c>
      <c r="H11" s="29">
        <v>1.4999999999999999E-2</v>
      </c>
      <c r="I11" s="29">
        <v>1.4E-2</v>
      </c>
      <c r="J11" s="25">
        <v>0</v>
      </c>
      <c r="K11" s="29">
        <v>7.1999999999999995E-2</v>
      </c>
      <c r="L11" s="29">
        <v>5.6000000000000001E-2</v>
      </c>
      <c r="M11" s="25">
        <v>0</v>
      </c>
      <c r="N11" s="29">
        <v>0.11899999999999999</v>
      </c>
      <c r="O11" s="29">
        <v>0.104</v>
      </c>
      <c r="P11" s="25">
        <v>8597</v>
      </c>
      <c r="Q11" s="30">
        <f t="shared" si="0"/>
        <v>0.97871129326047357</v>
      </c>
    </row>
    <row r="12" spans="1:17" x14ac:dyDescent="0.25">
      <c r="A12" s="26" t="s">
        <v>81</v>
      </c>
      <c r="B12" s="27" t="s">
        <v>82</v>
      </c>
      <c r="C12" s="33">
        <v>295318</v>
      </c>
      <c r="D12" s="33">
        <v>3853504</v>
      </c>
      <c r="E12" s="26" t="s">
        <v>230</v>
      </c>
      <c r="F12" s="25"/>
      <c r="G12" s="29">
        <v>2E-3</v>
      </c>
      <c r="H12" s="29">
        <v>1.4E-2</v>
      </c>
      <c r="I12" s="29">
        <v>8.9999999999999993E-3</v>
      </c>
      <c r="J12" s="25">
        <v>0</v>
      </c>
      <c r="K12" s="29">
        <v>2.7E-2</v>
      </c>
      <c r="L12" s="29">
        <v>2.1000000000000001E-2</v>
      </c>
      <c r="M12" s="25">
        <v>0</v>
      </c>
      <c r="N12" s="29">
        <v>0.03</v>
      </c>
      <c r="O12" s="29">
        <v>2.8000000000000001E-2</v>
      </c>
      <c r="P12" s="25">
        <v>7446</v>
      </c>
      <c r="Q12" s="30">
        <f t="shared" si="0"/>
        <v>0.84767759562841527</v>
      </c>
    </row>
    <row r="13" spans="1:17" x14ac:dyDescent="0.25">
      <c r="A13" s="26" t="s">
        <v>56</v>
      </c>
      <c r="B13" s="27" t="s">
        <v>55</v>
      </c>
      <c r="C13" s="33">
        <v>503485</v>
      </c>
      <c r="D13" s="33">
        <v>3772372</v>
      </c>
      <c r="E13" s="26" t="s">
        <v>146</v>
      </c>
      <c r="F13" s="27" t="s">
        <v>54</v>
      </c>
      <c r="G13" s="29">
        <v>3.0000000000000001E-3</v>
      </c>
      <c r="H13" s="29">
        <v>1.0999999999999999E-2</v>
      </c>
      <c r="I13" s="29">
        <v>0.01</v>
      </c>
      <c r="J13" s="25">
        <v>0</v>
      </c>
      <c r="K13" s="29">
        <v>2.8000000000000001E-2</v>
      </c>
      <c r="L13" s="29">
        <v>0.02</v>
      </c>
      <c r="M13" s="25">
        <v>0</v>
      </c>
      <c r="N13" s="29">
        <v>0.04</v>
      </c>
      <c r="O13" s="29">
        <v>3.1E-2</v>
      </c>
      <c r="P13" s="25">
        <v>7885</v>
      </c>
      <c r="Q13" s="30">
        <f t="shared" si="0"/>
        <v>0.89765482695810561</v>
      </c>
    </row>
    <row r="14" spans="1:17" x14ac:dyDescent="0.25">
      <c r="A14" s="1" t="s">
        <v>232</v>
      </c>
      <c r="B14" s="23" t="s">
        <v>55</v>
      </c>
      <c r="C14" s="15">
        <v>520258</v>
      </c>
      <c r="D14" s="15">
        <v>3741410</v>
      </c>
      <c r="E14" s="26" t="s">
        <v>236</v>
      </c>
      <c r="F14" s="27"/>
      <c r="G14" s="29">
        <v>2E-3</v>
      </c>
      <c r="H14" s="29">
        <v>0.01</v>
      </c>
      <c r="I14" s="29">
        <v>8.9999999999999993E-3</v>
      </c>
      <c r="J14" s="25">
        <v>0</v>
      </c>
      <c r="K14" s="29">
        <v>4.8000000000000001E-2</v>
      </c>
      <c r="L14" s="29">
        <v>3.5000000000000003E-2</v>
      </c>
      <c r="M14" s="25">
        <v>0</v>
      </c>
      <c r="N14" s="29">
        <v>7.3999999999999996E-2</v>
      </c>
      <c r="O14" s="29">
        <v>6.6000000000000003E-2</v>
      </c>
      <c r="P14" s="25">
        <v>7471</v>
      </c>
      <c r="Q14" s="30">
        <f>(P14/8400)</f>
        <v>0.88940476190476192</v>
      </c>
    </row>
    <row r="15" spans="1:17" x14ac:dyDescent="0.25">
      <c r="A15" s="26" t="s">
        <v>83</v>
      </c>
      <c r="B15" s="27" t="s">
        <v>55</v>
      </c>
      <c r="C15" s="33">
        <v>496666</v>
      </c>
      <c r="D15" s="33">
        <v>3764672</v>
      </c>
      <c r="E15" s="26" t="s">
        <v>131</v>
      </c>
      <c r="F15" s="27" t="s">
        <v>54</v>
      </c>
      <c r="G15" s="29">
        <v>3.0000000000000001E-3</v>
      </c>
      <c r="H15" s="29">
        <v>1.7999999999999999E-2</v>
      </c>
      <c r="I15" s="29">
        <v>8.9999999999999993E-3</v>
      </c>
      <c r="J15" s="25">
        <v>0</v>
      </c>
      <c r="K15" s="29">
        <v>3.5000000000000003E-2</v>
      </c>
      <c r="L15" s="29">
        <v>2.8000000000000001E-2</v>
      </c>
      <c r="M15" s="25">
        <v>0</v>
      </c>
      <c r="N15" s="29">
        <v>5.5E-2</v>
      </c>
      <c r="O15" s="29">
        <v>4.4999999999999998E-2</v>
      </c>
      <c r="P15" s="25">
        <v>8676</v>
      </c>
      <c r="Q15" s="30">
        <f t="shared" si="0"/>
        <v>0.98770491803278693</v>
      </c>
    </row>
    <row r="16" spans="1:17" x14ac:dyDescent="0.25">
      <c r="A16" s="26" t="s">
        <v>58</v>
      </c>
      <c r="B16" s="27" t="s">
        <v>55</v>
      </c>
      <c r="C16" s="33">
        <v>516067</v>
      </c>
      <c r="D16" s="33">
        <v>3741587</v>
      </c>
      <c r="E16" s="26" t="s">
        <v>70</v>
      </c>
      <c r="F16" s="25"/>
      <c r="G16" s="29">
        <v>2E-3</v>
      </c>
      <c r="H16" s="29">
        <v>8.9999999999999993E-3</v>
      </c>
      <c r="I16" s="29">
        <v>8.0000000000000002E-3</v>
      </c>
      <c r="J16" s="25">
        <v>0</v>
      </c>
      <c r="K16" s="29">
        <v>2.9000000000000001E-2</v>
      </c>
      <c r="L16" s="29">
        <v>2.5999999999999999E-2</v>
      </c>
      <c r="M16" s="25">
        <v>0</v>
      </c>
      <c r="N16" s="29">
        <v>4.2999999999999997E-2</v>
      </c>
      <c r="O16" s="29">
        <v>3.5000000000000003E-2</v>
      </c>
      <c r="P16" s="25">
        <v>6935</v>
      </c>
      <c r="Q16" s="30">
        <f t="shared" si="0"/>
        <v>0.78950364298724951</v>
      </c>
    </row>
    <row r="17" spans="1:17" x14ac:dyDescent="0.25">
      <c r="A17" s="26"/>
      <c r="B17" s="27"/>
      <c r="C17" s="28"/>
      <c r="D17" s="28"/>
      <c r="E17" s="26"/>
      <c r="F17" s="25"/>
      <c r="G17" s="29"/>
      <c r="H17" s="29"/>
      <c r="I17" s="29"/>
      <c r="J17" s="25"/>
      <c r="K17" s="29"/>
      <c r="L17" s="29"/>
      <c r="M17" s="25"/>
      <c r="N17" s="29"/>
      <c r="O17" s="29"/>
      <c r="P17" s="25"/>
      <c r="Q17" s="30"/>
    </row>
    <row r="18" spans="1:17" x14ac:dyDescent="0.25">
      <c r="A18" s="24" t="s">
        <v>252</v>
      </c>
      <c r="B18" s="24"/>
      <c r="C18" s="24"/>
      <c r="D18" s="24"/>
      <c r="E18" s="24"/>
      <c r="F18" s="24"/>
      <c r="G18" s="29">
        <f>AVERAGE(G6:G16)</f>
        <v>2.1818181818181819E-3</v>
      </c>
      <c r="H18" s="29"/>
      <c r="I18" s="29"/>
      <c r="J18" s="33">
        <v>0</v>
      </c>
      <c r="K18" s="29"/>
      <c r="L18" s="29"/>
      <c r="M18" s="33">
        <v>0</v>
      </c>
      <c r="N18" s="29"/>
      <c r="O18" s="29"/>
      <c r="P18" s="25">
        <f>AVERAGE(P6:P16)</f>
        <v>7856.454545454545</v>
      </c>
      <c r="Q18" s="31">
        <f>(P18/8784)</f>
        <v>0.89440511674118228</v>
      </c>
    </row>
    <row r="19" spans="1:17" x14ac:dyDescent="0.25">
      <c r="A19" s="24" t="s">
        <v>253</v>
      </c>
      <c r="B19" s="24"/>
      <c r="C19" s="24"/>
      <c r="D19" s="24"/>
      <c r="E19" s="24"/>
      <c r="F19" s="24"/>
      <c r="G19" s="29"/>
      <c r="H19" s="29">
        <v>1.7999999999999999E-2</v>
      </c>
      <c r="I19" s="29">
        <v>1.4999999999999999E-2</v>
      </c>
      <c r="J19" s="33"/>
      <c r="K19" s="29">
        <v>4.8000000000000001E-2</v>
      </c>
      <c r="L19" s="29">
        <v>4.3999999999999997E-2</v>
      </c>
      <c r="M19" s="33"/>
      <c r="N19" s="29">
        <v>0.11899999999999999</v>
      </c>
      <c r="O19" s="29">
        <v>0.104</v>
      </c>
      <c r="P19" s="25"/>
      <c r="Q19" s="31"/>
    </row>
    <row r="22" spans="1:17" ht="15.6" x14ac:dyDescent="0.3">
      <c r="A22" s="46" t="s">
        <v>277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ht="19.2" x14ac:dyDescent="0.4">
      <c r="A23" s="46" t="s">
        <v>273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ht="15.6" x14ac:dyDescent="0.25">
      <c r="A24" s="42" t="s">
        <v>274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7" x14ac:dyDescent="0.25">
      <c r="A25" s="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x14ac:dyDescent="0.25">
      <c r="A26" s="24"/>
      <c r="B26" s="24"/>
      <c r="C26" s="24"/>
      <c r="D26" s="24"/>
      <c r="E26" s="24"/>
      <c r="F26" s="24"/>
      <c r="G26" s="6" t="s">
        <v>193</v>
      </c>
      <c r="H26" s="45" t="s">
        <v>162</v>
      </c>
      <c r="I26" s="51"/>
      <c r="J26" s="45" t="s">
        <v>159</v>
      </c>
      <c r="K26" s="45"/>
      <c r="M26" s="6"/>
      <c r="N26" s="45"/>
      <c r="O26" s="49"/>
      <c r="P26" s="6"/>
      <c r="Q26" s="18"/>
    </row>
    <row r="27" spans="1:17" x14ac:dyDescent="0.25">
      <c r="A27" s="12" t="s">
        <v>0</v>
      </c>
      <c r="B27" s="12" t="s">
        <v>2</v>
      </c>
      <c r="C27" s="6" t="s">
        <v>68</v>
      </c>
      <c r="D27" s="6" t="s">
        <v>67</v>
      </c>
      <c r="E27" s="12" t="s">
        <v>66</v>
      </c>
      <c r="F27" s="12" t="s">
        <v>1</v>
      </c>
      <c r="G27" s="6" t="s">
        <v>158</v>
      </c>
      <c r="H27" s="6" t="s">
        <v>3</v>
      </c>
      <c r="I27" s="6" t="s">
        <v>4</v>
      </c>
      <c r="J27" s="6" t="s">
        <v>3</v>
      </c>
      <c r="K27" s="6" t="s">
        <v>4</v>
      </c>
      <c r="M27" s="6"/>
      <c r="N27" s="6"/>
      <c r="O27" s="6"/>
      <c r="P27" s="6"/>
      <c r="Q27" s="18"/>
    </row>
    <row r="28" spans="1:17" x14ac:dyDescent="0.25">
      <c r="A28" s="26" t="s">
        <v>77</v>
      </c>
      <c r="B28" s="27" t="s">
        <v>78</v>
      </c>
      <c r="C28" s="33">
        <v>456692</v>
      </c>
      <c r="D28" s="33">
        <v>3686698</v>
      </c>
      <c r="E28" s="26" t="s">
        <v>155</v>
      </c>
      <c r="F28" s="25"/>
      <c r="G28" s="39">
        <f>G6*2632</f>
        <v>5.2640000000000002</v>
      </c>
      <c r="H28" s="35">
        <f>H6*2632</f>
        <v>18.423999999999999</v>
      </c>
      <c r="I28" s="35">
        <f t="shared" ref="I28:I38" si="1">I6*2632</f>
        <v>18.423999999999999</v>
      </c>
      <c r="J28" s="35">
        <f t="shared" ref="J28:K38" si="2">K6*2632</f>
        <v>57.903999999999996</v>
      </c>
      <c r="K28" s="35">
        <f t="shared" si="2"/>
        <v>55.272000000000006</v>
      </c>
      <c r="M28" s="25"/>
      <c r="N28" s="29"/>
      <c r="O28" s="29"/>
      <c r="P28" s="25"/>
      <c r="Q28" s="30"/>
    </row>
    <row r="29" spans="1:17" x14ac:dyDescent="0.25">
      <c r="A29" s="26" t="s">
        <v>12</v>
      </c>
      <c r="B29" s="27" t="s">
        <v>13</v>
      </c>
      <c r="C29" s="33">
        <v>595649</v>
      </c>
      <c r="D29" s="33">
        <v>3638503</v>
      </c>
      <c r="E29" s="26" t="s">
        <v>14</v>
      </c>
      <c r="F29" s="27" t="s">
        <v>154</v>
      </c>
      <c r="G29" s="39">
        <f t="shared" ref="G29:H38" si="3">G7*2632</f>
        <v>7.8959999999999999</v>
      </c>
      <c r="H29" s="35">
        <f t="shared" si="3"/>
        <v>42.112000000000002</v>
      </c>
      <c r="I29" s="35">
        <f t="shared" si="1"/>
        <v>34.216000000000001</v>
      </c>
      <c r="J29" s="35">
        <f t="shared" si="2"/>
        <v>115.80799999999999</v>
      </c>
      <c r="K29" s="35">
        <f t="shared" si="2"/>
        <v>89.488</v>
      </c>
      <c r="M29" s="25"/>
      <c r="N29" s="29"/>
      <c r="O29" s="29"/>
      <c r="P29" s="25"/>
      <c r="Q29" s="30"/>
    </row>
    <row r="30" spans="1:17" x14ac:dyDescent="0.25">
      <c r="A30" s="26" t="s">
        <v>15</v>
      </c>
      <c r="B30" s="27" t="s">
        <v>13</v>
      </c>
      <c r="C30" s="33">
        <v>625554</v>
      </c>
      <c r="D30" s="33">
        <v>3645337</v>
      </c>
      <c r="E30" s="26" t="s">
        <v>16</v>
      </c>
      <c r="F30" s="25"/>
      <c r="G30" s="39">
        <f t="shared" si="3"/>
        <v>5.2640000000000002</v>
      </c>
      <c r="H30" s="35">
        <f t="shared" si="3"/>
        <v>23.687999999999999</v>
      </c>
      <c r="I30" s="35">
        <f t="shared" si="1"/>
        <v>23.687999999999999</v>
      </c>
      <c r="J30" s="35">
        <f t="shared" si="2"/>
        <v>71.063999999999993</v>
      </c>
      <c r="K30" s="35">
        <f t="shared" si="2"/>
        <v>63.167999999999999</v>
      </c>
      <c r="M30" s="25"/>
      <c r="N30" s="29"/>
      <c r="O30" s="29"/>
      <c r="P30" s="25"/>
      <c r="Q30" s="30"/>
    </row>
    <row r="31" spans="1:17" x14ac:dyDescent="0.25">
      <c r="A31" s="26" t="s">
        <v>26</v>
      </c>
      <c r="B31" s="27" t="s">
        <v>24</v>
      </c>
      <c r="C31" s="33">
        <v>658711</v>
      </c>
      <c r="D31" s="33">
        <v>3692520</v>
      </c>
      <c r="E31" s="26" t="s">
        <v>27</v>
      </c>
      <c r="F31" s="27" t="s">
        <v>24</v>
      </c>
      <c r="G31" s="39">
        <f t="shared" si="3"/>
        <v>5.2640000000000002</v>
      </c>
      <c r="H31" s="35">
        <f t="shared" si="3"/>
        <v>26.32</v>
      </c>
      <c r="I31" s="35">
        <f t="shared" si="1"/>
        <v>26.32</v>
      </c>
      <c r="J31" s="35">
        <f t="shared" si="2"/>
        <v>100.01599999999999</v>
      </c>
      <c r="K31" s="35">
        <f t="shared" si="2"/>
        <v>100.01599999999999</v>
      </c>
      <c r="M31" s="25"/>
      <c r="N31" s="29"/>
      <c r="O31" s="29"/>
      <c r="P31" s="25"/>
      <c r="Q31" s="30"/>
    </row>
    <row r="32" spans="1:17" x14ac:dyDescent="0.25">
      <c r="A32" s="26" t="s">
        <v>32</v>
      </c>
      <c r="B32" s="27" t="s">
        <v>33</v>
      </c>
      <c r="C32" s="33">
        <v>371736</v>
      </c>
      <c r="D32" s="33">
        <v>3855846</v>
      </c>
      <c r="E32" s="26" t="s">
        <v>148</v>
      </c>
      <c r="F32" s="27" t="s">
        <v>33</v>
      </c>
      <c r="G32" s="39">
        <f t="shared" si="3"/>
        <v>0</v>
      </c>
      <c r="H32" s="35">
        <f t="shared" si="3"/>
        <v>34.216000000000001</v>
      </c>
      <c r="I32" s="35">
        <f t="shared" si="1"/>
        <v>28.951999999999998</v>
      </c>
      <c r="J32" s="35">
        <f t="shared" si="2"/>
        <v>92.12</v>
      </c>
      <c r="K32" s="35">
        <f t="shared" si="2"/>
        <v>65.8</v>
      </c>
      <c r="M32" s="25"/>
      <c r="N32" s="29"/>
      <c r="O32" s="29"/>
      <c r="P32" s="25"/>
      <c r="Q32" s="30"/>
    </row>
    <row r="33" spans="1:17" x14ac:dyDescent="0.25">
      <c r="A33" s="26" t="s">
        <v>79</v>
      </c>
      <c r="B33" s="27" t="s">
        <v>49</v>
      </c>
      <c r="C33" s="33">
        <v>485720</v>
      </c>
      <c r="D33" s="33">
        <v>3767608</v>
      </c>
      <c r="E33" s="26" t="s">
        <v>156</v>
      </c>
      <c r="F33" s="27" t="s">
        <v>80</v>
      </c>
      <c r="G33" s="39">
        <f t="shared" si="3"/>
        <v>7.8959999999999999</v>
      </c>
      <c r="H33" s="35">
        <f t="shared" si="3"/>
        <v>39.479999999999997</v>
      </c>
      <c r="I33" s="35">
        <f t="shared" si="1"/>
        <v>36.847999999999999</v>
      </c>
      <c r="J33" s="35">
        <f t="shared" si="2"/>
        <v>189.50399999999999</v>
      </c>
      <c r="K33" s="35">
        <f t="shared" si="2"/>
        <v>147.392</v>
      </c>
      <c r="M33" s="25"/>
      <c r="N33" s="29"/>
      <c r="O33" s="29"/>
      <c r="P33" s="25"/>
      <c r="Q33" s="30"/>
    </row>
    <row r="34" spans="1:17" x14ac:dyDescent="0.25">
      <c r="A34" s="26" t="s">
        <v>81</v>
      </c>
      <c r="B34" s="27" t="s">
        <v>82</v>
      </c>
      <c r="C34" s="33">
        <v>295318</v>
      </c>
      <c r="D34" s="33">
        <v>3853504</v>
      </c>
      <c r="E34" s="26" t="s">
        <v>230</v>
      </c>
      <c r="F34" s="25"/>
      <c r="G34" s="39">
        <f t="shared" si="3"/>
        <v>5.2640000000000002</v>
      </c>
      <c r="H34" s="35">
        <f t="shared" si="3"/>
        <v>36.847999999999999</v>
      </c>
      <c r="I34" s="35">
        <f t="shared" si="1"/>
        <v>23.687999999999999</v>
      </c>
      <c r="J34" s="35">
        <f t="shared" si="2"/>
        <v>71.063999999999993</v>
      </c>
      <c r="K34" s="35">
        <f t="shared" si="2"/>
        <v>55.272000000000006</v>
      </c>
      <c r="M34" s="25"/>
      <c r="N34" s="29"/>
      <c r="O34" s="29"/>
      <c r="P34" s="25"/>
      <c r="Q34" s="30"/>
    </row>
    <row r="35" spans="1:17" x14ac:dyDescent="0.25">
      <c r="A35" s="26" t="s">
        <v>56</v>
      </c>
      <c r="B35" s="27" t="s">
        <v>55</v>
      </c>
      <c r="C35" s="33">
        <v>503485</v>
      </c>
      <c r="D35" s="33">
        <v>3772372</v>
      </c>
      <c r="E35" s="26" t="s">
        <v>146</v>
      </c>
      <c r="F35" s="27" t="s">
        <v>54</v>
      </c>
      <c r="G35" s="39">
        <f t="shared" si="3"/>
        <v>7.8959999999999999</v>
      </c>
      <c r="H35" s="35">
        <f t="shared" si="3"/>
        <v>28.951999999999998</v>
      </c>
      <c r="I35" s="35">
        <f t="shared" si="1"/>
        <v>26.32</v>
      </c>
      <c r="J35" s="35">
        <f t="shared" si="2"/>
        <v>73.695999999999998</v>
      </c>
      <c r="K35" s="35">
        <f t="shared" si="2"/>
        <v>52.64</v>
      </c>
      <c r="M35" s="25"/>
      <c r="N35" s="29"/>
      <c r="O35" s="29"/>
      <c r="P35" s="25"/>
      <c r="Q35" s="30"/>
    </row>
    <row r="36" spans="1:17" x14ac:dyDescent="0.25">
      <c r="A36" s="1" t="s">
        <v>232</v>
      </c>
      <c r="B36" s="23" t="s">
        <v>55</v>
      </c>
      <c r="C36" s="15">
        <v>520258</v>
      </c>
      <c r="D36" s="15">
        <v>3741410</v>
      </c>
      <c r="E36" s="26" t="s">
        <v>236</v>
      </c>
      <c r="F36" s="27"/>
      <c r="G36" s="39">
        <f t="shared" si="3"/>
        <v>5.2640000000000002</v>
      </c>
      <c r="H36" s="35">
        <f t="shared" si="3"/>
        <v>26.32</v>
      </c>
      <c r="I36" s="35">
        <f t="shared" si="1"/>
        <v>23.687999999999999</v>
      </c>
      <c r="J36" s="35">
        <f t="shared" si="2"/>
        <v>126.336</v>
      </c>
      <c r="K36" s="35">
        <f t="shared" si="2"/>
        <v>92.12</v>
      </c>
      <c r="M36" s="25"/>
      <c r="N36" s="29"/>
      <c r="O36" s="29"/>
      <c r="P36" s="25"/>
      <c r="Q36" s="30"/>
    </row>
    <row r="37" spans="1:17" x14ac:dyDescent="0.25">
      <c r="A37" s="26" t="s">
        <v>83</v>
      </c>
      <c r="B37" s="27" t="s">
        <v>55</v>
      </c>
      <c r="C37" s="33">
        <v>496666</v>
      </c>
      <c r="D37" s="33">
        <v>3764672</v>
      </c>
      <c r="E37" s="26" t="s">
        <v>131</v>
      </c>
      <c r="F37" s="27" t="s">
        <v>54</v>
      </c>
      <c r="G37" s="39">
        <f t="shared" si="3"/>
        <v>7.8959999999999999</v>
      </c>
      <c r="H37" s="35">
        <f t="shared" si="3"/>
        <v>47.375999999999998</v>
      </c>
      <c r="I37" s="35">
        <f t="shared" si="1"/>
        <v>23.687999999999999</v>
      </c>
      <c r="J37" s="35">
        <f t="shared" si="2"/>
        <v>92.12</v>
      </c>
      <c r="K37" s="35">
        <f t="shared" si="2"/>
        <v>73.695999999999998</v>
      </c>
      <c r="M37" s="25"/>
      <c r="N37" s="29"/>
      <c r="O37" s="29"/>
      <c r="P37" s="25"/>
      <c r="Q37" s="30"/>
    </row>
    <row r="38" spans="1:17" x14ac:dyDescent="0.25">
      <c r="A38" s="26" t="s">
        <v>58</v>
      </c>
      <c r="B38" s="27" t="s">
        <v>55</v>
      </c>
      <c r="C38" s="33">
        <v>516067</v>
      </c>
      <c r="D38" s="33">
        <v>3741587</v>
      </c>
      <c r="E38" s="26" t="s">
        <v>70</v>
      </c>
      <c r="F38" s="25"/>
      <c r="G38" s="39">
        <f t="shared" si="3"/>
        <v>5.2640000000000002</v>
      </c>
      <c r="H38" s="35">
        <f t="shared" si="3"/>
        <v>23.687999999999999</v>
      </c>
      <c r="I38" s="35">
        <f t="shared" si="1"/>
        <v>21.056000000000001</v>
      </c>
      <c r="J38" s="35">
        <f t="shared" si="2"/>
        <v>76.328000000000003</v>
      </c>
      <c r="K38" s="35">
        <f t="shared" si="2"/>
        <v>68.432000000000002</v>
      </c>
      <c r="M38" s="25"/>
      <c r="N38" s="29"/>
      <c r="O38" s="29"/>
      <c r="P38" s="25"/>
      <c r="Q38" s="30"/>
    </row>
    <row r="40" spans="1:17" ht="16.8" x14ac:dyDescent="0.35">
      <c r="A40" s="48" t="s">
        <v>281</v>
      </c>
      <c r="B40" s="48"/>
      <c r="C40" s="48"/>
      <c r="D40" s="48"/>
      <c r="E40" s="48"/>
      <c r="F40" s="48"/>
      <c r="G40" s="48"/>
      <c r="H40" s="48"/>
      <c r="I40" s="48"/>
      <c r="J40" s="48"/>
    </row>
    <row r="41" spans="1:17" x14ac:dyDescent="0.25">
      <c r="A41" s="47" t="s">
        <v>278</v>
      </c>
      <c r="B41" s="47"/>
      <c r="C41" s="47"/>
      <c r="D41" s="47"/>
      <c r="E41" s="40"/>
      <c r="F41" s="40"/>
    </row>
  </sheetData>
  <mergeCells count="13">
    <mergeCell ref="H26:I26"/>
    <mergeCell ref="J26:K26"/>
    <mergeCell ref="A23:Q23"/>
    <mergeCell ref="A24:Q24"/>
    <mergeCell ref="N26:O26"/>
    <mergeCell ref="A40:J40"/>
    <mergeCell ref="A41:D41"/>
    <mergeCell ref="A1:Q1"/>
    <mergeCell ref="A2:Q2"/>
    <mergeCell ref="H4:J4"/>
    <mergeCell ref="K4:M4"/>
    <mergeCell ref="N4:O4"/>
    <mergeCell ref="A22:Q22"/>
  </mergeCells>
  <phoneticPr fontId="0" type="noConversion"/>
  <printOptions horizontalCentered="1"/>
  <pageMargins left="0.25" right="0.25" top="0.5" bottom="0.5" header="0" footer="0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6" sqref="A6"/>
    </sheetView>
  </sheetViews>
  <sheetFormatPr defaultRowHeight="13.2" x14ac:dyDescent="0.25"/>
  <cols>
    <col min="1" max="1" width="11.88671875" customWidth="1"/>
    <col min="2" max="2" width="13.44140625" bestFit="1" customWidth="1"/>
    <col min="3" max="3" width="7.44140625" customWidth="1"/>
    <col min="4" max="4" width="8" customWidth="1"/>
    <col min="5" max="5" width="41" bestFit="1" customWidth="1"/>
    <col min="6" max="6" width="20.33203125" bestFit="1" customWidth="1"/>
    <col min="7" max="7" width="8.44140625" bestFit="1" customWidth="1"/>
    <col min="8" max="8" width="6.5546875" bestFit="1" customWidth="1"/>
    <col min="9" max="9" width="6.88671875" bestFit="1" customWidth="1"/>
    <col min="10" max="10" width="7.44140625" bestFit="1" customWidth="1"/>
    <col min="11" max="11" width="8.88671875" bestFit="1" customWidth="1"/>
  </cols>
  <sheetData>
    <row r="1" spans="1:11" ht="18" x14ac:dyDescent="0.4">
      <c r="A1" s="46" t="s">
        <v>261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42" t="s">
        <v>262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4" spans="1:11" x14ac:dyDescent="0.25">
      <c r="G4" s="6" t="s">
        <v>193</v>
      </c>
      <c r="H4" s="45" t="s">
        <v>157</v>
      </c>
      <c r="I4" s="45"/>
      <c r="K4" s="18" t="s">
        <v>211</v>
      </c>
    </row>
    <row r="5" spans="1:11" x14ac:dyDescent="0.25">
      <c r="A5" s="12" t="s">
        <v>0</v>
      </c>
      <c r="B5" s="12" t="s">
        <v>2</v>
      </c>
      <c r="C5" s="6" t="s">
        <v>68</v>
      </c>
      <c r="D5" s="6" t="s">
        <v>67</v>
      </c>
      <c r="E5" s="12" t="s">
        <v>66</v>
      </c>
      <c r="F5" s="12" t="s">
        <v>1</v>
      </c>
      <c r="G5" s="6" t="s">
        <v>5</v>
      </c>
      <c r="H5" s="6" t="s">
        <v>194</v>
      </c>
      <c r="I5" s="6" t="s">
        <v>195</v>
      </c>
      <c r="J5" s="6" t="s">
        <v>199</v>
      </c>
      <c r="K5" s="18" t="s">
        <v>212</v>
      </c>
    </row>
    <row r="6" spans="1:11" x14ac:dyDescent="0.25">
      <c r="A6" s="1" t="s">
        <v>76</v>
      </c>
      <c r="B6" s="23" t="s">
        <v>7</v>
      </c>
      <c r="C6" s="15">
        <v>417056</v>
      </c>
      <c r="D6" s="15">
        <v>3699183</v>
      </c>
      <c r="E6" s="1" t="s">
        <v>84</v>
      </c>
      <c r="F6" s="2"/>
      <c r="G6" s="14">
        <v>5.0000000000000001E-3</v>
      </c>
      <c r="H6" s="14">
        <v>4.2000000000000003E-2</v>
      </c>
      <c r="I6" s="14">
        <v>3.6999999999999998E-2</v>
      </c>
      <c r="J6" s="2">
        <v>6628</v>
      </c>
      <c r="K6" s="21">
        <f>(J6/8784)</f>
        <v>0.75455373406193083</v>
      </c>
    </row>
    <row r="7" spans="1:11" x14ac:dyDescent="0.25">
      <c r="A7" s="1" t="s">
        <v>77</v>
      </c>
      <c r="B7" s="23" t="s">
        <v>78</v>
      </c>
      <c r="C7" s="15">
        <v>456692</v>
      </c>
      <c r="D7" s="15">
        <v>3686698</v>
      </c>
      <c r="E7" s="1" t="s">
        <v>155</v>
      </c>
      <c r="F7" s="2"/>
      <c r="G7" s="14">
        <v>4.0000000000000001E-3</v>
      </c>
      <c r="H7" s="14">
        <v>2.8000000000000001E-2</v>
      </c>
      <c r="I7" s="14">
        <v>2.5999999999999999E-2</v>
      </c>
      <c r="J7" s="2">
        <v>6619</v>
      </c>
      <c r="K7" s="21">
        <f t="shared" ref="K7:K12" si="0">(J7/8784)</f>
        <v>0.75352914389799641</v>
      </c>
    </row>
    <row r="8" spans="1:11" x14ac:dyDescent="0.25">
      <c r="A8" s="1" t="s">
        <v>12</v>
      </c>
      <c r="B8" s="23" t="s">
        <v>13</v>
      </c>
      <c r="C8" s="15">
        <v>595649</v>
      </c>
      <c r="D8" s="15">
        <v>3638503</v>
      </c>
      <c r="E8" s="1" t="s">
        <v>14</v>
      </c>
      <c r="F8" s="23" t="s">
        <v>154</v>
      </c>
      <c r="G8" s="14">
        <v>1.0999999999999999E-2</v>
      </c>
      <c r="H8" s="14">
        <v>6.3E-2</v>
      </c>
      <c r="I8" s="14">
        <v>6.0999999999999999E-2</v>
      </c>
      <c r="J8" s="2">
        <v>8517</v>
      </c>
      <c r="K8" s="21">
        <f t="shared" si="0"/>
        <v>0.96960382513661203</v>
      </c>
    </row>
    <row r="9" spans="1:11" x14ac:dyDescent="0.25">
      <c r="A9" s="1" t="s">
        <v>15</v>
      </c>
      <c r="B9" s="23" t="s">
        <v>13</v>
      </c>
      <c r="C9" s="15">
        <v>625554</v>
      </c>
      <c r="D9" s="15">
        <v>3645337</v>
      </c>
      <c r="E9" s="1" t="s">
        <v>16</v>
      </c>
      <c r="F9" s="2"/>
      <c r="G9" s="14">
        <v>7.0000000000000001E-3</v>
      </c>
      <c r="H9" s="14">
        <v>0.03</v>
      </c>
      <c r="I9" s="14">
        <v>2.8000000000000001E-2</v>
      </c>
      <c r="J9" s="2">
        <v>8305</v>
      </c>
      <c r="K9" s="21">
        <f t="shared" si="0"/>
        <v>0.94546903460837883</v>
      </c>
    </row>
    <row r="10" spans="1:11" x14ac:dyDescent="0.25">
      <c r="A10" s="1" t="s">
        <v>32</v>
      </c>
      <c r="B10" s="23" t="s">
        <v>33</v>
      </c>
      <c r="C10" s="15">
        <v>371736</v>
      </c>
      <c r="D10" s="15">
        <v>3855846</v>
      </c>
      <c r="E10" s="1" t="s">
        <v>34</v>
      </c>
      <c r="F10" s="23" t="s">
        <v>33</v>
      </c>
      <c r="G10" s="14">
        <v>1.6E-2</v>
      </c>
      <c r="H10" s="14">
        <v>7.4999999999999997E-2</v>
      </c>
      <c r="I10" s="14">
        <v>6.5000000000000002E-2</v>
      </c>
      <c r="J10" s="2">
        <v>8240</v>
      </c>
      <c r="K10" s="21">
        <f t="shared" si="0"/>
        <v>0.93806921675774135</v>
      </c>
    </row>
    <row r="11" spans="1:11" x14ac:dyDescent="0.25">
      <c r="A11" s="1" t="s">
        <v>135</v>
      </c>
      <c r="B11" s="23" t="s">
        <v>33</v>
      </c>
      <c r="C11" s="15">
        <v>380028</v>
      </c>
      <c r="D11" s="15">
        <v>3862420</v>
      </c>
      <c r="E11" s="1" t="s">
        <v>208</v>
      </c>
      <c r="F11" s="23" t="s">
        <v>136</v>
      </c>
      <c r="G11" s="14">
        <v>1.2999999999999999E-2</v>
      </c>
      <c r="H11" s="14">
        <v>5.8999999999999997E-2</v>
      </c>
      <c r="I11" s="14">
        <v>5.8999999999999997E-2</v>
      </c>
      <c r="J11" s="2">
        <v>4046</v>
      </c>
      <c r="K11" s="21">
        <f>(J11/4272)</f>
        <v>0.94709737827715357</v>
      </c>
    </row>
    <row r="12" spans="1:11" x14ac:dyDescent="0.25">
      <c r="A12" s="1" t="s">
        <v>56</v>
      </c>
      <c r="B12" s="23" t="s">
        <v>55</v>
      </c>
      <c r="C12" s="15">
        <v>503485</v>
      </c>
      <c r="D12" s="15">
        <v>3772372</v>
      </c>
      <c r="E12" s="1" t="s">
        <v>164</v>
      </c>
      <c r="F12" s="23" t="s">
        <v>54</v>
      </c>
      <c r="G12" s="14">
        <v>1.4E-2</v>
      </c>
      <c r="H12" s="14">
        <v>7.1999999999999995E-2</v>
      </c>
      <c r="I12" s="14">
        <v>6.8000000000000005E-2</v>
      </c>
      <c r="J12" s="2">
        <v>7993</v>
      </c>
      <c r="K12" s="21">
        <f t="shared" si="0"/>
        <v>0.9099499089253188</v>
      </c>
    </row>
    <row r="13" spans="1:11" x14ac:dyDescent="0.25">
      <c r="A13" s="1" t="s">
        <v>232</v>
      </c>
      <c r="B13" s="23" t="s">
        <v>55</v>
      </c>
      <c r="C13" s="15">
        <v>520258</v>
      </c>
      <c r="D13" s="15">
        <v>3741410</v>
      </c>
      <c r="E13" s="26" t="s">
        <v>236</v>
      </c>
      <c r="F13" s="15"/>
      <c r="G13" s="14">
        <v>4.0000000000000001E-3</v>
      </c>
      <c r="H13" s="14">
        <v>4.3999999999999997E-2</v>
      </c>
      <c r="I13" s="14">
        <v>4.2000000000000003E-2</v>
      </c>
      <c r="J13" s="2">
        <v>7827</v>
      </c>
      <c r="K13" s="21">
        <f>(J13/8400)</f>
        <v>0.93178571428571433</v>
      </c>
    </row>
    <row r="14" spans="1:11" x14ac:dyDescent="0.25">
      <c r="A14" s="1" t="s">
        <v>58</v>
      </c>
      <c r="B14" s="23" t="s">
        <v>55</v>
      </c>
      <c r="C14" s="15">
        <v>516067</v>
      </c>
      <c r="D14" s="15">
        <v>3741587</v>
      </c>
      <c r="E14" s="1" t="s">
        <v>70</v>
      </c>
      <c r="F14" s="2"/>
      <c r="G14" s="14">
        <v>3.0000000000000001E-3</v>
      </c>
      <c r="H14" s="14">
        <v>2.1000000000000001E-2</v>
      </c>
      <c r="I14" s="14">
        <v>1.7000000000000001E-2</v>
      </c>
      <c r="J14" s="2">
        <v>3018</v>
      </c>
      <c r="K14" s="21">
        <f>(J14/6960)</f>
        <v>0.43362068965517242</v>
      </c>
    </row>
    <row r="15" spans="1:11" x14ac:dyDescent="0.25">
      <c r="A15" s="1"/>
      <c r="B15" s="23"/>
      <c r="C15" s="16"/>
      <c r="D15" s="16"/>
      <c r="E15" s="1"/>
      <c r="G15" s="14"/>
      <c r="H15" s="14"/>
      <c r="I15" s="14"/>
      <c r="J15" s="2"/>
      <c r="K15" s="21"/>
    </row>
    <row r="16" spans="1:11" x14ac:dyDescent="0.25">
      <c r="A16" s="24" t="s">
        <v>252</v>
      </c>
      <c r="B16" s="23"/>
      <c r="C16" s="3"/>
      <c r="D16" s="3"/>
      <c r="E16" s="1"/>
      <c r="F16" s="1"/>
      <c r="G16" s="14">
        <f>AVERAGE(G6:G15)</f>
        <v>8.5555555555555558E-3</v>
      </c>
      <c r="H16" s="14"/>
      <c r="I16" s="14"/>
      <c r="J16" s="15">
        <f>AVERAGE(J6:J15)</f>
        <v>6799.2222222222226</v>
      </c>
      <c r="K16" s="22">
        <f>(SUM(J6:J14)/70536)</f>
        <v>0.86754281501644548</v>
      </c>
    </row>
    <row r="17" spans="1:11" x14ac:dyDescent="0.25">
      <c r="A17" s="24" t="s">
        <v>253</v>
      </c>
      <c r="B17" s="23"/>
      <c r="C17" s="3"/>
      <c r="D17" s="3"/>
      <c r="E17" s="1"/>
      <c r="F17" s="1"/>
      <c r="G17" s="14"/>
      <c r="H17" s="14">
        <v>7.4999999999999997E-2</v>
      </c>
      <c r="I17" s="14">
        <v>7.1999999999999995E-2</v>
      </c>
      <c r="J17" s="15"/>
      <c r="K17" s="22"/>
    </row>
    <row r="18" spans="1:11" x14ac:dyDescent="0.25">
      <c r="B18" s="2"/>
    </row>
    <row r="20" spans="1:11" ht="15.6" x14ac:dyDescent="0.3">
      <c r="A20" s="46" t="s">
        <v>277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</row>
    <row r="21" spans="1:11" ht="19.2" x14ac:dyDescent="0.4">
      <c r="A21" s="46" t="s">
        <v>271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spans="1:11" ht="15.6" x14ac:dyDescent="0.25">
      <c r="A22" s="42" t="s">
        <v>272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4" spans="1:11" x14ac:dyDescent="0.25">
      <c r="G24" s="6" t="s">
        <v>193</v>
      </c>
      <c r="H24" s="45"/>
      <c r="I24" s="45"/>
      <c r="K24" s="18"/>
    </row>
    <row r="25" spans="1:11" x14ac:dyDescent="0.25">
      <c r="A25" s="12" t="s">
        <v>0</v>
      </c>
      <c r="B25" s="12" t="s">
        <v>2</v>
      </c>
      <c r="C25" s="6" t="s">
        <v>68</v>
      </c>
      <c r="D25" s="6" t="s">
        <v>67</v>
      </c>
      <c r="E25" s="12" t="s">
        <v>66</v>
      </c>
      <c r="F25" s="12" t="s">
        <v>1</v>
      </c>
      <c r="G25" s="6" t="s">
        <v>5</v>
      </c>
      <c r="H25" s="6"/>
      <c r="I25" s="6"/>
      <c r="J25" s="6"/>
      <c r="K25" s="18"/>
    </row>
    <row r="26" spans="1:11" x14ac:dyDescent="0.25">
      <c r="A26" s="1" t="s">
        <v>76</v>
      </c>
      <c r="B26" s="23" t="s">
        <v>7</v>
      </c>
      <c r="C26" s="15">
        <v>417056</v>
      </c>
      <c r="D26" s="15">
        <v>3699183</v>
      </c>
      <c r="E26" s="1" t="s">
        <v>84</v>
      </c>
      <c r="F26" s="2"/>
      <c r="G26" s="7">
        <v>9.44</v>
      </c>
      <c r="I26" s="14"/>
      <c r="J26" s="2"/>
      <c r="K26" s="21"/>
    </row>
    <row r="27" spans="1:11" x14ac:dyDescent="0.25">
      <c r="A27" s="1" t="s">
        <v>77</v>
      </c>
      <c r="B27" s="23" t="s">
        <v>78</v>
      </c>
      <c r="C27" s="15">
        <v>456692</v>
      </c>
      <c r="D27" s="15">
        <v>3686698</v>
      </c>
      <c r="E27" s="1" t="s">
        <v>155</v>
      </c>
      <c r="F27" s="2"/>
      <c r="G27" s="7">
        <v>7.55</v>
      </c>
      <c r="I27" s="14"/>
      <c r="J27" s="2"/>
      <c r="K27" s="21"/>
    </row>
    <row r="28" spans="1:11" x14ac:dyDescent="0.25">
      <c r="A28" s="1" t="s">
        <v>12</v>
      </c>
      <c r="B28" s="23" t="s">
        <v>13</v>
      </c>
      <c r="C28" s="15">
        <v>595649</v>
      </c>
      <c r="D28" s="15">
        <v>3638503</v>
      </c>
      <c r="E28" s="1" t="s">
        <v>14</v>
      </c>
      <c r="F28" s="23" t="s">
        <v>154</v>
      </c>
      <c r="G28" s="13">
        <v>20.8</v>
      </c>
      <c r="I28" s="14"/>
      <c r="J28" s="2"/>
      <c r="K28" s="21"/>
    </row>
    <row r="29" spans="1:11" x14ac:dyDescent="0.25">
      <c r="A29" s="1" t="s">
        <v>15</v>
      </c>
      <c r="B29" s="23" t="s">
        <v>13</v>
      </c>
      <c r="C29" s="15">
        <v>625554</v>
      </c>
      <c r="D29" s="15">
        <v>3645337</v>
      </c>
      <c r="E29" s="1" t="s">
        <v>16</v>
      </c>
      <c r="F29" s="2"/>
      <c r="G29" s="13">
        <v>13.2</v>
      </c>
      <c r="I29" s="14"/>
      <c r="J29" s="2"/>
      <c r="K29" s="21"/>
    </row>
    <row r="30" spans="1:11" x14ac:dyDescent="0.25">
      <c r="A30" s="1" t="s">
        <v>32</v>
      </c>
      <c r="B30" s="23" t="s">
        <v>33</v>
      </c>
      <c r="C30" s="15">
        <v>371736</v>
      </c>
      <c r="D30" s="15">
        <v>3855846</v>
      </c>
      <c r="E30" s="1" t="s">
        <v>34</v>
      </c>
      <c r="F30" s="23" t="s">
        <v>33</v>
      </c>
      <c r="G30" s="13">
        <v>30.2</v>
      </c>
      <c r="I30" s="14"/>
      <c r="J30" s="2"/>
      <c r="K30" s="21"/>
    </row>
    <row r="31" spans="1:11" x14ac:dyDescent="0.25">
      <c r="A31" s="1" t="s">
        <v>135</v>
      </c>
      <c r="B31" s="23" t="s">
        <v>33</v>
      </c>
      <c r="C31" s="15">
        <v>380028</v>
      </c>
      <c r="D31" s="15">
        <v>3862420</v>
      </c>
      <c r="E31" s="1" t="s">
        <v>208</v>
      </c>
      <c r="F31" s="23" t="s">
        <v>136</v>
      </c>
      <c r="G31" s="13">
        <v>24.5</v>
      </c>
      <c r="I31" s="14"/>
      <c r="J31" s="2"/>
      <c r="K31" s="21"/>
    </row>
    <row r="32" spans="1:11" x14ac:dyDescent="0.25">
      <c r="A32" s="1" t="s">
        <v>56</v>
      </c>
      <c r="B32" s="23" t="s">
        <v>55</v>
      </c>
      <c r="C32" s="15">
        <v>503485</v>
      </c>
      <c r="D32" s="15">
        <v>3772372</v>
      </c>
      <c r="E32" s="1" t="s">
        <v>164</v>
      </c>
      <c r="F32" s="23" t="s">
        <v>54</v>
      </c>
      <c r="G32" s="13">
        <v>26.4</v>
      </c>
      <c r="I32" s="14"/>
      <c r="J32" s="2"/>
      <c r="K32" s="21"/>
    </row>
    <row r="33" spans="1:12" x14ac:dyDescent="0.25">
      <c r="A33" s="1" t="s">
        <v>232</v>
      </c>
      <c r="B33" s="23" t="s">
        <v>55</v>
      </c>
      <c r="C33" s="15">
        <v>520258</v>
      </c>
      <c r="D33" s="15">
        <v>3741410</v>
      </c>
      <c r="E33" s="26" t="s">
        <v>236</v>
      </c>
      <c r="F33" s="15"/>
      <c r="G33" s="7">
        <v>7.55</v>
      </c>
      <c r="I33" s="14"/>
      <c r="J33" s="2"/>
      <c r="K33" s="21"/>
    </row>
    <row r="34" spans="1:12" x14ac:dyDescent="0.25">
      <c r="A34" s="1" t="s">
        <v>58</v>
      </c>
      <c r="B34" s="23" t="s">
        <v>55</v>
      </c>
      <c r="C34" s="15">
        <v>516067</v>
      </c>
      <c r="D34" s="15">
        <v>3741587</v>
      </c>
      <c r="E34" s="1" t="s">
        <v>70</v>
      </c>
      <c r="F34" s="2"/>
      <c r="G34" s="7">
        <v>5.66</v>
      </c>
      <c r="I34" s="14"/>
      <c r="J34" s="2"/>
      <c r="K34" s="21"/>
    </row>
    <row r="36" spans="1:12" ht="14.25" customHeight="1" x14ac:dyDescent="0.35">
      <c r="A36" s="48" t="s">
        <v>279</v>
      </c>
      <c r="B36" s="48"/>
      <c r="C36" s="48"/>
      <c r="D36" s="48"/>
      <c r="E36" s="48"/>
      <c r="F36" s="48"/>
      <c r="G36" s="48"/>
      <c r="H36" s="48"/>
      <c r="I36" s="48"/>
      <c r="J36" s="48"/>
      <c r="K36" s="32"/>
      <c r="L36" s="32"/>
    </row>
    <row r="37" spans="1:12" x14ac:dyDescent="0.25">
      <c r="A37" s="47" t="s">
        <v>278</v>
      </c>
      <c r="B37" s="47"/>
      <c r="C37" s="47"/>
      <c r="D37" s="47"/>
      <c r="E37" s="40"/>
      <c r="F37" s="40"/>
    </row>
  </sheetData>
  <mergeCells count="9">
    <mergeCell ref="A37:D37"/>
    <mergeCell ref="A36:J36"/>
    <mergeCell ref="A1:K1"/>
    <mergeCell ref="A2:K2"/>
    <mergeCell ref="H4:I4"/>
    <mergeCell ref="A21:K21"/>
    <mergeCell ref="A22:K22"/>
    <mergeCell ref="H24:I24"/>
    <mergeCell ref="A20:K20"/>
  </mergeCells>
  <phoneticPr fontId="0" type="noConversion"/>
  <printOptions horizontalCentered="1"/>
  <pageMargins left="0.25" right="0.25" top="0.5" bottom="0.5" header="0" footer="0"/>
  <pageSetup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opLeftCell="A37" workbookViewId="0">
      <selection activeCell="A39" sqref="A39"/>
    </sheetView>
  </sheetViews>
  <sheetFormatPr defaultColWidth="9.109375" defaultRowHeight="13.2" x14ac:dyDescent="0.25"/>
  <cols>
    <col min="1" max="1" width="12" style="24" customWidth="1"/>
    <col min="2" max="2" width="15.109375" style="24" bestFit="1" customWidth="1"/>
    <col min="3" max="3" width="6.6640625" style="24" customWidth="1"/>
    <col min="4" max="4" width="8" style="24" customWidth="1"/>
    <col min="5" max="5" width="41" style="24" bestFit="1" customWidth="1"/>
    <col min="6" max="6" width="11.33203125" style="24" customWidth="1"/>
    <col min="7" max="7" width="6.5546875" style="24" bestFit="1" customWidth="1"/>
    <col min="8" max="9" width="6.88671875" style="24" bestFit="1" customWidth="1"/>
    <col min="10" max="10" width="6.5546875" style="24" bestFit="1" customWidth="1"/>
    <col min="11" max="11" width="10.33203125" style="25" bestFit="1" customWidth="1"/>
    <col min="12" max="12" width="8" style="24" bestFit="1" customWidth="1"/>
    <col min="13" max="13" width="8.88671875" style="24" bestFit="1" customWidth="1"/>
    <col min="14" max="16384" width="9.109375" style="24"/>
  </cols>
  <sheetData>
    <row r="1" spans="1:13" ht="14.4" x14ac:dyDescent="0.3">
      <c r="A1" s="42" t="s">
        <v>264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25">
      <c r="A2" s="42" t="s">
        <v>265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4" spans="1:13" x14ac:dyDescent="0.25">
      <c r="G4" s="45" t="s">
        <v>157</v>
      </c>
      <c r="H4" s="45"/>
      <c r="I4" s="45"/>
      <c r="J4" s="45"/>
      <c r="K4" s="45"/>
      <c r="L4" s="6"/>
      <c r="M4" s="18" t="s">
        <v>211</v>
      </c>
    </row>
    <row r="5" spans="1:13" x14ac:dyDescent="0.25">
      <c r="A5" s="12" t="s">
        <v>0</v>
      </c>
      <c r="B5" s="12" t="s">
        <v>2</v>
      </c>
      <c r="C5" s="6" t="s">
        <v>68</v>
      </c>
      <c r="D5" s="6" t="s">
        <v>67</v>
      </c>
      <c r="E5" s="12" t="s">
        <v>66</v>
      </c>
      <c r="F5" s="12" t="s">
        <v>1</v>
      </c>
      <c r="G5" s="6" t="s">
        <v>194</v>
      </c>
      <c r="H5" s="6" t="s">
        <v>195</v>
      </c>
      <c r="I5" s="6" t="s">
        <v>196</v>
      </c>
      <c r="J5" s="6" t="s">
        <v>197</v>
      </c>
      <c r="K5" s="6" t="s">
        <v>218</v>
      </c>
      <c r="L5" s="6" t="s">
        <v>215</v>
      </c>
      <c r="M5" s="18" t="s">
        <v>212</v>
      </c>
    </row>
    <row r="6" spans="1:13" x14ac:dyDescent="0.25">
      <c r="A6" s="26" t="s">
        <v>85</v>
      </c>
      <c r="B6" s="27" t="s">
        <v>86</v>
      </c>
      <c r="C6" s="33">
        <v>372478</v>
      </c>
      <c r="D6" s="33">
        <v>3798898</v>
      </c>
      <c r="E6" s="26" t="s">
        <v>87</v>
      </c>
      <c r="F6" s="25"/>
      <c r="G6" s="29">
        <v>0.104</v>
      </c>
      <c r="H6" s="29">
        <v>9.6000000000000002E-2</v>
      </c>
      <c r="I6" s="29">
        <v>9.4E-2</v>
      </c>
      <c r="J6" s="29">
        <v>9.2999999999999999E-2</v>
      </c>
      <c r="K6" s="25">
        <v>0</v>
      </c>
      <c r="L6" s="25">
        <v>220</v>
      </c>
      <c r="M6" s="30">
        <f>L6/225</f>
        <v>0.97777777777777775</v>
      </c>
    </row>
    <row r="7" spans="1:13" x14ac:dyDescent="0.25">
      <c r="A7" s="26" t="s">
        <v>76</v>
      </c>
      <c r="B7" s="27" t="s">
        <v>7</v>
      </c>
      <c r="C7" s="33">
        <v>426614</v>
      </c>
      <c r="D7" s="33">
        <v>3689312</v>
      </c>
      <c r="E7" s="26" t="s">
        <v>84</v>
      </c>
      <c r="F7" s="25"/>
      <c r="G7" s="29">
        <v>0.122</v>
      </c>
      <c r="H7" s="29">
        <v>0.11</v>
      </c>
      <c r="I7" s="29">
        <v>0.106</v>
      </c>
      <c r="J7" s="29">
        <v>0.10299999999999999</v>
      </c>
      <c r="K7" s="25">
        <v>0</v>
      </c>
      <c r="L7" s="25">
        <v>215</v>
      </c>
      <c r="M7" s="30">
        <f>L7/235</f>
        <v>0.91489361702127658</v>
      </c>
    </row>
    <row r="8" spans="1:13" x14ac:dyDescent="0.25">
      <c r="A8" s="26" t="s">
        <v>243</v>
      </c>
      <c r="B8" s="27" t="s">
        <v>7</v>
      </c>
      <c r="C8" s="33"/>
      <c r="D8" s="33"/>
      <c r="E8" s="26" t="s">
        <v>244</v>
      </c>
      <c r="F8" s="25"/>
      <c r="G8" s="29">
        <v>9.0999999999999998E-2</v>
      </c>
      <c r="H8" s="29">
        <v>8.6999999999999994E-2</v>
      </c>
      <c r="I8" s="29">
        <v>8.3000000000000004E-2</v>
      </c>
      <c r="J8" s="29">
        <v>8.2000000000000003E-2</v>
      </c>
      <c r="K8" s="25">
        <v>0</v>
      </c>
      <c r="L8" s="25">
        <v>134</v>
      </c>
      <c r="M8" s="30">
        <f>L8/145</f>
        <v>0.92413793103448272</v>
      </c>
    </row>
    <row r="9" spans="1:13" x14ac:dyDescent="0.25">
      <c r="A9" s="26" t="s">
        <v>88</v>
      </c>
      <c r="B9" s="27" t="s">
        <v>89</v>
      </c>
      <c r="C9" s="33">
        <v>363630</v>
      </c>
      <c r="D9" s="33">
        <v>3848907</v>
      </c>
      <c r="E9" s="26" t="s">
        <v>90</v>
      </c>
      <c r="F9" s="25"/>
      <c r="G9" s="29">
        <v>0.109</v>
      </c>
      <c r="H9" s="29">
        <v>0.10299999999999999</v>
      </c>
      <c r="I9" s="29">
        <v>9.6000000000000002E-2</v>
      </c>
      <c r="J9" s="29">
        <v>9.2999999999999999E-2</v>
      </c>
      <c r="K9" s="25">
        <v>0</v>
      </c>
      <c r="L9" s="25">
        <v>310</v>
      </c>
      <c r="M9" s="30">
        <f>L9/319</f>
        <v>0.97178683385579934</v>
      </c>
    </row>
    <row r="10" spans="1:13" x14ac:dyDescent="0.25">
      <c r="A10" s="26" t="s">
        <v>77</v>
      </c>
      <c r="B10" s="27" t="s">
        <v>78</v>
      </c>
      <c r="C10" s="33">
        <v>456692</v>
      </c>
      <c r="D10" s="33">
        <v>3686698</v>
      </c>
      <c r="E10" s="26" t="s">
        <v>155</v>
      </c>
      <c r="F10" s="25"/>
      <c r="G10" s="29">
        <v>0.112</v>
      </c>
      <c r="H10" s="29">
        <v>0.106</v>
      </c>
      <c r="I10" s="29">
        <v>0.104</v>
      </c>
      <c r="J10" s="29">
        <v>0.10100000000000001</v>
      </c>
      <c r="K10" s="25">
        <v>0</v>
      </c>
      <c r="L10" s="25">
        <v>305</v>
      </c>
      <c r="M10" s="30">
        <f>L10/366</f>
        <v>0.83333333333333337</v>
      </c>
    </row>
    <row r="11" spans="1:13" x14ac:dyDescent="0.25">
      <c r="A11" s="26" t="s">
        <v>91</v>
      </c>
      <c r="B11" s="27" t="s">
        <v>92</v>
      </c>
      <c r="C11" s="33">
        <v>599351</v>
      </c>
      <c r="D11" s="33">
        <v>3650181</v>
      </c>
      <c r="E11" s="26" t="s">
        <v>93</v>
      </c>
      <c r="F11" s="25"/>
      <c r="G11" s="29">
        <v>0.107</v>
      </c>
      <c r="H11" s="29">
        <v>9.2999999999999999E-2</v>
      </c>
      <c r="I11" s="29">
        <v>8.8999999999999996E-2</v>
      </c>
      <c r="J11" s="29">
        <v>8.6999999999999994E-2</v>
      </c>
      <c r="K11" s="25">
        <v>0</v>
      </c>
      <c r="L11" s="25">
        <v>268</v>
      </c>
      <c r="M11" s="30">
        <f>L11/285</f>
        <v>0.94035087719298249</v>
      </c>
    </row>
    <row r="12" spans="1:13" x14ac:dyDescent="0.25">
      <c r="A12" s="26" t="s">
        <v>94</v>
      </c>
      <c r="B12" s="27" t="s">
        <v>13</v>
      </c>
      <c r="C12" s="33">
        <v>596762</v>
      </c>
      <c r="D12" s="33">
        <v>3641594</v>
      </c>
      <c r="E12" s="26" t="s">
        <v>95</v>
      </c>
      <c r="F12" s="25"/>
      <c r="G12" s="29">
        <v>0.106</v>
      </c>
      <c r="H12" s="29">
        <v>0.105</v>
      </c>
      <c r="I12" s="29">
        <v>0.1</v>
      </c>
      <c r="J12" s="29">
        <v>9.9000000000000005E-2</v>
      </c>
      <c r="K12" s="25">
        <v>0</v>
      </c>
      <c r="L12" s="25">
        <v>280</v>
      </c>
      <c r="M12" s="30">
        <f>L12/307</f>
        <v>0.91205211726384361</v>
      </c>
    </row>
    <row r="13" spans="1:13" x14ac:dyDescent="0.25">
      <c r="A13" s="26" t="s">
        <v>15</v>
      </c>
      <c r="B13" s="27" t="s">
        <v>13</v>
      </c>
      <c r="C13" s="33">
        <v>625554</v>
      </c>
      <c r="D13" s="33">
        <v>3645337</v>
      </c>
      <c r="E13" s="26" t="s">
        <v>16</v>
      </c>
      <c r="F13" s="25"/>
      <c r="G13" s="29">
        <v>0.107</v>
      </c>
      <c r="H13" s="29">
        <v>0.10100000000000001</v>
      </c>
      <c r="I13" s="29">
        <v>9.6000000000000002E-2</v>
      </c>
      <c r="J13" s="29">
        <v>8.8999999999999996E-2</v>
      </c>
      <c r="K13" s="25">
        <v>0</v>
      </c>
      <c r="L13" s="25">
        <v>344</v>
      </c>
      <c r="M13" s="30">
        <f>L13/366</f>
        <v>0.93989071038251371</v>
      </c>
    </row>
    <row r="14" spans="1:13" x14ac:dyDescent="0.25">
      <c r="A14" s="26" t="s">
        <v>96</v>
      </c>
      <c r="B14" s="27" t="s">
        <v>97</v>
      </c>
      <c r="C14" s="33">
        <v>425619</v>
      </c>
      <c r="D14" s="33">
        <v>3887598</v>
      </c>
      <c r="E14" s="26" t="s">
        <v>165</v>
      </c>
      <c r="F14" s="25"/>
      <c r="G14" s="29">
        <v>0.11600000000000001</v>
      </c>
      <c r="H14" s="29">
        <v>0.115</v>
      </c>
      <c r="I14" s="29">
        <v>0.10100000000000001</v>
      </c>
      <c r="J14" s="29">
        <v>0.10100000000000001</v>
      </c>
      <c r="K14" s="25">
        <v>0</v>
      </c>
      <c r="L14" s="25">
        <v>314</v>
      </c>
      <c r="M14" s="30">
        <f>L14/321</f>
        <v>0.97819314641744548</v>
      </c>
    </row>
    <row r="15" spans="1:13" x14ac:dyDescent="0.25">
      <c r="A15" s="26" t="s">
        <v>98</v>
      </c>
      <c r="B15" s="27" t="s">
        <v>99</v>
      </c>
      <c r="C15" s="33">
        <v>481373</v>
      </c>
      <c r="D15" s="33">
        <v>3849885</v>
      </c>
      <c r="E15" s="26" t="s">
        <v>100</v>
      </c>
      <c r="F15" s="25"/>
      <c r="G15" s="29">
        <v>9.5000000000000001E-2</v>
      </c>
      <c r="H15" s="29">
        <v>9.4E-2</v>
      </c>
      <c r="I15" s="29">
        <v>9.4E-2</v>
      </c>
      <c r="J15" s="29">
        <v>9.1999999999999998E-2</v>
      </c>
      <c r="K15" s="25">
        <v>0</v>
      </c>
      <c r="L15" s="25">
        <v>225</v>
      </c>
      <c r="M15" s="30">
        <f>L15/234</f>
        <v>0.96153846153846156</v>
      </c>
    </row>
    <row r="16" spans="1:13" x14ac:dyDescent="0.25">
      <c r="A16" s="26" t="s">
        <v>101</v>
      </c>
      <c r="B16" s="27" t="s">
        <v>102</v>
      </c>
      <c r="C16" s="33">
        <v>503269</v>
      </c>
      <c r="D16" s="33">
        <v>3651959</v>
      </c>
      <c r="E16" s="26" t="s">
        <v>103</v>
      </c>
      <c r="F16" s="25"/>
      <c r="G16" s="29">
        <v>0.10299999999999999</v>
      </c>
      <c r="H16" s="29">
        <v>9.6000000000000002E-2</v>
      </c>
      <c r="I16" s="29">
        <v>9.0999999999999998E-2</v>
      </c>
      <c r="J16" s="29">
        <v>8.6999999999999994E-2</v>
      </c>
      <c r="K16" s="25">
        <v>0</v>
      </c>
      <c r="L16" s="25">
        <v>230</v>
      </c>
      <c r="M16" s="30">
        <f>L16/239</f>
        <v>0.96234309623430958</v>
      </c>
    </row>
    <row r="17" spans="1:13" x14ac:dyDescent="0.25">
      <c r="A17" s="26" t="s">
        <v>104</v>
      </c>
      <c r="B17" s="27" t="s">
        <v>105</v>
      </c>
      <c r="C17" s="33">
        <v>615539</v>
      </c>
      <c r="D17" s="33">
        <v>3794336</v>
      </c>
      <c r="E17" s="26" t="s">
        <v>166</v>
      </c>
      <c r="F17" s="25"/>
      <c r="G17" s="29">
        <v>0.105</v>
      </c>
      <c r="H17" s="29">
        <v>0.105</v>
      </c>
      <c r="I17" s="29">
        <v>0.104</v>
      </c>
      <c r="J17" s="29">
        <v>9.5000000000000001E-2</v>
      </c>
      <c r="K17" s="25">
        <v>0</v>
      </c>
      <c r="L17" s="25">
        <v>341</v>
      </c>
      <c r="M17" s="30">
        <f>L17/366</f>
        <v>0.93169398907103829</v>
      </c>
    </row>
    <row r="18" spans="1:13" x14ac:dyDescent="0.25">
      <c r="A18" s="26" t="s">
        <v>106</v>
      </c>
      <c r="B18" s="27" t="s">
        <v>107</v>
      </c>
      <c r="C18" s="33">
        <v>420928</v>
      </c>
      <c r="D18" s="33">
        <v>3733431</v>
      </c>
      <c r="E18" s="26" t="s">
        <v>108</v>
      </c>
      <c r="F18" s="25"/>
      <c r="G18" s="29">
        <v>9.2999999999999999E-2</v>
      </c>
      <c r="H18" s="29">
        <v>9.1999999999999998E-2</v>
      </c>
      <c r="I18" s="29">
        <v>9.0999999999999998E-2</v>
      </c>
      <c r="J18" s="29">
        <v>0.09</v>
      </c>
      <c r="K18" s="25">
        <v>0</v>
      </c>
      <c r="L18" s="25">
        <v>357</v>
      </c>
      <c r="M18" s="30">
        <f>L18/366</f>
        <v>0.97540983606557374</v>
      </c>
    </row>
    <row r="19" spans="1:13" x14ac:dyDescent="0.25">
      <c r="A19" s="1" t="s">
        <v>135</v>
      </c>
      <c r="B19" s="23" t="s">
        <v>33</v>
      </c>
      <c r="C19" s="15">
        <v>380028</v>
      </c>
      <c r="D19" s="15">
        <v>3862420</v>
      </c>
      <c r="E19" s="1" t="s">
        <v>208</v>
      </c>
      <c r="F19" s="23" t="s">
        <v>136</v>
      </c>
      <c r="G19" s="29">
        <v>0.129</v>
      </c>
      <c r="H19" s="29">
        <v>9.6000000000000002E-2</v>
      </c>
      <c r="I19" s="29">
        <v>9.5000000000000001E-2</v>
      </c>
      <c r="J19" s="29">
        <v>9.4E-2</v>
      </c>
      <c r="K19" s="25">
        <v>1</v>
      </c>
      <c r="L19" s="25">
        <v>79</v>
      </c>
      <c r="M19" s="30">
        <f>L19/83</f>
        <v>0.95180722891566261</v>
      </c>
    </row>
    <row r="20" spans="1:13" x14ac:dyDescent="0.25">
      <c r="A20" s="26" t="s">
        <v>81</v>
      </c>
      <c r="B20" s="27" t="s">
        <v>82</v>
      </c>
      <c r="C20" s="33">
        <v>295318</v>
      </c>
      <c r="D20" s="33">
        <v>3853504</v>
      </c>
      <c r="E20" s="26" t="s">
        <v>167</v>
      </c>
      <c r="F20" s="25"/>
      <c r="G20" s="29">
        <v>9.8000000000000004E-2</v>
      </c>
      <c r="H20" s="29">
        <v>9.5000000000000001E-2</v>
      </c>
      <c r="I20" s="29">
        <v>9.0999999999999998E-2</v>
      </c>
      <c r="J20" s="29">
        <v>9.0999999999999998E-2</v>
      </c>
      <c r="K20" s="25">
        <v>0</v>
      </c>
      <c r="L20" s="25">
        <v>302</v>
      </c>
      <c r="M20" s="30">
        <f>L20/366</f>
        <v>0.82513661202185795</v>
      </c>
    </row>
    <row r="21" spans="1:13" x14ac:dyDescent="0.25">
      <c r="A21" s="26" t="s">
        <v>109</v>
      </c>
      <c r="B21" s="27" t="s">
        <v>111</v>
      </c>
      <c r="C21" s="33">
        <v>331505</v>
      </c>
      <c r="D21" s="33">
        <v>3835941</v>
      </c>
      <c r="E21" s="26" t="s">
        <v>168</v>
      </c>
      <c r="F21" s="27" t="s">
        <v>110</v>
      </c>
      <c r="G21" s="29">
        <v>0.105</v>
      </c>
      <c r="H21" s="29">
        <v>9.6000000000000002E-2</v>
      </c>
      <c r="I21" s="29">
        <v>9.2999999999999999E-2</v>
      </c>
      <c r="J21" s="29">
        <v>9.2999999999999999E-2</v>
      </c>
      <c r="K21" s="25">
        <v>0</v>
      </c>
      <c r="L21" s="25">
        <v>220</v>
      </c>
      <c r="M21" s="30">
        <f>L21/294</f>
        <v>0.74829931972789121</v>
      </c>
    </row>
    <row r="22" spans="1:13" x14ac:dyDescent="0.25">
      <c r="A22" s="26" t="s">
        <v>56</v>
      </c>
      <c r="B22" s="27" t="s">
        <v>55</v>
      </c>
      <c r="C22" s="33">
        <v>503485</v>
      </c>
      <c r="D22" s="33">
        <v>3772372</v>
      </c>
      <c r="E22" s="26" t="s">
        <v>164</v>
      </c>
      <c r="F22" s="27" t="s">
        <v>54</v>
      </c>
      <c r="G22" s="29">
        <v>0.114</v>
      </c>
      <c r="H22" s="29">
        <v>0.113</v>
      </c>
      <c r="I22" s="29">
        <v>0.112</v>
      </c>
      <c r="J22" s="29">
        <v>0.10100000000000001</v>
      </c>
      <c r="K22" s="25">
        <v>0</v>
      </c>
      <c r="L22" s="25">
        <v>308</v>
      </c>
      <c r="M22" s="30">
        <f>L22/311</f>
        <v>0.99035369774919613</v>
      </c>
    </row>
    <row r="23" spans="1:13" x14ac:dyDescent="0.25">
      <c r="A23" s="1" t="s">
        <v>232</v>
      </c>
      <c r="B23" s="23" t="s">
        <v>55</v>
      </c>
      <c r="C23" s="15">
        <v>520258</v>
      </c>
      <c r="D23" s="15">
        <v>3741410</v>
      </c>
      <c r="E23" s="26" t="s">
        <v>236</v>
      </c>
      <c r="F23" s="27"/>
      <c r="G23" s="29">
        <v>0.107</v>
      </c>
      <c r="H23" s="29">
        <v>9.5000000000000001E-2</v>
      </c>
      <c r="I23" s="29">
        <v>9.2999999999999999E-2</v>
      </c>
      <c r="J23" s="29">
        <v>8.8999999999999996E-2</v>
      </c>
      <c r="K23" s="25">
        <v>0</v>
      </c>
      <c r="L23" s="25">
        <v>285</v>
      </c>
      <c r="M23" s="30">
        <f>L23/290</f>
        <v>0.98275862068965514</v>
      </c>
    </row>
    <row r="24" spans="1:13" x14ac:dyDescent="0.25">
      <c r="A24" s="26" t="s">
        <v>112</v>
      </c>
      <c r="B24" s="27" t="s">
        <v>55</v>
      </c>
      <c r="C24" s="33">
        <v>511449</v>
      </c>
      <c r="D24" s="33">
        <v>3776444</v>
      </c>
      <c r="E24" s="26" t="s">
        <v>169</v>
      </c>
      <c r="F24" s="25"/>
      <c r="G24" s="29">
        <v>0.12</v>
      </c>
      <c r="H24" s="29">
        <v>0.11700000000000001</v>
      </c>
      <c r="I24" s="29">
        <v>0.11600000000000001</v>
      </c>
      <c r="J24" s="29">
        <v>0.105</v>
      </c>
      <c r="K24" s="25">
        <v>0</v>
      </c>
      <c r="L24" s="25">
        <v>362</v>
      </c>
      <c r="M24" s="30">
        <f>L24/366</f>
        <v>0.98907103825136611</v>
      </c>
    </row>
    <row r="25" spans="1:13" x14ac:dyDescent="0.25">
      <c r="A25" s="26" t="s">
        <v>58</v>
      </c>
      <c r="B25" s="27" t="s">
        <v>55</v>
      </c>
      <c r="C25" s="33">
        <v>516067</v>
      </c>
      <c r="D25" s="33">
        <v>3741587</v>
      </c>
      <c r="E25" s="26" t="s">
        <v>70</v>
      </c>
      <c r="F25" s="25"/>
      <c r="G25" s="29">
        <v>9.0999999999999998E-2</v>
      </c>
      <c r="H25" s="29">
        <v>8.7999999999999995E-2</v>
      </c>
      <c r="I25" s="29">
        <v>8.6999999999999994E-2</v>
      </c>
      <c r="J25" s="29">
        <v>8.5000000000000006E-2</v>
      </c>
      <c r="K25" s="25">
        <v>0</v>
      </c>
      <c r="L25" s="25">
        <v>258</v>
      </c>
      <c r="M25" s="30">
        <f>L25/294</f>
        <v>0.87755102040816324</v>
      </c>
    </row>
    <row r="26" spans="1:13" x14ac:dyDescent="0.25">
      <c r="A26" s="26" t="s">
        <v>113</v>
      </c>
      <c r="B26" s="27" t="s">
        <v>60</v>
      </c>
      <c r="C26" s="33">
        <v>401836</v>
      </c>
      <c r="D26" s="33">
        <v>3872111</v>
      </c>
      <c r="E26" s="26" t="s">
        <v>170</v>
      </c>
      <c r="F26" s="25"/>
      <c r="G26" s="29">
        <v>0.123</v>
      </c>
      <c r="H26" s="29">
        <v>0.11</v>
      </c>
      <c r="I26" s="29">
        <v>0.105</v>
      </c>
      <c r="J26" s="29">
        <v>0.10299999999999999</v>
      </c>
      <c r="K26" s="25">
        <v>0</v>
      </c>
      <c r="L26" s="25">
        <v>277</v>
      </c>
      <c r="M26" s="30">
        <f>L26/286</f>
        <v>0.96853146853146854</v>
      </c>
    </row>
    <row r="27" spans="1:13" x14ac:dyDescent="0.25">
      <c r="A27" s="26" t="s">
        <v>114</v>
      </c>
      <c r="B27" s="27" t="s">
        <v>115</v>
      </c>
      <c r="C27" s="33">
        <v>448587</v>
      </c>
      <c r="D27" s="33">
        <v>3821887</v>
      </c>
      <c r="E27" s="26" t="s">
        <v>116</v>
      </c>
      <c r="F27" s="25"/>
      <c r="G27" s="29">
        <v>9.6000000000000002E-2</v>
      </c>
      <c r="H27" s="29">
        <v>9.2999999999999999E-2</v>
      </c>
      <c r="I27" s="29">
        <v>8.8999999999999996E-2</v>
      </c>
      <c r="J27" s="29">
        <v>8.7999999999999995E-2</v>
      </c>
      <c r="K27" s="25">
        <v>0</v>
      </c>
      <c r="L27" s="25">
        <v>356</v>
      </c>
      <c r="M27" s="30">
        <f>L27/365</f>
        <v>0.97534246575342465</v>
      </c>
    </row>
    <row r="28" spans="1:13" x14ac:dyDescent="0.25">
      <c r="A28" s="26" t="s">
        <v>117</v>
      </c>
      <c r="B28" s="27" t="s">
        <v>172</v>
      </c>
      <c r="C28" s="33">
        <v>632955</v>
      </c>
      <c r="D28" s="33">
        <v>3732242</v>
      </c>
      <c r="E28" s="26" t="s">
        <v>118</v>
      </c>
      <c r="F28" s="25"/>
      <c r="G28" s="29">
        <v>9.5000000000000001E-2</v>
      </c>
      <c r="H28" s="29">
        <v>9.1999999999999998E-2</v>
      </c>
      <c r="I28" s="29">
        <v>8.7999999999999995E-2</v>
      </c>
      <c r="J28" s="29">
        <v>8.3000000000000004E-2</v>
      </c>
      <c r="K28" s="25">
        <v>0</v>
      </c>
      <c r="L28" s="25">
        <v>222</v>
      </c>
      <c r="M28" s="30">
        <f>L28/225</f>
        <v>0.98666666666666669</v>
      </c>
    </row>
    <row r="29" spans="1:13" x14ac:dyDescent="0.25">
      <c r="A29" s="26" t="s">
        <v>119</v>
      </c>
      <c r="B29" s="27" t="s">
        <v>64</v>
      </c>
      <c r="C29" s="33">
        <v>479147</v>
      </c>
      <c r="D29" s="33">
        <v>3865723</v>
      </c>
      <c r="E29" s="26" t="s">
        <v>171</v>
      </c>
      <c r="F29" s="25"/>
      <c r="G29" s="29">
        <v>9.2999999999999999E-2</v>
      </c>
      <c r="H29" s="29">
        <v>8.8999999999999996E-2</v>
      </c>
      <c r="I29" s="29">
        <v>8.7999999999999995E-2</v>
      </c>
      <c r="J29" s="29">
        <v>8.6999999999999994E-2</v>
      </c>
      <c r="K29" s="25">
        <v>0</v>
      </c>
      <c r="L29" s="25">
        <v>213</v>
      </c>
      <c r="M29" s="30">
        <f>L29/230</f>
        <v>0.92608695652173911</v>
      </c>
    </row>
    <row r="30" spans="1:13" x14ac:dyDescent="0.25">
      <c r="A30" s="26"/>
      <c r="B30" s="27"/>
      <c r="C30" s="28"/>
      <c r="D30" s="28"/>
      <c r="E30" s="26"/>
      <c r="F30" s="25"/>
      <c r="G30" s="29"/>
      <c r="H30" s="29"/>
      <c r="I30" s="29"/>
      <c r="J30" s="29"/>
      <c r="L30" s="25"/>
      <c r="M30" s="30"/>
    </row>
    <row r="31" spans="1:13" x14ac:dyDescent="0.25">
      <c r="A31" s="24" t="s">
        <v>252</v>
      </c>
      <c r="K31" s="33">
        <f>AVERAGE(K6:K29)</f>
        <v>4.1666666666666664E-2</v>
      </c>
      <c r="L31" s="33">
        <f>AVERAGE(L6:L29)</f>
        <v>267.70833333333331</v>
      </c>
      <c r="M31" s="31">
        <f>AVERAGE(M6:M29)</f>
        <v>0.93520861760108065</v>
      </c>
    </row>
    <row r="32" spans="1:13" x14ac:dyDescent="0.25">
      <c r="A32" s="24" t="s">
        <v>253</v>
      </c>
      <c r="G32" s="24">
        <v>0.129</v>
      </c>
      <c r="H32" s="24">
        <v>0.123</v>
      </c>
      <c r="I32" s="24">
        <v>0.122</v>
      </c>
      <c r="J32" s="36">
        <v>0.12</v>
      </c>
    </row>
    <row r="35" spans="1:13" x14ac:dyDescent="0.25">
      <c r="A35" s="42" t="s">
        <v>263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7" spans="1:13" x14ac:dyDescent="0.25">
      <c r="G37" s="45" t="s">
        <v>216</v>
      </c>
      <c r="H37" s="45"/>
      <c r="I37" s="45"/>
      <c r="J37" s="45"/>
      <c r="K37" s="45"/>
      <c r="L37" s="6"/>
      <c r="M37" s="18" t="s">
        <v>211</v>
      </c>
    </row>
    <row r="38" spans="1:13" x14ac:dyDescent="0.25">
      <c r="A38" s="12" t="s">
        <v>0</v>
      </c>
      <c r="B38" s="12" t="s">
        <v>2</v>
      </c>
      <c r="C38" s="6" t="s">
        <v>68</v>
      </c>
      <c r="D38" s="6" t="s">
        <v>67</v>
      </c>
      <c r="E38" s="12" t="s">
        <v>66</v>
      </c>
      <c r="F38" s="12" t="s">
        <v>1</v>
      </c>
      <c r="G38" s="6" t="s">
        <v>194</v>
      </c>
      <c r="H38" s="6" t="s">
        <v>195</v>
      </c>
      <c r="I38" s="6" t="s">
        <v>196</v>
      </c>
      <c r="J38" s="6" t="s">
        <v>197</v>
      </c>
      <c r="K38" s="6" t="s">
        <v>217</v>
      </c>
      <c r="L38" s="6" t="s">
        <v>215</v>
      </c>
      <c r="M38" s="18" t="s">
        <v>212</v>
      </c>
    </row>
    <row r="39" spans="1:13" x14ac:dyDescent="0.25">
      <c r="A39" s="26" t="s">
        <v>85</v>
      </c>
      <c r="B39" s="27" t="s">
        <v>86</v>
      </c>
      <c r="C39" s="33">
        <v>372478</v>
      </c>
      <c r="D39" s="33">
        <v>3798898</v>
      </c>
      <c r="E39" s="26" t="s">
        <v>87</v>
      </c>
      <c r="F39" s="25"/>
      <c r="G39" s="36">
        <v>8.8999999999999996E-2</v>
      </c>
      <c r="H39" s="36">
        <v>8.8999999999999996E-2</v>
      </c>
      <c r="I39" s="29">
        <v>8.5999999999999993E-2</v>
      </c>
      <c r="J39" s="29">
        <v>8.5000000000000006E-2</v>
      </c>
      <c r="K39" s="25">
        <v>4</v>
      </c>
      <c r="L39" s="25">
        <v>5277</v>
      </c>
      <c r="M39" s="30">
        <f>L39/5400</f>
        <v>0.97722222222222221</v>
      </c>
    </row>
    <row r="40" spans="1:13" x14ac:dyDescent="0.25">
      <c r="A40" s="26" t="s">
        <v>76</v>
      </c>
      <c r="B40" s="27" t="s">
        <v>7</v>
      </c>
      <c r="C40" s="33">
        <v>426614</v>
      </c>
      <c r="D40" s="33">
        <v>3689312</v>
      </c>
      <c r="E40" s="26" t="s">
        <v>84</v>
      </c>
      <c r="F40" s="25"/>
      <c r="G40" s="36">
        <v>0.104</v>
      </c>
      <c r="H40" s="36">
        <v>9.7000000000000003E-2</v>
      </c>
      <c r="I40" s="29">
        <v>9.4E-2</v>
      </c>
      <c r="J40" s="29">
        <v>9.4E-2</v>
      </c>
      <c r="K40" s="25">
        <v>10</v>
      </c>
      <c r="L40" s="25">
        <v>5147</v>
      </c>
      <c r="M40" s="30">
        <f>L40/5642</f>
        <v>0.91226515420063803</v>
      </c>
    </row>
    <row r="41" spans="1:13" x14ac:dyDescent="0.25">
      <c r="A41" s="26" t="s">
        <v>243</v>
      </c>
      <c r="B41" s="27" t="s">
        <v>7</v>
      </c>
      <c r="C41" s="33"/>
      <c r="D41" s="33"/>
      <c r="E41" s="26" t="s">
        <v>244</v>
      </c>
      <c r="F41" s="25"/>
      <c r="G41" s="36">
        <v>8.3000000000000004E-2</v>
      </c>
      <c r="H41" s="36">
        <v>7.6999999999999999E-2</v>
      </c>
      <c r="I41" s="29">
        <v>7.6999999999999999E-2</v>
      </c>
      <c r="J41" s="29">
        <v>7.4999999999999997E-2</v>
      </c>
      <c r="K41" s="25">
        <v>0</v>
      </c>
      <c r="L41" s="25">
        <v>3215</v>
      </c>
      <c r="M41" s="30">
        <f>L41/3480</f>
        <v>0.92385057471264365</v>
      </c>
    </row>
    <row r="42" spans="1:13" x14ac:dyDescent="0.25">
      <c r="A42" s="26" t="s">
        <v>88</v>
      </c>
      <c r="B42" s="27" t="s">
        <v>89</v>
      </c>
      <c r="C42" s="33">
        <v>363630</v>
      </c>
      <c r="D42" s="33">
        <v>3848907</v>
      </c>
      <c r="E42" s="26" t="s">
        <v>90</v>
      </c>
      <c r="F42" s="25"/>
      <c r="G42" s="36">
        <v>0.10199999999999999</v>
      </c>
      <c r="H42" s="36">
        <v>8.6999999999999994E-2</v>
      </c>
      <c r="I42" s="29">
        <v>8.6999999999999994E-2</v>
      </c>
      <c r="J42" s="29">
        <v>8.5999999999999993E-2</v>
      </c>
      <c r="K42" s="25">
        <v>5</v>
      </c>
      <c r="L42" s="25">
        <v>7417</v>
      </c>
      <c r="M42" s="30">
        <f>L42/7656</f>
        <v>0.96878265412748177</v>
      </c>
    </row>
    <row r="43" spans="1:13" x14ac:dyDescent="0.25">
      <c r="A43" s="26" t="s">
        <v>77</v>
      </c>
      <c r="B43" s="27" t="s">
        <v>78</v>
      </c>
      <c r="C43" s="33">
        <v>456692</v>
      </c>
      <c r="D43" s="33">
        <v>3686698</v>
      </c>
      <c r="E43" s="26" t="s">
        <v>155</v>
      </c>
      <c r="F43" s="25"/>
      <c r="G43" s="36">
        <v>9.9000000000000005E-2</v>
      </c>
      <c r="H43" s="36">
        <v>9.2999999999999999E-2</v>
      </c>
      <c r="I43" s="29">
        <v>9.0999999999999998E-2</v>
      </c>
      <c r="J43" s="29">
        <v>0.09</v>
      </c>
      <c r="K43" s="25">
        <v>8</v>
      </c>
      <c r="L43" s="25">
        <v>7306</v>
      </c>
      <c r="M43" s="30">
        <f>L43/8784</f>
        <v>0.8317395264116576</v>
      </c>
    </row>
    <row r="44" spans="1:13" x14ac:dyDescent="0.25">
      <c r="A44" s="26" t="s">
        <v>91</v>
      </c>
      <c r="B44" s="27" t="s">
        <v>92</v>
      </c>
      <c r="C44" s="33">
        <v>599351</v>
      </c>
      <c r="D44" s="33">
        <v>3650181</v>
      </c>
      <c r="E44" s="26" t="s">
        <v>93</v>
      </c>
      <c r="F44" s="25"/>
      <c r="G44" s="36">
        <v>8.8999999999999996E-2</v>
      </c>
      <c r="H44" s="36">
        <v>8.8999999999999996E-2</v>
      </c>
      <c r="I44" s="29">
        <v>8.2000000000000003E-2</v>
      </c>
      <c r="J44" s="29">
        <v>0.08</v>
      </c>
      <c r="K44" s="25">
        <v>2</v>
      </c>
      <c r="L44" s="25">
        <v>6419</v>
      </c>
      <c r="M44" s="30">
        <f>L44/6840</f>
        <v>0.93845029239766087</v>
      </c>
    </row>
    <row r="45" spans="1:13" x14ac:dyDescent="0.25">
      <c r="A45" s="26" t="s">
        <v>94</v>
      </c>
      <c r="B45" s="27" t="s">
        <v>13</v>
      </c>
      <c r="C45" s="33">
        <v>596762</v>
      </c>
      <c r="D45" s="33">
        <v>3641594</v>
      </c>
      <c r="E45" s="26" t="s">
        <v>95</v>
      </c>
      <c r="F45" s="25"/>
      <c r="G45" s="36">
        <v>9.5000000000000001E-2</v>
      </c>
      <c r="H45" s="36">
        <v>8.6999999999999994E-2</v>
      </c>
      <c r="I45" s="29">
        <v>8.5000000000000006E-2</v>
      </c>
      <c r="J45" s="29">
        <v>8.2000000000000003E-2</v>
      </c>
      <c r="K45" s="25">
        <v>3</v>
      </c>
      <c r="L45" s="25">
        <v>6704</v>
      </c>
      <c r="M45" s="30">
        <f>L45/7368</f>
        <v>0.9098805646036916</v>
      </c>
    </row>
    <row r="46" spans="1:13" x14ac:dyDescent="0.25">
      <c r="A46" s="26" t="s">
        <v>15</v>
      </c>
      <c r="B46" s="27" t="s">
        <v>13</v>
      </c>
      <c r="C46" s="33">
        <v>625554</v>
      </c>
      <c r="D46" s="33">
        <v>3645337</v>
      </c>
      <c r="E46" s="26" t="s">
        <v>16</v>
      </c>
      <c r="F46" s="25"/>
      <c r="G46" s="36">
        <v>9.5000000000000001E-2</v>
      </c>
      <c r="H46" s="36">
        <v>8.6999999999999994E-2</v>
      </c>
      <c r="I46" s="29">
        <v>0.08</v>
      </c>
      <c r="J46" s="29">
        <v>7.5999999999999998E-2</v>
      </c>
      <c r="K46" s="25">
        <v>2</v>
      </c>
      <c r="L46" s="25">
        <v>8252</v>
      </c>
      <c r="M46" s="30">
        <f>L46/8784</f>
        <v>0.93943533697632053</v>
      </c>
    </row>
    <row r="47" spans="1:13" x14ac:dyDescent="0.25">
      <c r="A47" s="26" t="s">
        <v>96</v>
      </c>
      <c r="B47" s="27" t="s">
        <v>97</v>
      </c>
      <c r="C47" s="33">
        <v>425619</v>
      </c>
      <c r="D47" s="33">
        <v>3887598</v>
      </c>
      <c r="E47" s="26" t="s">
        <v>165</v>
      </c>
      <c r="F47" s="25"/>
      <c r="G47" s="36">
        <v>0.10299999999999999</v>
      </c>
      <c r="H47" s="36">
        <v>9.4E-2</v>
      </c>
      <c r="I47" s="29">
        <v>9.1999999999999998E-2</v>
      </c>
      <c r="J47" s="29">
        <v>8.7999999999999995E-2</v>
      </c>
      <c r="K47" s="25">
        <v>3</v>
      </c>
      <c r="L47" s="25">
        <v>7534</v>
      </c>
      <c r="M47" s="30">
        <f>L47/7704</f>
        <v>0.97793354101765317</v>
      </c>
    </row>
    <row r="48" spans="1:13" x14ac:dyDescent="0.25">
      <c r="A48" s="26" t="s">
        <v>98</v>
      </c>
      <c r="B48" s="27" t="s">
        <v>99</v>
      </c>
      <c r="C48" s="33">
        <v>481373</v>
      </c>
      <c r="D48" s="33">
        <v>3849885</v>
      </c>
      <c r="E48" s="26" t="s">
        <v>100</v>
      </c>
      <c r="F48" s="25"/>
      <c r="G48" s="36">
        <v>8.5000000000000006E-2</v>
      </c>
      <c r="H48" s="36">
        <v>0.08</v>
      </c>
      <c r="I48" s="29">
        <v>0.08</v>
      </c>
      <c r="J48" s="29">
        <v>7.8E-2</v>
      </c>
      <c r="K48" s="25">
        <v>1</v>
      </c>
      <c r="L48" s="25">
        <v>5396</v>
      </c>
      <c r="M48" s="30">
        <f>L48/5616</f>
        <v>0.96082621082621078</v>
      </c>
    </row>
    <row r="49" spans="1:13" x14ac:dyDescent="0.25">
      <c r="A49" s="26" t="s">
        <v>101</v>
      </c>
      <c r="B49" s="27" t="s">
        <v>102</v>
      </c>
      <c r="C49" s="33">
        <v>503269</v>
      </c>
      <c r="D49" s="33">
        <v>3651959</v>
      </c>
      <c r="E49" s="26" t="s">
        <v>103</v>
      </c>
      <c r="F49" s="25"/>
      <c r="G49" s="36">
        <v>9.7000000000000003E-2</v>
      </c>
      <c r="H49" s="36">
        <v>8.4000000000000005E-2</v>
      </c>
      <c r="I49" s="29">
        <v>8.2000000000000003E-2</v>
      </c>
      <c r="J49" s="29">
        <v>0.08</v>
      </c>
      <c r="K49" s="25">
        <v>1</v>
      </c>
      <c r="L49" s="25">
        <v>5505</v>
      </c>
      <c r="M49" s="30">
        <f>L49/5736</f>
        <v>0.95972803347280333</v>
      </c>
    </row>
    <row r="50" spans="1:13" x14ac:dyDescent="0.25">
      <c r="A50" s="26" t="s">
        <v>104</v>
      </c>
      <c r="B50" s="27" t="s">
        <v>105</v>
      </c>
      <c r="C50" s="33">
        <v>615539</v>
      </c>
      <c r="D50" s="33">
        <v>3794336</v>
      </c>
      <c r="E50" s="26" t="s">
        <v>166</v>
      </c>
      <c r="F50" s="25"/>
      <c r="G50" s="36">
        <v>0.1</v>
      </c>
      <c r="H50" s="36">
        <v>9.5000000000000001E-2</v>
      </c>
      <c r="I50" s="29">
        <v>0.09</v>
      </c>
      <c r="J50" s="29">
        <v>8.6999999999999994E-2</v>
      </c>
      <c r="K50" s="25">
        <v>4</v>
      </c>
      <c r="L50" s="25">
        <v>8172</v>
      </c>
      <c r="M50" s="30">
        <f>L50/8784</f>
        <v>0.93032786885245899</v>
      </c>
    </row>
    <row r="51" spans="1:13" x14ac:dyDescent="0.25">
      <c r="A51" s="26" t="s">
        <v>106</v>
      </c>
      <c r="B51" s="27" t="s">
        <v>107</v>
      </c>
      <c r="C51" s="33">
        <v>420928</v>
      </c>
      <c r="D51" s="33">
        <v>3733431</v>
      </c>
      <c r="E51" s="26" t="s">
        <v>108</v>
      </c>
      <c r="F51" s="25"/>
      <c r="G51" s="36">
        <v>8.6999999999999994E-2</v>
      </c>
      <c r="H51" s="36">
        <v>8.5000000000000006E-2</v>
      </c>
      <c r="I51" s="29">
        <v>8.1000000000000003E-2</v>
      </c>
      <c r="J51" s="29">
        <v>7.9000000000000001E-2</v>
      </c>
      <c r="K51" s="25">
        <v>2</v>
      </c>
      <c r="L51" s="25">
        <v>8553</v>
      </c>
      <c r="M51" s="30">
        <f>L51/8784</f>
        <v>0.97370218579234968</v>
      </c>
    </row>
    <row r="52" spans="1:13" x14ac:dyDescent="0.25">
      <c r="A52" s="1" t="s">
        <v>135</v>
      </c>
      <c r="B52" s="23" t="s">
        <v>33</v>
      </c>
      <c r="C52" s="15">
        <v>380028</v>
      </c>
      <c r="D52" s="15">
        <v>3862420</v>
      </c>
      <c r="E52" s="1" t="s">
        <v>208</v>
      </c>
      <c r="F52" s="23" t="s">
        <v>136</v>
      </c>
      <c r="G52" s="36">
        <v>0.104</v>
      </c>
      <c r="H52" s="36">
        <v>8.5000000000000006E-2</v>
      </c>
      <c r="I52" s="29">
        <v>8.3000000000000004E-2</v>
      </c>
      <c r="J52" s="29">
        <v>8.1000000000000003E-2</v>
      </c>
      <c r="K52" s="25">
        <v>2</v>
      </c>
      <c r="L52" s="25">
        <v>1874</v>
      </c>
      <c r="M52" s="30">
        <f>L52/1992</f>
        <v>0.94076305220883538</v>
      </c>
    </row>
    <row r="53" spans="1:13" x14ac:dyDescent="0.25">
      <c r="A53" s="26" t="s">
        <v>81</v>
      </c>
      <c r="B53" s="27" t="s">
        <v>82</v>
      </c>
      <c r="C53" s="33">
        <v>295318</v>
      </c>
      <c r="D53" s="33">
        <v>3853504</v>
      </c>
      <c r="E53" s="26" t="s">
        <v>167</v>
      </c>
      <c r="F53" s="25"/>
      <c r="G53" s="36">
        <v>8.5999999999999993E-2</v>
      </c>
      <c r="H53" s="36">
        <v>8.5000000000000006E-2</v>
      </c>
      <c r="I53" s="29">
        <v>8.2000000000000003E-2</v>
      </c>
      <c r="J53" s="29">
        <v>8.1000000000000003E-2</v>
      </c>
      <c r="K53" s="25">
        <v>2</v>
      </c>
      <c r="L53" s="25">
        <v>7238</v>
      </c>
      <c r="M53" s="30">
        <f>L53/8784</f>
        <v>0.82399817850637525</v>
      </c>
    </row>
    <row r="54" spans="1:13" x14ac:dyDescent="0.25">
      <c r="A54" s="26" t="s">
        <v>109</v>
      </c>
      <c r="B54" s="27" t="s">
        <v>111</v>
      </c>
      <c r="C54" s="33">
        <v>331505</v>
      </c>
      <c r="D54" s="33">
        <v>3835941</v>
      </c>
      <c r="E54" s="26" t="s">
        <v>168</v>
      </c>
      <c r="F54" s="27" t="s">
        <v>110</v>
      </c>
      <c r="G54" s="36">
        <v>9.5000000000000001E-2</v>
      </c>
      <c r="H54" s="36">
        <v>8.7999999999999995E-2</v>
      </c>
      <c r="I54" s="29">
        <v>8.1000000000000003E-2</v>
      </c>
      <c r="J54" s="29">
        <v>8.1000000000000003E-2</v>
      </c>
      <c r="K54" s="25">
        <v>2</v>
      </c>
      <c r="L54" s="25">
        <v>5269</v>
      </c>
      <c r="M54" s="30">
        <f>L54/5400</f>
        <v>0.97574074074074069</v>
      </c>
    </row>
    <row r="55" spans="1:13" x14ac:dyDescent="0.25">
      <c r="A55" s="26" t="s">
        <v>56</v>
      </c>
      <c r="B55" s="27" t="s">
        <v>55</v>
      </c>
      <c r="C55" s="33">
        <v>503485</v>
      </c>
      <c r="D55" s="33">
        <v>3772372</v>
      </c>
      <c r="E55" s="26" t="s">
        <v>164</v>
      </c>
      <c r="F55" s="27" t="s">
        <v>54</v>
      </c>
      <c r="G55" s="36">
        <v>0.1</v>
      </c>
      <c r="H55" s="36">
        <v>9.9000000000000005E-2</v>
      </c>
      <c r="I55" s="29">
        <v>9.6000000000000002E-2</v>
      </c>
      <c r="J55" s="29">
        <v>9.6000000000000002E-2</v>
      </c>
      <c r="K55" s="25">
        <v>8</v>
      </c>
      <c r="L55" s="25">
        <v>7378</v>
      </c>
      <c r="M55" s="30">
        <f>L55/7464</f>
        <v>0.98847802786709538</v>
      </c>
    </row>
    <row r="56" spans="1:13" x14ac:dyDescent="0.25">
      <c r="A56" s="1" t="s">
        <v>232</v>
      </c>
      <c r="B56" s="23" t="s">
        <v>55</v>
      </c>
      <c r="C56" s="15">
        <v>520258</v>
      </c>
      <c r="D56" s="15">
        <v>3741410</v>
      </c>
      <c r="E56" s="26" t="s">
        <v>236</v>
      </c>
      <c r="F56" s="27"/>
      <c r="G56" s="36">
        <v>9.0999999999999998E-2</v>
      </c>
      <c r="H56" s="36">
        <v>0.08</v>
      </c>
      <c r="I56" s="29">
        <v>0.08</v>
      </c>
      <c r="J56" s="29">
        <v>7.5999999999999998E-2</v>
      </c>
      <c r="K56" s="25">
        <v>1</v>
      </c>
      <c r="L56" s="25">
        <v>6831</v>
      </c>
      <c r="M56" s="30">
        <f>L56/6960</f>
        <v>0.98146551724137931</v>
      </c>
    </row>
    <row r="57" spans="1:13" x14ac:dyDescent="0.25">
      <c r="A57" s="26" t="s">
        <v>112</v>
      </c>
      <c r="B57" s="27" t="s">
        <v>55</v>
      </c>
      <c r="C57" s="33">
        <v>511449</v>
      </c>
      <c r="D57" s="33">
        <v>3776444</v>
      </c>
      <c r="E57" s="26" t="s">
        <v>169</v>
      </c>
      <c r="F57" s="25"/>
      <c r="G57" s="36">
        <v>0.10199999999999999</v>
      </c>
      <c r="H57" s="36">
        <v>0.1</v>
      </c>
      <c r="I57" s="29">
        <v>9.8000000000000004E-2</v>
      </c>
      <c r="J57" s="29">
        <v>9.7000000000000003E-2</v>
      </c>
      <c r="K57" s="25">
        <v>7</v>
      </c>
      <c r="L57" s="25">
        <v>8682</v>
      </c>
      <c r="M57" s="30">
        <f>L57/8784</f>
        <v>0.98838797814207646</v>
      </c>
    </row>
    <row r="58" spans="1:13" x14ac:dyDescent="0.25">
      <c r="A58" s="26" t="s">
        <v>58</v>
      </c>
      <c r="B58" s="27" t="s">
        <v>55</v>
      </c>
      <c r="C58" s="33">
        <v>516067</v>
      </c>
      <c r="D58" s="33">
        <v>3741587</v>
      </c>
      <c r="E58" s="26" t="s">
        <v>70</v>
      </c>
      <c r="F58" s="25"/>
      <c r="G58" s="36">
        <v>7.5999999999999998E-2</v>
      </c>
      <c r="H58" s="36">
        <v>7.4999999999999997E-2</v>
      </c>
      <c r="I58" s="29">
        <v>7.3999999999999996E-2</v>
      </c>
      <c r="J58" s="29">
        <v>7.2999999999999995E-2</v>
      </c>
      <c r="K58" s="25">
        <v>0</v>
      </c>
      <c r="L58" s="25">
        <v>6176</v>
      </c>
      <c r="M58" s="30">
        <f>L58/7056</f>
        <v>0.87528344671201819</v>
      </c>
    </row>
    <row r="59" spans="1:13" x14ac:dyDescent="0.25">
      <c r="A59" s="26" t="s">
        <v>113</v>
      </c>
      <c r="B59" s="27" t="s">
        <v>60</v>
      </c>
      <c r="C59" s="33">
        <v>401836</v>
      </c>
      <c r="D59" s="33">
        <v>3872111</v>
      </c>
      <c r="E59" s="26" t="s">
        <v>170</v>
      </c>
      <c r="F59" s="25"/>
      <c r="G59" s="36">
        <v>0.1</v>
      </c>
      <c r="H59" s="36">
        <v>9.7000000000000003E-2</v>
      </c>
      <c r="I59" s="29">
        <v>9.0999999999999998E-2</v>
      </c>
      <c r="J59" s="29">
        <v>8.8999999999999996E-2</v>
      </c>
      <c r="K59" s="25">
        <v>8</v>
      </c>
      <c r="L59" s="25">
        <v>6690</v>
      </c>
      <c r="M59" s="30">
        <f>L59/6864</f>
        <v>0.97465034965034969</v>
      </c>
    </row>
    <row r="60" spans="1:13" x14ac:dyDescent="0.25">
      <c r="A60" s="26" t="s">
        <v>114</v>
      </c>
      <c r="B60" s="27" t="s">
        <v>115</v>
      </c>
      <c r="C60" s="33">
        <v>448587</v>
      </c>
      <c r="D60" s="33">
        <v>3821887</v>
      </c>
      <c r="E60" s="26" t="s">
        <v>116</v>
      </c>
      <c r="F60" s="25"/>
      <c r="G60" s="36">
        <v>8.6999999999999994E-2</v>
      </c>
      <c r="H60" s="36">
        <v>8.3000000000000004E-2</v>
      </c>
      <c r="I60" s="29">
        <v>7.9000000000000001E-2</v>
      </c>
      <c r="J60" s="29">
        <v>7.9000000000000001E-2</v>
      </c>
      <c r="K60" s="25">
        <v>1</v>
      </c>
      <c r="L60" s="25">
        <v>8531</v>
      </c>
      <c r="M60" s="30">
        <f>L60/8784</f>
        <v>0.9711976320582878</v>
      </c>
    </row>
    <row r="61" spans="1:13" x14ac:dyDescent="0.25">
      <c r="A61" s="26" t="s">
        <v>117</v>
      </c>
      <c r="B61" s="27" t="s">
        <v>172</v>
      </c>
      <c r="C61" s="33">
        <v>632955</v>
      </c>
      <c r="D61" s="33">
        <v>3732242</v>
      </c>
      <c r="E61" s="26" t="s">
        <v>118</v>
      </c>
      <c r="F61" s="25"/>
      <c r="G61" s="36">
        <v>8.2000000000000003E-2</v>
      </c>
      <c r="H61" s="36">
        <v>8.1000000000000003E-2</v>
      </c>
      <c r="I61" s="29">
        <v>7.6999999999999999E-2</v>
      </c>
      <c r="J61" s="29">
        <v>7.6999999999999999E-2</v>
      </c>
      <c r="K61" s="25">
        <v>0</v>
      </c>
      <c r="L61" s="25">
        <v>5316</v>
      </c>
      <c r="M61" s="30">
        <f>L61/5400</f>
        <v>0.98444444444444446</v>
      </c>
    </row>
    <row r="62" spans="1:13" x14ac:dyDescent="0.25">
      <c r="A62" s="26" t="s">
        <v>119</v>
      </c>
      <c r="B62" s="27" t="s">
        <v>64</v>
      </c>
      <c r="C62" s="33">
        <v>479147</v>
      </c>
      <c r="D62" s="33">
        <v>3865723</v>
      </c>
      <c r="E62" s="26" t="s">
        <v>171</v>
      </c>
      <c r="F62" s="25"/>
      <c r="G62" s="36">
        <v>7.5999999999999998E-2</v>
      </c>
      <c r="H62" s="36">
        <v>7.5999999999999998E-2</v>
      </c>
      <c r="I62" s="29">
        <v>7.5999999999999998E-2</v>
      </c>
      <c r="J62" s="29">
        <v>7.5999999999999998E-2</v>
      </c>
      <c r="K62" s="25">
        <v>0</v>
      </c>
      <c r="L62" s="25">
        <v>5110</v>
      </c>
      <c r="M62" s="30">
        <f>L62/5520</f>
        <v>0.92572463768115942</v>
      </c>
    </row>
    <row r="63" spans="1:13" x14ac:dyDescent="0.25">
      <c r="A63" s="26"/>
      <c r="B63" s="27"/>
      <c r="C63" s="28"/>
      <c r="D63" s="28"/>
      <c r="E63" s="26"/>
      <c r="F63" s="25"/>
      <c r="G63" s="29"/>
      <c r="H63" s="29"/>
      <c r="I63" s="29"/>
      <c r="J63" s="29"/>
      <c r="L63" s="25"/>
      <c r="M63" s="30"/>
    </row>
    <row r="64" spans="1:13" x14ac:dyDescent="0.25">
      <c r="A64" s="24" t="s">
        <v>252</v>
      </c>
      <c r="K64" s="33">
        <f>AVERAGE(K39:K62)</f>
        <v>3.1666666666666665</v>
      </c>
      <c r="L64" s="33">
        <f>AVERAGE(L39:L62)</f>
        <v>6416.333333333333</v>
      </c>
      <c r="M64" s="31">
        <f>SUM(L39:L62)/163586</f>
        <v>0.94135194943332556</v>
      </c>
    </row>
    <row r="65" spans="1:10" x14ac:dyDescent="0.25">
      <c r="A65" s="24" t="s">
        <v>253</v>
      </c>
      <c r="G65" s="24">
        <v>0.104</v>
      </c>
      <c r="H65" s="24">
        <v>0.104</v>
      </c>
      <c r="I65" s="24">
        <v>0.10299999999999999</v>
      </c>
      <c r="J65" s="24">
        <v>0.10199999999999999</v>
      </c>
    </row>
  </sheetData>
  <mergeCells count="5">
    <mergeCell ref="A35:M35"/>
    <mergeCell ref="G37:K37"/>
    <mergeCell ref="G4:K4"/>
    <mergeCell ref="A1:M1"/>
    <mergeCell ref="A2:M2"/>
  </mergeCells>
  <phoneticPr fontId="0" type="noConversion"/>
  <printOptions horizontalCentered="1"/>
  <pageMargins left="0.25" right="0.25" top="0.5" bottom="0.5" header="0" footer="0"/>
  <pageSetup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>
      <selection activeCell="A7" sqref="A7"/>
    </sheetView>
  </sheetViews>
  <sheetFormatPr defaultRowHeight="13.2" x14ac:dyDescent="0.25"/>
  <cols>
    <col min="1" max="1" width="12.5546875" customWidth="1"/>
    <col min="2" max="2" width="15" bestFit="1" customWidth="1"/>
    <col min="3" max="3" width="6.88671875" customWidth="1"/>
    <col min="4" max="4" width="8.33203125" customWidth="1"/>
    <col min="5" max="5" width="31.44140625" bestFit="1" customWidth="1"/>
    <col min="6" max="6" width="20.33203125" bestFit="1" customWidth="1"/>
    <col min="7" max="7" width="6.44140625" bestFit="1" customWidth="1"/>
    <col min="8" max="8" width="8.6640625" bestFit="1" customWidth="1"/>
    <col min="9" max="10" width="9" bestFit="1" customWidth="1"/>
    <col min="11" max="11" width="8.6640625" bestFit="1" customWidth="1"/>
    <col min="12" max="13" width="9.6640625" bestFit="1" customWidth="1"/>
  </cols>
  <sheetData>
    <row r="1" spans="1:14" ht="19.2" x14ac:dyDescent="0.4">
      <c r="A1" s="46" t="s">
        <v>266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6" x14ac:dyDescent="0.25">
      <c r="A2" s="42" t="s">
        <v>267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4" spans="1:14" x14ac:dyDescent="0.25">
      <c r="G4" s="6" t="s">
        <v>120</v>
      </c>
    </row>
    <row r="5" spans="1:14" x14ac:dyDescent="0.25">
      <c r="G5" s="6" t="s">
        <v>121</v>
      </c>
      <c r="N5" s="18" t="s">
        <v>211</v>
      </c>
    </row>
    <row r="6" spans="1:14" x14ac:dyDescent="0.25">
      <c r="A6" s="12" t="s">
        <v>0</v>
      </c>
      <c r="B6" s="12" t="s">
        <v>2</v>
      </c>
      <c r="C6" s="6" t="s">
        <v>68</v>
      </c>
      <c r="D6" s="6" t="s">
        <v>67</v>
      </c>
      <c r="E6" s="12" t="s">
        <v>66</v>
      </c>
      <c r="F6" s="12" t="s">
        <v>1</v>
      </c>
      <c r="G6" s="6" t="s">
        <v>5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173</v>
      </c>
      <c r="M6" s="6" t="s">
        <v>163</v>
      </c>
      <c r="N6" s="18" t="s">
        <v>212</v>
      </c>
    </row>
    <row r="7" spans="1:14" x14ac:dyDescent="0.25">
      <c r="A7" s="1" t="s">
        <v>76</v>
      </c>
      <c r="B7" s="23" t="s">
        <v>7</v>
      </c>
      <c r="C7" s="15">
        <v>426614</v>
      </c>
      <c r="D7" s="15">
        <v>3689312</v>
      </c>
      <c r="E7" s="1" t="s">
        <v>84</v>
      </c>
      <c r="F7" s="2"/>
      <c r="G7" s="2">
        <v>21</v>
      </c>
      <c r="H7" s="2">
        <v>39</v>
      </c>
      <c r="I7" s="2">
        <v>34</v>
      </c>
      <c r="J7" s="2">
        <v>34</v>
      </c>
      <c r="K7" s="2">
        <v>32</v>
      </c>
      <c r="L7" s="2">
        <v>0</v>
      </c>
      <c r="M7" s="2">
        <v>55</v>
      </c>
      <c r="N7" s="21">
        <f>M7/61</f>
        <v>0.90163934426229508</v>
      </c>
    </row>
    <row r="8" spans="1:14" x14ac:dyDescent="0.25">
      <c r="A8" s="1" t="s">
        <v>77</v>
      </c>
      <c r="B8" s="23" t="s">
        <v>78</v>
      </c>
      <c r="C8" s="15">
        <v>456692</v>
      </c>
      <c r="D8" s="15">
        <v>3686698</v>
      </c>
      <c r="E8" s="1" t="s">
        <v>155</v>
      </c>
      <c r="F8" s="2"/>
      <c r="G8" s="2">
        <v>21</v>
      </c>
      <c r="H8" s="2">
        <v>126</v>
      </c>
      <c r="I8" s="2">
        <v>42</v>
      </c>
      <c r="J8" s="2">
        <v>36</v>
      </c>
      <c r="K8" s="2">
        <v>35</v>
      </c>
      <c r="L8" s="2">
        <v>0</v>
      </c>
      <c r="M8" s="2">
        <v>57</v>
      </c>
      <c r="N8" s="21">
        <f t="shared" ref="N8:N26" si="0">M8/61</f>
        <v>0.93442622950819676</v>
      </c>
    </row>
    <row r="9" spans="1:14" x14ac:dyDescent="0.25">
      <c r="A9" s="1" t="s">
        <v>183</v>
      </c>
      <c r="B9" s="23" t="s">
        <v>13</v>
      </c>
      <c r="C9" s="15">
        <v>595649</v>
      </c>
      <c r="D9" s="15">
        <v>3638503</v>
      </c>
      <c r="E9" s="1" t="s">
        <v>14</v>
      </c>
      <c r="F9" s="23" t="s">
        <v>154</v>
      </c>
      <c r="G9" s="2">
        <v>22</v>
      </c>
      <c r="H9" s="2">
        <v>56</v>
      </c>
      <c r="I9" s="2">
        <v>52</v>
      </c>
      <c r="J9" s="2">
        <v>51</v>
      </c>
      <c r="K9" s="2">
        <v>51</v>
      </c>
      <c r="L9" s="2">
        <v>0</v>
      </c>
      <c r="M9" s="2">
        <v>290</v>
      </c>
      <c r="N9" s="21">
        <f>M9/366</f>
        <v>0.79234972677595628</v>
      </c>
    </row>
    <row r="10" spans="1:14" x14ac:dyDescent="0.25">
      <c r="A10" s="1" t="s">
        <v>15</v>
      </c>
      <c r="B10" s="23" t="s">
        <v>13</v>
      </c>
      <c r="C10" s="15">
        <v>625554</v>
      </c>
      <c r="D10" s="15">
        <v>3645337</v>
      </c>
      <c r="E10" s="1" t="s">
        <v>16</v>
      </c>
      <c r="F10" s="2"/>
      <c r="G10" s="2">
        <v>18</v>
      </c>
      <c r="H10" s="2">
        <v>37</v>
      </c>
      <c r="I10" s="2">
        <v>35</v>
      </c>
      <c r="J10" s="2">
        <v>33</v>
      </c>
      <c r="K10" s="2">
        <v>31</v>
      </c>
      <c r="L10" s="2">
        <v>0</v>
      </c>
      <c r="M10" s="2">
        <v>57</v>
      </c>
      <c r="N10" s="21">
        <f t="shared" si="0"/>
        <v>0.93442622950819676</v>
      </c>
    </row>
    <row r="11" spans="1:14" x14ac:dyDescent="0.25">
      <c r="A11" s="1" t="s">
        <v>17</v>
      </c>
      <c r="B11" s="23" t="s">
        <v>13</v>
      </c>
      <c r="C11" s="15">
        <v>598473</v>
      </c>
      <c r="D11" s="15">
        <v>3634157</v>
      </c>
      <c r="E11" s="1" t="s">
        <v>179</v>
      </c>
      <c r="F11" s="23" t="s">
        <v>154</v>
      </c>
      <c r="G11" s="2">
        <v>23</v>
      </c>
      <c r="H11" s="2">
        <v>46</v>
      </c>
      <c r="I11" s="2">
        <v>45</v>
      </c>
      <c r="J11" s="2">
        <v>42</v>
      </c>
      <c r="K11" s="2">
        <v>41</v>
      </c>
      <c r="L11" s="2">
        <v>0</v>
      </c>
      <c r="M11" s="2">
        <v>59</v>
      </c>
      <c r="N11" s="21">
        <f t="shared" si="0"/>
        <v>0.96721311475409832</v>
      </c>
    </row>
    <row r="12" spans="1:14" x14ac:dyDescent="0.25">
      <c r="A12" s="1" t="s">
        <v>122</v>
      </c>
      <c r="B12" s="23" t="s">
        <v>123</v>
      </c>
      <c r="C12" s="15">
        <v>508081</v>
      </c>
      <c r="D12" s="15">
        <v>3791655</v>
      </c>
      <c r="E12" s="1" t="s">
        <v>124</v>
      </c>
      <c r="F12" s="2"/>
      <c r="G12" s="2">
        <v>20</v>
      </c>
      <c r="H12" s="2">
        <v>38</v>
      </c>
      <c r="I12" s="2">
        <v>33</v>
      </c>
      <c r="J12" s="2">
        <v>30</v>
      </c>
      <c r="K12" s="2">
        <v>30</v>
      </c>
      <c r="L12" s="2">
        <v>0</v>
      </c>
      <c r="M12" s="2">
        <v>51</v>
      </c>
      <c r="N12" s="21">
        <f t="shared" si="0"/>
        <v>0.83606557377049184</v>
      </c>
    </row>
    <row r="13" spans="1:14" x14ac:dyDescent="0.25">
      <c r="A13" s="1" t="s">
        <v>125</v>
      </c>
      <c r="B13" s="23" t="s">
        <v>123</v>
      </c>
      <c r="C13" s="15">
        <v>511046</v>
      </c>
      <c r="D13" s="15">
        <v>3792767</v>
      </c>
      <c r="E13" s="1" t="s">
        <v>126</v>
      </c>
      <c r="F13" s="2"/>
      <c r="G13" s="2">
        <v>23</v>
      </c>
      <c r="H13" s="2">
        <v>68</v>
      </c>
      <c r="I13" s="2">
        <v>40</v>
      </c>
      <c r="J13" s="2">
        <v>40</v>
      </c>
      <c r="K13" s="2">
        <v>39</v>
      </c>
      <c r="L13" s="2">
        <v>0</v>
      </c>
      <c r="M13" s="2">
        <v>56</v>
      </c>
      <c r="N13" s="21">
        <f t="shared" si="0"/>
        <v>0.91803278688524592</v>
      </c>
    </row>
    <row r="14" spans="1:14" x14ac:dyDescent="0.25">
      <c r="A14" s="1" t="s">
        <v>23</v>
      </c>
      <c r="B14" s="23" t="s">
        <v>24</v>
      </c>
      <c r="C14" s="15">
        <v>658389</v>
      </c>
      <c r="D14" s="15">
        <v>3693255</v>
      </c>
      <c r="E14" s="1" t="s">
        <v>25</v>
      </c>
      <c r="F14" s="23" t="s">
        <v>24</v>
      </c>
      <c r="G14" s="2">
        <v>30</v>
      </c>
      <c r="H14" s="2">
        <v>87</v>
      </c>
      <c r="I14" s="2">
        <v>62</v>
      </c>
      <c r="J14" s="2">
        <v>58</v>
      </c>
      <c r="K14" s="2">
        <v>57</v>
      </c>
      <c r="L14" s="2">
        <v>0</v>
      </c>
      <c r="M14" s="2">
        <v>58</v>
      </c>
      <c r="N14" s="21">
        <f t="shared" si="0"/>
        <v>0.95081967213114749</v>
      </c>
    </row>
    <row r="15" spans="1:14" x14ac:dyDescent="0.25">
      <c r="A15" s="1" t="s">
        <v>182</v>
      </c>
      <c r="B15" s="23" t="s">
        <v>24</v>
      </c>
      <c r="C15" s="15">
        <v>658711</v>
      </c>
      <c r="D15" s="15">
        <v>3692520</v>
      </c>
      <c r="E15" s="1" t="s">
        <v>27</v>
      </c>
      <c r="F15" s="23" t="s">
        <v>24</v>
      </c>
      <c r="G15" s="2">
        <v>33</v>
      </c>
      <c r="H15" s="2">
        <v>85</v>
      </c>
      <c r="I15" s="2">
        <v>72</v>
      </c>
      <c r="J15" s="2">
        <v>71</v>
      </c>
      <c r="K15" s="2">
        <v>69</v>
      </c>
      <c r="L15" s="2">
        <v>0</v>
      </c>
      <c r="M15" s="2">
        <v>365</v>
      </c>
      <c r="N15" s="21">
        <f>M15/366</f>
        <v>0.99726775956284153</v>
      </c>
    </row>
    <row r="16" spans="1:14" x14ac:dyDescent="0.25">
      <c r="A16" s="1" t="s">
        <v>30</v>
      </c>
      <c r="B16" s="23" t="s">
        <v>24</v>
      </c>
      <c r="C16" s="15">
        <v>659490</v>
      </c>
      <c r="D16" s="15">
        <v>3693858</v>
      </c>
      <c r="E16" s="1" t="s">
        <v>31</v>
      </c>
      <c r="F16" s="23" t="s">
        <v>24</v>
      </c>
      <c r="G16" s="2">
        <v>29</v>
      </c>
      <c r="H16" s="2">
        <v>82</v>
      </c>
      <c r="I16" s="2">
        <v>66</v>
      </c>
      <c r="J16" s="2">
        <v>54</v>
      </c>
      <c r="K16" s="2">
        <v>53</v>
      </c>
      <c r="L16" s="2">
        <v>0</v>
      </c>
      <c r="M16" s="2">
        <v>60</v>
      </c>
      <c r="N16" s="21">
        <f t="shared" si="0"/>
        <v>0.98360655737704916</v>
      </c>
    </row>
    <row r="17" spans="1:14" x14ac:dyDescent="0.25">
      <c r="A17" s="1" t="s">
        <v>181</v>
      </c>
      <c r="B17" s="23" t="s">
        <v>33</v>
      </c>
      <c r="C17" s="15">
        <v>370287</v>
      </c>
      <c r="D17" s="15">
        <v>3859348</v>
      </c>
      <c r="E17" s="1" t="s">
        <v>180</v>
      </c>
      <c r="F17" s="23" t="s">
        <v>33</v>
      </c>
      <c r="G17" s="2">
        <v>25</v>
      </c>
      <c r="H17" s="2">
        <v>56</v>
      </c>
      <c r="I17" s="2">
        <v>54</v>
      </c>
      <c r="J17" s="2">
        <v>52</v>
      </c>
      <c r="K17" s="2">
        <v>51</v>
      </c>
      <c r="L17" s="2">
        <v>0</v>
      </c>
      <c r="M17" s="2">
        <v>202</v>
      </c>
      <c r="N17" s="21">
        <f>M17/366</f>
        <v>0.55191256830601088</v>
      </c>
    </row>
    <row r="18" spans="1:14" x14ac:dyDescent="0.25">
      <c r="A18" s="1" t="s">
        <v>48</v>
      </c>
      <c r="B18" s="23" t="s">
        <v>49</v>
      </c>
      <c r="C18" s="15">
        <v>488916</v>
      </c>
      <c r="D18" s="15">
        <v>3738007</v>
      </c>
      <c r="E18" s="1" t="s">
        <v>205</v>
      </c>
      <c r="F18" s="2"/>
      <c r="G18" s="2">
        <v>22</v>
      </c>
      <c r="H18" s="2">
        <v>47</v>
      </c>
      <c r="I18" s="2">
        <v>43</v>
      </c>
      <c r="J18" s="2">
        <v>38</v>
      </c>
      <c r="K18" s="2">
        <v>37</v>
      </c>
      <c r="L18" s="2">
        <v>0</v>
      </c>
      <c r="M18" s="2">
        <v>57</v>
      </c>
      <c r="N18" s="21">
        <f t="shared" si="0"/>
        <v>0.93442622950819676</v>
      </c>
    </row>
    <row r="19" spans="1:14" x14ac:dyDescent="0.25">
      <c r="A19" s="1" t="s">
        <v>185</v>
      </c>
      <c r="B19" s="23" t="s">
        <v>49</v>
      </c>
      <c r="C19" s="15">
        <v>495150</v>
      </c>
      <c r="D19" s="15">
        <v>3759006</v>
      </c>
      <c r="E19" s="1" t="s">
        <v>127</v>
      </c>
      <c r="F19" s="23" t="s">
        <v>51</v>
      </c>
      <c r="G19" s="2">
        <v>46</v>
      </c>
      <c r="H19" s="2">
        <v>148</v>
      </c>
      <c r="I19" s="2">
        <v>132</v>
      </c>
      <c r="J19" s="2">
        <v>123</v>
      </c>
      <c r="K19" s="2">
        <v>123</v>
      </c>
      <c r="L19" s="2">
        <v>0</v>
      </c>
      <c r="M19" s="2">
        <v>338</v>
      </c>
      <c r="N19" s="21">
        <f>M19/366</f>
        <v>0.92349726775956287</v>
      </c>
    </row>
    <row r="20" spans="1:14" x14ac:dyDescent="0.25">
      <c r="A20" s="1" t="s">
        <v>56</v>
      </c>
      <c r="B20" s="23" t="s">
        <v>55</v>
      </c>
      <c r="C20" s="15">
        <v>503485</v>
      </c>
      <c r="D20" s="15">
        <v>3772372</v>
      </c>
      <c r="E20" s="1" t="s">
        <v>200</v>
      </c>
      <c r="F20" s="23" t="s">
        <v>54</v>
      </c>
      <c r="G20" s="2">
        <v>22</v>
      </c>
      <c r="H20" s="2">
        <v>40</v>
      </c>
      <c r="I20" s="2">
        <v>36</v>
      </c>
      <c r="J20" s="2">
        <v>34</v>
      </c>
      <c r="K20" s="2">
        <v>34</v>
      </c>
      <c r="L20" s="2">
        <v>0</v>
      </c>
      <c r="M20" s="2">
        <v>55</v>
      </c>
      <c r="N20" s="21">
        <f>M20/61</f>
        <v>0.90163934426229508</v>
      </c>
    </row>
    <row r="21" spans="1:14" x14ac:dyDescent="0.25">
      <c r="A21" s="1" t="s">
        <v>57</v>
      </c>
      <c r="B21" s="23" t="s">
        <v>55</v>
      </c>
      <c r="C21" s="15">
        <v>498204</v>
      </c>
      <c r="D21" s="15">
        <v>3760083</v>
      </c>
      <c r="E21" s="1" t="s">
        <v>201</v>
      </c>
      <c r="F21" s="23" t="s">
        <v>54</v>
      </c>
      <c r="G21" s="2">
        <v>23</v>
      </c>
      <c r="H21" s="2">
        <v>38</v>
      </c>
      <c r="I21" s="2">
        <v>26</v>
      </c>
      <c r="J21" s="2">
        <v>21</v>
      </c>
      <c r="K21" s="2">
        <v>19</v>
      </c>
      <c r="L21" s="2">
        <v>0</v>
      </c>
      <c r="M21" s="2">
        <v>5</v>
      </c>
      <c r="N21" s="21">
        <f>M21/5</f>
        <v>1</v>
      </c>
    </row>
    <row r="22" spans="1:14" x14ac:dyDescent="0.25">
      <c r="A22" s="1" t="s">
        <v>184</v>
      </c>
      <c r="B22" s="23" t="s">
        <v>55</v>
      </c>
      <c r="C22" s="15">
        <v>496305</v>
      </c>
      <c r="D22" s="15">
        <v>3759991</v>
      </c>
      <c r="E22" s="1" t="s">
        <v>128</v>
      </c>
      <c r="F22" s="23" t="s">
        <v>54</v>
      </c>
      <c r="G22" s="2">
        <v>36</v>
      </c>
      <c r="H22" s="2">
        <v>157</v>
      </c>
      <c r="I22" s="2">
        <v>109</v>
      </c>
      <c r="J22" s="2">
        <v>95</v>
      </c>
      <c r="K22" s="2">
        <v>87</v>
      </c>
      <c r="L22" s="2">
        <v>1</v>
      </c>
      <c r="M22" s="2">
        <v>256</v>
      </c>
      <c r="N22" s="21">
        <f>M22/366</f>
        <v>0.69945355191256831</v>
      </c>
    </row>
    <row r="23" spans="1:14" x14ac:dyDescent="0.25">
      <c r="A23" s="1" t="s">
        <v>129</v>
      </c>
      <c r="B23" s="23" t="s">
        <v>55</v>
      </c>
      <c r="C23" s="15">
        <v>497794</v>
      </c>
      <c r="D23" s="15">
        <v>3761007</v>
      </c>
      <c r="E23" s="1" t="s">
        <v>130</v>
      </c>
      <c r="F23" s="23" t="s">
        <v>54</v>
      </c>
      <c r="G23" s="2">
        <v>26</v>
      </c>
      <c r="H23" s="2">
        <v>57</v>
      </c>
      <c r="I23" s="2">
        <v>47</v>
      </c>
      <c r="J23" s="2">
        <v>40</v>
      </c>
      <c r="K23" s="2">
        <v>39</v>
      </c>
      <c r="L23" s="2">
        <v>0</v>
      </c>
      <c r="M23" s="2">
        <v>56</v>
      </c>
      <c r="N23" s="21">
        <f>M23/56</f>
        <v>1</v>
      </c>
    </row>
    <row r="24" spans="1:14" x14ac:dyDescent="0.25">
      <c r="A24" s="1" t="s">
        <v>83</v>
      </c>
      <c r="B24" s="23" t="s">
        <v>55</v>
      </c>
      <c r="C24" s="15">
        <v>496666</v>
      </c>
      <c r="D24" s="15">
        <v>3764672</v>
      </c>
      <c r="E24" s="1" t="s">
        <v>131</v>
      </c>
      <c r="F24" s="23" t="s">
        <v>54</v>
      </c>
      <c r="G24" s="2">
        <v>23</v>
      </c>
      <c r="H24" s="2">
        <v>45</v>
      </c>
      <c r="I24" s="2">
        <v>40</v>
      </c>
      <c r="J24" s="2">
        <v>37</v>
      </c>
      <c r="K24" s="2">
        <v>36</v>
      </c>
      <c r="L24" s="2">
        <v>0</v>
      </c>
      <c r="M24" s="2">
        <v>59</v>
      </c>
      <c r="N24" s="21">
        <f>M24/61</f>
        <v>0.96721311475409832</v>
      </c>
    </row>
    <row r="25" spans="1:14" x14ac:dyDescent="0.25">
      <c r="A25" s="1" t="s">
        <v>59</v>
      </c>
      <c r="B25" s="23" t="s">
        <v>60</v>
      </c>
      <c r="C25" s="15">
        <v>414850</v>
      </c>
      <c r="D25" s="15">
        <v>3867421</v>
      </c>
      <c r="E25" s="1" t="s">
        <v>61</v>
      </c>
      <c r="F25" s="23" t="s">
        <v>60</v>
      </c>
      <c r="G25" s="2">
        <v>24</v>
      </c>
      <c r="H25" s="2">
        <v>49</v>
      </c>
      <c r="I25" s="2">
        <v>44</v>
      </c>
      <c r="J25" s="2">
        <v>43</v>
      </c>
      <c r="K25" s="2">
        <v>43</v>
      </c>
      <c r="L25" s="2">
        <v>0</v>
      </c>
      <c r="M25" s="2">
        <v>55</v>
      </c>
      <c r="N25" s="21">
        <f t="shared" si="0"/>
        <v>0.90163934426229508</v>
      </c>
    </row>
    <row r="26" spans="1:14" x14ac:dyDescent="0.25">
      <c r="A26" s="1" t="s">
        <v>62</v>
      </c>
      <c r="B26" s="23" t="s">
        <v>64</v>
      </c>
      <c r="C26" s="15">
        <v>499924</v>
      </c>
      <c r="D26" s="15">
        <v>3868718</v>
      </c>
      <c r="E26" s="1" t="s">
        <v>69</v>
      </c>
      <c r="F26" s="23" t="s">
        <v>63</v>
      </c>
      <c r="G26" s="2">
        <v>28</v>
      </c>
      <c r="H26" s="2">
        <v>73</v>
      </c>
      <c r="I26" s="2">
        <v>46</v>
      </c>
      <c r="J26" s="2">
        <v>45</v>
      </c>
      <c r="K26" s="2">
        <v>44</v>
      </c>
      <c r="L26" s="2">
        <v>0</v>
      </c>
      <c r="M26" s="2">
        <v>57</v>
      </c>
      <c r="N26" s="21">
        <f t="shared" si="0"/>
        <v>0.93442622950819676</v>
      </c>
    </row>
    <row r="27" spans="1:14" x14ac:dyDescent="0.25">
      <c r="A27" s="1"/>
      <c r="B27" s="23"/>
      <c r="C27" s="16"/>
      <c r="D27" s="16"/>
      <c r="E27" s="1"/>
      <c r="F27" s="23"/>
      <c r="G27" s="2"/>
      <c r="H27" s="2"/>
      <c r="I27" s="2"/>
      <c r="J27" s="2"/>
      <c r="K27" s="2"/>
      <c r="L27" s="2"/>
      <c r="M27" s="2"/>
      <c r="N27" s="21"/>
    </row>
    <row r="28" spans="1:14" x14ac:dyDescent="0.25">
      <c r="A28" s="24" t="s">
        <v>252</v>
      </c>
      <c r="B28" s="23"/>
      <c r="C28" s="16"/>
      <c r="D28" s="16"/>
      <c r="E28" s="1"/>
      <c r="F28" s="23"/>
      <c r="G28" s="15">
        <f>AVERAGE(G7:G26)</f>
        <v>25.75</v>
      </c>
      <c r="I28" s="2"/>
      <c r="J28" s="2"/>
      <c r="K28" s="2"/>
      <c r="L28" s="15">
        <f>AVERAGE(L7:L26)</f>
        <v>0.05</v>
      </c>
      <c r="M28" s="15">
        <f>AVERAGE(M7:M26)</f>
        <v>112.4</v>
      </c>
      <c r="N28" s="22">
        <f>SUM(M7:M26)/2684</f>
        <v>0.83755588673621462</v>
      </c>
    </row>
    <row r="29" spans="1:14" x14ac:dyDescent="0.25">
      <c r="A29" s="24" t="s">
        <v>253</v>
      </c>
      <c r="B29" s="23"/>
      <c r="C29" s="16"/>
      <c r="D29" s="16"/>
      <c r="E29" s="1"/>
      <c r="F29" s="23"/>
      <c r="G29" s="15"/>
      <c r="H29" s="2">
        <v>157</v>
      </c>
      <c r="I29" s="2">
        <v>148</v>
      </c>
      <c r="J29" s="2">
        <v>132</v>
      </c>
      <c r="K29" s="2">
        <v>126</v>
      </c>
      <c r="L29" s="15"/>
      <c r="M29" s="15"/>
      <c r="N29" s="22"/>
    </row>
    <row r="30" spans="1:14" x14ac:dyDescent="0.25">
      <c r="A30" t="s">
        <v>178</v>
      </c>
    </row>
    <row r="31" spans="1:14" x14ac:dyDescent="0.25">
      <c r="A31" t="s">
        <v>191</v>
      </c>
    </row>
  </sheetData>
  <mergeCells count="2">
    <mergeCell ref="A1:N1"/>
    <mergeCell ref="A2:N2"/>
  </mergeCells>
  <phoneticPr fontId="0" type="noConversion"/>
  <printOptions horizontalCentered="1"/>
  <pageMargins left="0.25" right="0.25" top="0.5" bottom="0.5" header="0" footer="0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workbookViewId="0">
      <selection activeCell="A5" sqref="A5"/>
    </sheetView>
  </sheetViews>
  <sheetFormatPr defaultRowHeight="13.2" x14ac:dyDescent="0.25"/>
  <cols>
    <col min="1" max="1" width="14.44140625" customWidth="1"/>
    <col min="2" max="2" width="15" bestFit="1" customWidth="1"/>
    <col min="3" max="3" width="7.33203125" customWidth="1"/>
    <col min="4" max="4" width="7.6640625" customWidth="1"/>
    <col min="5" max="5" width="38" bestFit="1" customWidth="1"/>
    <col min="6" max="6" width="15.44140625" bestFit="1" customWidth="1"/>
    <col min="7" max="7" width="6.44140625" bestFit="1" customWidth="1"/>
    <col min="8" max="8" width="8.6640625" bestFit="1" customWidth="1"/>
    <col min="10" max="10" width="9.44140625" bestFit="1" customWidth="1"/>
    <col min="11" max="11" width="9.33203125" customWidth="1"/>
    <col min="12" max="12" width="8.6640625" bestFit="1" customWidth="1"/>
    <col min="13" max="13" width="6.33203125" bestFit="1" customWidth="1"/>
    <col min="14" max="14" width="8.88671875" bestFit="1" customWidth="1"/>
  </cols>
  <sheetData>
    <row r="1" spans="1:15" ht="19.2" x14ac:dyDescent="0.4">
      <c r="A1" s="46" t="s">
        <v>268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ht="15.6" x14ac:dyDescent="0.25">
      <c r="A2" s="42" t="s">
        <v>269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5" x14ac:dyDescent="0.25">
      <c r="N3" s="18" t="s">
        <v>211</v>
      </c>
    </row>
    <row r="4" spans="1:15" x14ac:dyDescent="0.25">
      <c r="A4" s="12" t="s">
        <v>0</v>
      </c>
      <c r="B4" s="12" t="s">
        <v>2</v>
      </c>
      <c r="C4" s="6" t="s">
        <v>68</v>
      </c>
      <c r="D4" s="6" t="s">
        <v>67</v>
      </c>
      <c r="E4" s="12" t="s">
        <v>66</v>
      </c>
      <c r="F4" s="12" t="s">
        <v>1</v>
      </c>
      <c r="G4" s="6" t="s">
        <v>5</v>
      </c>
      <c r="H4" s="6" t="s">
        <v>174</v>
      </c>
      <c r="I4" s="6" t="s">
        <v>175</v>
      </c>
      <c r="J4" s="6" t="s">
        <v>176</v>
      </c>
      <c r="K4" s="6" t="s">
        <v>177</v>
      </c>
      <c r="L4" s="6" t="s">
        <v>192</v>
      </c>
      <c r="M4" s="6" t="s">
        <v>163</v>
      </c>
      <c r="N4" s="18" t="s">
        <v>212</v>
      </c>
    </row>
    <row r="5" spans="1:15" x14ac:dyDescent="0.25">
      <c r="A5" s="26" t="s">
        <v>251</v>
      </c>
      <c r="B5" s="27" t="s">
        <v>89</v>
      </c>
      <c r="C5" s="33">
        <v>363630</v>
      </c>
      <c r="D5" s="33">
        <v>3848907</v>
      </c>
      <c r="E5" s="26" t="s">
        <v>90</v>
      </c>
      <c r="F5" s="12"/>
      <c r="G5" s="35">
        <v>24.32</v>
      </c>
      <c r="H5" s="25">
        <v>36.700000000000003</v>
      </c>
      <c r="I5" s="25">
        <v>35.799999999999997</v>
      </c>
      <c r="J5" s="25">
        <v>35.5</v>
      </c>
      <c r="K5" s="25">
        <v>34.1</v>
      </c>
      <c r="L5" s="25">
        <v>0</v>
      </c>
      <c r="M5" s="25">
        <v>120</v>
      </c>
      <c r="N5" s="30">
        <f>M5/166</f>
        <v>0.72289156626506024</v>
      </c>
    </row>
    <row r="6" spans="1:15" x14ac:dyDescent="0.25">
      <c r="A6" s="1" t="s">
        <v>10</v>
      </c>
      <c r="B6" s="23" t="s">
        <v>9</v>
      </c>
      <c r="C6" s="15">
        <v>530355</v>
      </c>
      <c r="D6" s="15">
        <v>3588470</v>
      </c>
      <c r="E6" s="1" t="s">
        <v>11</v>
      </c>
      <c r="F6" s="23" t="s">
        <v>9</v>
      </c>
      <c r="G6" s="13">
        <v>12.56</v>
      </c>
      <c r="H6" s="2">
        <v>32.4</v>
      </c>
      <c r="I6" s="2">
        <v>29.7</v>
      </c>
      <c r="J6" s="2">
        <v>29.4</v>
      </c>
      <c r="K6" s="2">
        <v>28.6</v>
      </c>
      <c r="L6" s="2">
        <v>0</v>
      </c>
      <c r="M6" s="2">
        <v>111</v>
      </c>
      <c r="N6" s="21">
        <f>M6/121</f>
        <v>0.9173553719008265</v>
      </c>
    </row>
    <row r="7" spans="1:15" x14ac:dyDescent="0.25">
      <c r="A7" s="1" t="s">
        <v>15</v>
      </c>
      <c r="B7" s="23" t="s">
        <v>13</v>
      </c>
      <c r="C7" s="15">
        <v>625554</v>
      </c>
      <c r="D7" s="15">
        <v>3645337</v>
      </c>
      <c r="E7" s="1" t="s">
        <v>16</v>
      </c>
      <c r="F7" s="2"/>
      <c r="G7" s="13">
        <v>12.33</v>
      </c>
      <c r="H7" s="2">
        <v>34.4</v>
      </c>
      <c r="I7" s="2">
        <v>31.5</v>
      </c>
      <c r="J7" s="2">
        <v>30.4</v>
      </c>
      <c r="K7" s="2">
        <v>30.2</v>
      </c>
      <c r="L7" s="2">
        <v>0</v>
      </c>
      <c r="M7" s="2">
        <v>100</v>
      </c>
      <c r="N7" s="21">
        <f>M7/121</f>
        <v>0.82644628099173556</v>
      </c>
    </row>
    <row r="8" spans="1:15" x14ac:dyDescent="0.25">
      <c r="A8" s="1" t="s">
        <v>132</v>
      </c>
      <c r="B8" s="23" t="s">
        <v>13</v>
      </c>
      <c r="C8" s="15">
        <v>587347</v>
      </c>
      <c r="D8" s="15">
        <v>3649274</v>
      </c>
      <c r="E8" s="1" t="s">
        <v>186</v>
      </c>
      <c r="F8" s="23" t="s">
        <v>13</v>
      </c>
      <c r="G8" s="13">
        <v>13.44</v>
      </c>
      <c r="H8" s="2">
        <v>44.6</v>
      </c>
      <c r="I8" s="2">
        <v>43</v>
      </c>
      <c r="J8" s="2">
        <v>40.299999999999997</v>
      </c>
      <c r="K8" s="2">
        <v>39.299999999999997</v>
      </c>
      <c r="L8" s="2">
        <v>0</v>
      </c>
      <c r="M8" s="2">
        <v>358</v>
      </c>
      <c r="N8" s="21">
        <f>M8/366</f>
        <v>0.97814207650273222</v>
      </c>
    </row>
    <row r="9" spans="1:15" x14ac:dyDescent="0.25">
      <c r="A9" s="1" t="s">
        <v>133</v>
      </c>
      <c r="B9" s="23" t="s">
        <v>13</v>
      </c>
      <c r="C9" s="15">
        <v>597515</v>
      </c>
      <c r="D9" s="15">
        <v>3628389</v>
      </c>
      <c r="E9" s="1" t="s">
        <v>187</v>
      </c>
      <c r="F9" s="23" t="s">
        <v>13</v>
      </c>
      <c r="G9" s="13">
        <v>13.37</v>
      </c>
      <c r="H9" s="2">
        <v>42.3</v>
      </c>
      <c r="I9" s="2">
        <v>41.4</v>
      </c>
      <c r="J9" s="2">
        <v>41.3</v>
      </c>
      <c r="K9" s="2">
        <v>34.5</v>
      </c>
      <c r="L9" s="2">
        <v>0</v>
      </c>
      <c r="M9" s="2">
        <v>363</v>
      </c>
      <c r="N9" s="21">
        <f>M9/366</f>
        <v>0.99180327868852458</v>
      </c>
    </row>
    <row r="10" spans="1:15" x14ac:dyDescent="0.25">
      <c r="A10" s="1" t="s">
        <v>240</v>
      </c>
      <c r="B10" s="23" t="s">
        <v>241</v>
      </c>
      <c r="C10" s="15">
        <v>573287</v>
      </c>
      <c r="D10" s="15">
        <v>3830568</v>
      </c>
      <c r="E10" s="1" t="s">
        <v>241</v>
      </c>
      <c r="F10" s="23"/>
      <c r="G10" s="13">
        <v>13.51</v>
      </c>
      <c r="H10" s="2">
        <v>30.8</v>
      </c>
      <c r="I10" s="2">
        <v>26.1</v>
      </c>
      <c r="J10" s="2">
        <v>25.1</v>
      </c>
      <c r="K10" s="2">
        <v>24.7</v>
      </c>
      <c r="L10" s="2">
        <v>0</v>
      </c>
      <c r="M10" s="2">
        <v>103</v>
      </c>
      <c r="N10" s="21">
        <f>M10/121</f>
        <v>0.85123966942148765</v>
      </c>
    </row>
    <row r="11" spans="1:15" x14ac:dyDescent="0.25">
      <c r="A11" s="1" t="s">
        <v>101</v>
      </c>
      <c r="B11" s="23" t="s">
        <v>102</v>
      </c>
      <c r="C11" s="15">
        <v>503269</v>
      </c>
      <c r="D11" s="15">
        <v>3651959</v>
      </c>
      <c r="E11" s="1" t="s">
        <v>103</v>
      </c>
      <c r="F11" s="2"/>
      <c r="G11" s="13">
        <v>11.15</v>
      </c>
      <c r="H11" s="2">
        <v>17</v>
      </c>
      <c r="I11" s="2">
        <v>14.8</v>
      </c>
      <c r="J11" s="2">
        <v>14.3</v>
      </c>
      <c r="K11" s="2">
        <v>14.1</v>
      </c>
      <c r="L11" s="2">
        <v>0</v>
      </c>
      <c r="M11" s="2">
        <v>15</v>
      </c>
      <c r="N11" s="21">
        <f>M11/18</f>
        <v>0.83333333333333337</v>
      </c>
    </row>
    <row r="12" spans="1:15" x14ac:dyDescent="0.25">
      <c r="A12" s="1" t="s">
        <v>106</v>
      </c>
      <c r="B12" s="23" t="s">
        <v>107</v>
      </c>
      <c r="C12" s="15">
        <v>420928</v>
      </c>
      <c r="D12" s="15">
        <v>3733431</v>
      </c>
      <c r="E12" s="1" t="s">
        <v>108</v>
      </c>
      <c r="F12" s="2"/>
      <c r="G12" s="13">
        <v>14.78</v>
      </c>
      <c r="H12" s="2">
        <v>31.5</v>
      </c>
      <c r="I12" s="2">
        <v>29.9</v>
      </c>
      <c r="J12" s="2">
        <v>28</v>
      </c>
      <c r="K12" s="2">
        <v>27.8</v>
      </c>
      <c r="L12" s="2">
        <v>0</v>
      </c>
      <c r="M12" s="2">
        <v>111</v>
      </c>
      <c r="N12" s="21">
        <f>M12/121</f>
        <v>0.9173553719008265</v>
      </c>
    </row>
    <row r="13" spans="1:15" x14ac:dyDescent="0.25">
      <c r="A13" s="1" t="s">
        <v>134</v>
      </c>
      <c r="B13" s="23" t="s">
        <v>21</v>
      </c>
      <c r="C13" s="15">
        <v>605971</v>
      </c>
      <c r="D13" s="15">
        <v>3781130</v>
      </c>
      <c r="E13" s="1" t="s">
        <v>188</v>
      </c>
      <c r="F13" s="23" t="s">
        <v>21</v>
      </c>
      <c r="G13" s="13">
        <v>14.34</v>
      </c>
      <c r="H13" s="2">
        <v>47.3</v>
      </c>
      <c r="I13" s="2">
        <v>33.700000000000003</v>
      </c>
      <c r="J13" s="2">
        <v>31.3</v>
      </c>
      <c r="K13" s="2">
        <v>29.6</v>
      </c>
      <c r="L13" s="2">
        <v>0</v>
      </c>
      <c r="M13" s="2">
        <v>114</v>
      </c>
      <c r="N13" s="21">
        <f>M13/121</f>
        <v>0.94214876033057848</v>
      </c>
    </row>
    <row r="14" spans="1:15" x14ac:dyDescent="0.25">
      <c r="A14" s="1" t="s">
        <v>30</v>
      </c>
      <c r="B14" s="23" t="s">
        <v>24</v>
      </c>
      <c r="C14" s="15">
        <v>659490</v>
      </c>
      <c r="D14" s="15">
        <v>3693858</v>
      </c>
      <c r="E14" s="1" t="s">
        <v>31</v>
      </c>
      <c r="F14" s="23" t="s">
        <v>24</v>
      </c>
      <c r="G14" s="13">
        <v>15.56</v>
      </c>
      <c r="H14" s="2">
        <v>36.700000000000003</v>
      </c>
      <c r="I14" s="2">
        <v>36.4</v>
      </c>
      <c r="J14" s="2">
        <v>33.4</v>
      </c>
      <c r="K14" s="2">
        <v>33.1</v>
      </c>
      <c r="L14" s="2">
        <v>0</v>
      </c>
      <c r="M14" s="2">
        <v>107</v>
      </c>
      <c r="N14" s="21">
        <f>M14/121</f>
        <v>0.88429752066115708</v>
      </c>
    </row>
    <row r="15" spans="1:15" x14ac:dyDescent="0.25">
      <c r="A15" s="1" t="s">
        <v>135</v>
      </c>
      <c r="B15" s="23" t="s">
        <v>33</v>
      </c>
      <c r="C15" s="15">
        <v>380028</v>
      </c>
      <c r="D15" s="15">
        <v>3862420</v>
      </c>
      <c r="E15" s="1" t="s">
        <v>208</v>
      </c>
      <c r="F15" s="23" t="s">
        <v>136</v>
      </c>
      <c r="G15" s="13">
        <v>16.47</v>
      </c>
      <c r="H15" s="2">
        <v>51.5</v>
      </c>
      <c r="I15" s="2">
        <v>41.3</v>
      </c>
      <c r="J15" s="2">
        <v>39.299999999999997</v>
      </c>
      <c r="K15" s="2">
        <v>39.200000000000003</v>
      </c>
      <c r="L15" s="2">
        <v>0</v>
      </c>
      <c r="M15" s="2">
        <v>317</v>
      </c>
      <c r="N15" s="21">
        <f>M15/366</f>
        <v>0.86612021857923494</v>
      </c>
    </row>
    <row r="16" spans="1:15" x14ac:dyDescent="0.25">
      <c r="A16" s="1" t="s">
        <v>137</v>
      </c>
      <c r="B16" s="23" t="s">
        <v>38</v>
      </c>
      <c r="C16" s="15">
        <v>391936</v>
      </c>
      <c r="D16" s="15">
        <v>3786176</v>
      </c>
      <c r="E16" s="1" t="s">
        <v>138</v>
      </c>
      <c r="F16" s="2"/>
      <c r="G16" s="13">
        <v>15.34</v>
      </c>
      <c r="H16" s="2">
        <v>32.200000000000003</v>
      </c>
      <c r="I16" s="2">
        <v>31.3</v>
      </c>
      <c r="J16" s="2">
        <v>29.9</v>
      </c>
      <c r="K16" s="2">
        <v>28.2</v>
      </c>
      <c r="L16" s="2">
        <v>0</v>
      </c>
      <c r="M16" s="2">
        <v>116</v>
      </c>
      <c r="N16" s="21">
        <f>M16/121</f>
        <v>0.95867768595041325</v>
      </c>
      <c r="O16" s="21"/>
    </row>
    <row r="17" spans="1:14" x14ac:dyDescent="0.25">
      <c r="A17" s="1" t="s">
        <v>44</v>
      </c>
      <c r="B17" s="23" t="s">
        <v>46</v>
      </c>
      <c r="C17" s="15">
        <v>697982</v>
      </c>
      <c r="D17" s="15">
        <v>3728508</v>
      </c>
      <c r="E17" s="1" t="s">
        <v>242</v>
      </c>
      <c r="F17" s="2" t="s">
        <v>45</v>
      </c>
      <c r="G17" s="13">
        <v>10.199999999999999</v>
      </c>
      <c r="H17" s="2">
        <v>12.1</v>
      </c>
      <c r="I17" s="2">
        <v>11.4</v>
      </c>
      <c r="J17" s="2">
        <v>9</v>
      </c>
      <c r="K17" s="2">
        <v>8.3000000000000007</v>
      </c>
      <c r="L17" s="2">
        <v>0</v>
      </c>
      <c r="M17" s="2">
        <v>4</v>
      </c>
      <c r="N17" s="21">
        <f>M17/4</f>
        <v>1</v>
      </c>
    </row>
    <row r="18" spans="1:14" x14ac:dyDescent="0.25">
      <c r="A18" s="1" t="s">
        <v>48</v>
      </c>
      <c r="B18" s="23" t="s">
        <v>49</v>
      </c>
      <c r="C18" s="15">
        <v>488916</v>
      </c>
      <c r="D18" s="15">
        <v>3738007</v>
      </c>
      <c r="E18" s="1" t="s">
        <v>205</v>
      </c>
      <c r="F18" s="2"/>
      <c r="G18" s="13">
        <v>14.41</v>
      </c>
      <c r="H18" s="2">
        <v>35.6</v>
      </c>
      <c r="I18" s="2">
        <v>29.5</v>
      </c>
      <c r="J18" s="2">
        <v>26.5</v>
      </c>
      <c r="K18" s="2">
        <v>26.2</v>
      </c>
      <c r="L18" s="2">
        <v>0</v>
      </c>
      <c r="M18" s="2">
        <v>118</v>
      </c>
      <c r="N18" s="21">
        <f>M18/121</f>
        <v>0.97520661157024791</v>
      </c>
    </row>
    <row r="19" spans="1:14" x14ac:dyDescent="0.25">
      <c r="A19" s="1" t="s">
        <v>79</v>
      </c>
      <c r="B19" s="23" t="s">
        <v>49</v>
      </c>
      <c r="C19" s="15">
        <v>485720</v>
      </c>
      <c r="D19" s="15">
        <v>3767608</v>
      </c>
      <c r="E19" s="1" t="s">
        <v>189</v>
      </c>
      <c r="F19" s="23" t="s">
        <v>80</v>
      </c>
      <c r="G19" s="13">
        <v>16.34</v>
      </c>
      <c r="H19" s="2">
        <v>53.7</v>
      </c>
      <c r="I19" s="2">
        <v>37.5</v>
      </c>
      <c r="J19" s="2">
        <v>29.2</v>
      </c>
      <c r="K19" s="2">
        <v>28.5</v>
      </c>
      <c r="L19" s="2">
        <v>0</v>
      </c>
      <c r="M19" s="2">
        <v>116</v>
      </c>
      <c r="N19" s="21">
        <f>M19/121</f>
        <v>0.95867768595041325</v>
      </c>
    </row>
    <row r="20" spans="1:14" x14ac:dyDescent="0.25">
      <c r="A20" s="1" t="s">
        <v>81</v>
      </c>
      <c r="B20" s="23" t="s">
        <v>82</v>
      </c>
      <c r="C20" s="15">
        <v>295318</v>
      </c>
      <c r="D20" s="15">
        <v>3853504</v>
      </c>
      <c r="E20" s="1" t="s">
        <v>167</v>
      </c>
      <c r="F20" s="2"/>
      <c r="G20" s="13">
        <v>12.72</v>
      </c>
      <c r="H20" s="2">
        <v>31.4</v>
      </c>
      <c r="I20" s="2">
        <v>31.4</v>
      </c>
      <c r="J20" s="2">
        <v>31.2</v>
      </c>
      <c r="K20" s="2">
        <v>27.6</v>
      </c>
      <c r="L20" s="2">
        <v>0</v>
      </c>
      <c r="M20" s="2">
        <v>100</v>
      </c>
      <c r="N20" s="21">
        <f>M20/121</f>
        <v>0.82644628099173556</v>
      </c>
    </row>
    <row r="21" spans="1:14" x14ac:dyDescent="0.25">
      <c r="A21" s="1" t="s">
        <v>56</v>
      </c>
      <c r="B21" s="23" t="s">
        <v>55</v>
      </c>
      <c r="C21" s="15">
        <v>503485</v>
      </c>
      <c r="D21" s="15">
        <v>3772372</v>
      </c>
      <c r="E21" s="1" t="s">
        <v>200</v>
      </c>
      <c r="F21" s="23" t="s">
        <v>54</v>
      </c>
      <c r="G21" s="13">
        <v>15.36</v>
      </c>
      <c r="H21" s="2">
        <v>32.5</v>
      </c>
      <c r="I21" s="2">
        <v>31.8</v>
      </c>
      <c r="J21" s="2">
        <v>29.8</v>
      </c>
      <c r="K21" s="2">
        <v>29.5</v>
      </c>
      <c r="L21" s="2">
        <v>0</v>
      </c>
      <c r="M21" s="2">
        <v>117</v>
      </c>
      <c r="N21" s="21">
        <f>M21/121</f>
        <v>0.96694214876033058</v>
      </c>
    </row>
    <row r="22" spans="1:14" x14ac:dyDescent="0.25">
      <c r="A22" s="1" t="s">
        <v>184</v>
      </c>
      <c r="B22" s="23" t="s">
        <v>55</v>
      </c>
      <c r="C22" s="15">
        <v>496305</v>
      </c>
      <c r="D22" s="15">
        <v>3759991</v>
      </c>
      <c r="E22" s="1" t="s">
        <v>128</v>
      </c>
      <c r="F22" s="23" t="s">
        <v>54</v>
      </c>
      <c r="G22" s="13">
        <v>19.559999999999999</v>
      </c>
      <c r="H22" s="2">
        <v>46.6</v>
      </c>
      <c r="I22" s="2">
        <v>42.7</v>
      </c>
      <c r="J22" s="2">
        <v>42.7</v>
      </c>
      <c r="K22" s="2">
        <v>42.4</v>
      </c>
      <c r="L22" s="2">
        <v>0</v>
      </c>
      <c r="M22" s="2">
        <v>273</v>
      </c>
      <c r="N22" s="21">
        <f>M22/366</f>
        <v>0.74590163934426235</v>
      </c>
    </row>
    <row r="23" spans="1:14" x14ac:dyDescent="0.25">
      <c r="A23" s="1" t="s">
        <v>129</v>
      </c>
      <c r="B23" s="23" t="s">
        <v>55</v>
      </c>
      <c r="C23" s="15">
        <v>497794</v>
      </c>
      <c r="D23" s="15">
        <v>3761007</v>
      </c>
      <c r="E23" s="1" t="s">
        <v>130</v>
      </c>
      <c r="F23" s="23" t="s">
        <v>54</v>
      </c>
      <c r="G23" s="13">
        <v>16.02</v>
      </c>
      <c r="H23" s="2">
        <v>35.6</v>
      </c>
      <c r="I23" s="2">
        <v>32.799999999999997</v>
      </c>
      <c r="J23" s="2">
        <v>31.5</v>
      </c>
      <c r="K23" s="2">
        <v>31.1</v>
      </c>
      <c r="L23" s="2">
        <v>0</v>
      </c>
      <c r="M23" s="2">
        <v>114</v>
      </c>
      <c r="N23" s="21">
        <f>M23/121</f>
        <v>0.94214876033057848</v>
      </c>
    </row>
    <row r="24" spans="1:14" x14ac:dyDescent="0.25">
      <c r="A24" s="1" t="s">
        <v>209</v>
      </c>
      <c r="B24" s="23" t="s">
        <v>60</v>
      </c>
      <c r="C24" s="15">
        <v>411757</v>
      </c>
      <c r="D24" s="15">
        <v>3859656</v>
      </c>
      <c r="E24" s="1" t="s">
        <v>139</v>
      </c>
      <c r="F24" s="2"/>
      <c r="G24" s="13">
        <v>15.94</v>
      </c>
      <c r="H24" s="2">
        <v>34.4</v>
      </c>
      <c r="I24" s="2">
        <v>32.700000000000003</v>
      </c>
      <c r="J24" s="2">
        <v>32.1</v>
      </c>
      <c r="K24" s="2">
        <v>30.9</v>
      </c>
      <c r="L24" s="2">
        <v>0</v>
      </c>
      <c r="M24" s="2">
        <v>150</v>
      </c>
      <c r="N24" s="21">
        <f>M24/165</f>
        <v>0.90909090909090906</v>
      </c>
    </row>
    <row r="25" spans="1:14" x14ac:dyDescent="0.25">
      <c r="A25" s="1" t="s">
        <v>140</v>
      </c>
      <c r="B25" s="23" t="s">
        <v>60</v>
      </c>
      <c r="C25" s="15">
        <v>408207</v>
      </c>
      <c r="D25" s="15">
        <v>3865174</v>
      </c>
      <c r="E25" s="1" t="s">
        <v>190</v>
      </c>
      <c r="F25" s="2"/>
      <c r="G25" s="13">
        <v>15.45</v>
      </c>
      <c r="H25" s="2">
        <v>38.6</v>
      </c>
      <c r="I25" s="2">
        <v>36.799999999999997</v>
      </c>
      <c r="J25" s="2">
        <v>36.799999999999997</v>
      </c>
      <c r="K25" s="2">
        <v>35.1</v>
      </c>
      <c r="L25" s="2">
        <v>0</v>
      </c>
      <c r="M25" s="2">
        <v>320</v>
      </c>
      <c r="N25" s="21">
        <f>M25/366</f>
        <v>0.87431693989071035</v>
      </c>
    </row>
    <row r="26" spans="1:14" x14ac:dyDescent="0.25">
      <c r="A26" s="1" t="s">
        <v>119</v>
      </c>
      <c r="B26" s="23" t="s">
        <v>64</v>
      </c>
      <c r="C26" s="15">
        <v>479147</v>
      </c>
      <c r="D26" s="15">
        <v>3865723</v>
      </c>
      <c r="E26" s="1" t="s">
        <v>171</v>
      </c>
      <c r="F26" s="2"/>
      <c r="G26" s="13">
        <v>14.55</v>
      </c>
      <c r="H26" s="2">
        <v>33.799999999999997</v>
      </c>
      <c r="I26" s="2">
        <v>32.299999999999997</v>
      </c>
      <c r="J26" s="2">
        <v>28.9</v>
      </c>
      <c r="K26" s="2">
        <v>27.7</v>
      </c>
      <c r="L26" s="2">
        <v>0</v>
      </c>
      <c r="M26" s="2">
        <v>102</v>
      </c>
      <c r="N26" s="21">
        <f>M26/121</f>
        <v>0.84297520661157022</v>
      </c>
    </row>
    <row r="27" spans="1:14" x14ac:dyDescent="0.25">
      <c r="A27" s="1"/>
      <c r="B27" s="23"/>
      <c r="C27" s="16"/>
      <c r="D27" s="16"/>
      <c r="E27" s="1"/>
      <c r="F27" s="2"/>
      <c r="G27" s="13"/>
      <c r="H27" s="13"/>
      <c r="I27" s="13"/>
      <c r="J27" s="13"/>
      <c r="K27" s="13"/>
      <c r="L27" s="2"/>
      <c r="M27" s="2"/>
      <c r="N27" s="21"/>
    </row>
    <row r="28" spans="1:14" x14ac:dyDescent="0.25">
      <c r="A28" s="24" t="s">
        <v>252</v>
      </c>
      <c r="B28" s="23"/>
      <c r="C28" s="16"/>
      <c r="D28" s="16"/>
      <c r="E28" s="1"/>
      <c r="F28" s="2"/>
      <c r="G28" s="13">
        <f>AVERAGE(G5:G26)</f>
        <v>14.896363636363635</v>
      </c>
      <c r="H28" s="13"/>
      <c r="I28" s="13"/>
      <c r="J28" s="13"/>
      <c r="K28" s="13"/>
      <c r="L28" s="15">
        <f>AVERAGE(L5:L26)</f>
        <v>0</v>
      </c>
      <c r="M28" s="15">
        <f>AVERAGE(M5:M26)</f>
        <v>152.22727272727272</v>
      </c>
      <c r="N28" s="22">
        <f>AVERAGE(N6:N26)</f>
        <v>0.90517265480007669</v>
      </c>
    </row>
    <row r="29" spans="1:14" x14ac:dyDescent="0.25">
      <c r="A29" s="24" t="s">
        <v>253</v>
      </c>
      <c r="B29" s="23"/>
      <c r="C29" s="16"/>
      <c r="D29" s="16"/>
      <c r="E29" s="1"/>
      <c r="F29" s="2"/>
      <c r="G29" s="13"/>
      <c r="H29" s="13">
        <v>53.7</v>
      </c>
      <c r="I29" s="13">
        <v>51.5</v>
      </c>
      <c r="J29" s="13">
        <v>47.3</v>
      </c>
      <c r="K29" s="13">
        <v>46.6</v>
      </c>
      <c r="L29" s="15"/>
      <c r="M29" s="15"/>
      <c r="N29" s="22"/>
    </row>
    <row r="30" spans="1:14" x14ac:dyDescent="0.25">
      <c r="A30" t="s">
        <v>178</v>
      </c>
      <c r="B30" s="1"/>
      <c r="C30" s="1"/>
      <c r="D30" s="1"/>
      <c r="E30" s="1"/>
      <c r="F30" s="1"/>
      <c r="G30" s="1"/>
    </row>
    <row r="31" spans="1:14" x14ac:dyDescent="0.25">
      <c r="A31" t="s">
        <v>191</v>
      </c>
    </row>
  </sheetData>
  <mergeCells count="2">
    <mergeCell ref="A1:N1"/>
    <mergeCell ref="A2:N2"/>
  </mergeCells>
  <phoneticPr fontId="0" type="noConversion"/>
  <printOptions horizontalCentered="1"/>
  <pageMargins left="0.25" right="0.25" top="0.5" bottom="0.5" header="0" footer="0"/>
  <pageSetup scale="8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workbookViewId="0">
      <selection activeCell="A5" sqref="A5"/>
    </sheetView>
  </sheetViews>
  <sheetFormatPr defaultRowHeight="13.2" x14ac:dyDescent="0.25"/>
  <cols>
    <col min="1" max="1" width="11.6640625" customWidth="1"/>
    <col min="2" max="2" width="13.44140625" bestFit="1" customWidth="1"/>
    <col min="3" max="3" width="7" customWidth="1"/>
    <col min="4" max="4" width="8.109375" customWidth="1"/>
    <col min="5" max="5" width="40.33203125" bestFit="1" customWidth="1"/>
    <col min="6" max="6" width="10.5546875" bestFit="1" customWidth="1"/>
    <col min="7" max="14" width="6.109375" bestFit="1" customWidth="1"/>
    <col min="15" max="15" width="6.109375" customWidth="1"/>
    <col min="16" max="16" width="6.109375" bestFit="1" customWidth="1"/>
    <col min="17" max="17" width="10.109375" bestFit="1" customWidth="1"/>
  </cols>
  <sheetData>
    <row r="1" spans="1:17" ht="15.6" x14ac:dyDescent="0.3">
      <c r="A1" s="46" t="s">
        <v>214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3" spans="1:17" x14ac:dyDescent="0.25">
      <c r="C3" s="6"/>
      <c r="D3" s="6"/>
      <c r="E3" s="6"/>
      <c r="F3" s="6"/>
      <c r="G3" s="45"/>
      <c r="H3" s="45"/>
      <c r="I3" s="45"/>
      <c r="J3" s="45"/>
      <c r="K3" s="45"/>
      <c r="L3" s="45"/>
      <c r="M3" s="45"/>
      <c r="N3" s="45"/>
      <c r="O3" s="45"/>
      <c r="P3" s="45"/>
      <c r="Q3" s="6" t="s">
        <v>228</v>
      </c>
    </row>
    <row r="4" spans="1:17" x14ac:dyDescent="0.25">
      <c r="A4" s="12" t="s">
        <v>0</v>
      </c>
      <c r="B4" s="12" t="s">
        <v>2</v>
      </c>
      <c r="C4" s="6" t="s">
        <v>68</v>
      </c>
      <c r="D4" s="6" t="s">
        <v>67</v>
      </c>
      <c r="E4" s="12" t="s">
        <v>66</v>
      </c>
      <c r="F4" s="12" t="s">
        <v>1</v>
      </c>
      <c r="G4" s="12" t="s">
        <v>219</v>
      </c>
      <c r="H4" s="12" t="s">
        <v>220</v>
      </c>
      <c r="I4" s="12" t="s">
        <v>221</v>
      </c>
      <c r="J4" s="12" t="s">
        <v>222</v>
      </c>
      <c r="K4" s="12" t="s">
        <v>223</v>
      </c>
      <c r="L4" s="12" t="s">
        <v>224</v>
      </c>
      <c r="M4" s="12" t="s">
        <v>225</v>
      </c>
      <c r="N4" s="12" t="s">
        <v>226</v>
      </c>
      <c r="O4" s="12" t="s">
        <v>227</v>
      </c>
      <c r="P4" s="6">
        <v>2000</v>
      </c>
      <c r="Q4" s="6" t="s">
        <v>229</v>
      </c>
    </row>
    <row r="5" spans="1:17" x14ac:dyDescent="0.25">
      <c r="A5" s="1" t="s">
        <v>85</v>
      </c>
      <c r="B5" s="23" t="s">
        <v>86</v>
      </c>
      <c r="C5" s="15">
        <v>372478</v>
      </c>
      <c r="D5" s="15">
        <v>3798898</v>
      </c>
      <c r="E5" s="1" t="s">
        <v>87</v>
      </c>
      <c r="F5" s="2"/>
      <c r="G5" s="7">
        <v>4.2699999999999996</v>
      </c>
      <c r="H5" s="7">
        <v>4.4400000000000004</v>
      </c>
      <c r="I5" s="7">
        <v>4.3438185549116834</v>
      </c>
      <c r="J5" s="7">
        <v>4.4880486520422638</v>
      </c>
      <c r="K5" s="7">
        <v>4.5738399419218148</v>
      </c>
      <c r="L5" s="7">
        <v>4.4756711996952196</v>
      </c>
      <c r="M5" s="7">
        <v>4.5597371093326391</v>
      </c>
      <c r="N5" s="7">
        <v>4.5234995775092637</v>
      </c>
      <c r="O5" s="7">
        <v>4.28</v>
      </c>
      <c r="P5" s="34">
        <v>4.5999999999999996</v>
      </c>
      <c r="Q5" s="7">
        <f t="shared" ref="Q5:Q13" si="0">AVERAGE(G5:P5)</f>
        <v>4.4554615035412883</v>
      </c>
    </row>
    <row r="6" spans="1:17" x14ac:dyDescent="0.25">
      <c r="A6" s="1" t="s">
        <v>77</v>
      </c>
      <c r="B6" s="23" t="s">
        <v>78</v>
      </c>
      <c r="C6" s="15">
        <v>456692</v>
      </c>
      <c r="D6" s="15">
        <v>3686698</v>
      </c>
      <c r="E6" s="1" t="s">
        <v>155</v>
      </c>
      <c r="F6" s="2"/>
      <c r="G6" s="7">
        <v>4.3499999999999996</v>
      </c>
      <c r="H6" s="7">
        <v>4.3899999999999997</v>
      </c>
      <c r="I6" s="7">
        <v>4.3785232436175887</v>
      </c>
      <c r="J6" s="7">
        <v>4.5976582705009372</v>
      </c>
      <c r="K6" s="7">
        <v>4.6330832855724768</v>
      </c>
      <c r="L6" s="7">
        <v>4.5181209545170038</v>
      </c>
      <c r="M6" s="7">
        <v>4.6103200304092313</v>
      </c>
      <c r="N6" s="7">
        <v>4.6109513051807074</v>
      </c>
      <c r="O6" s="7">
        <v>4.4090711531933229</v>
      </c>
      <c r="P6" s="34">
        <v>4.67</v>
      </c>
      <c r="Q6" s="7">
        <f t="shared" si="0"/>
        <v>4.5167728242991263</v>
      </c>
    </row>
    <row r="7" spans="1:17" x14ac:dyDescent="0.25">
      <c r="A7" s="1" t="s">
        <v>15</v>
      </c>
      <c r="B7" s="23" t="s">
        <v>13</v>
      </c>
      <c r="C7" s="15">
        <v>625554</v>
      </c>
      <c r="D7" s="15">
        <v>3645337</v>
      </c>
      <c r="E7" s="1" t="s">
        <v>16</v>
      </c>
      <c r="F7" s="2"/>
      <c r="G7" s="7">
        <v>4.37</v>
      </c>
      <c r="H7" s="7">
        <v>4.43</v>
      </c>
      <c r="I7" s="7">
        <v>4.0632497822023934</v>
      </c>
      <c r="J7" s="7">
        <v>4.6887073519907432</v>
      </c>
      <c r="K7" s="7">
        <v>4.4607062951200058</v>
      </c>
      <c r="L7" s="7">
        <v>4.5657774686224712</v>
      </c>
      <c r="M7" s="7">
        <v>4.5725530914052772</v>
      </c>
      <c r="N7" s="7">
        <v>4.6073710059190942</v>
      </c>
      <c r="O7" s="7">
        <v>4.4140479965273167</v>
      </c>
      <c r="P7" s="34">
        <v>4.57</v>
      </c>
      <c r="Q7" s="7">
        <f t="shared" si="0"/>
        <v>4.4742412991787299</v>
      </c>
    </row>
    <row r="8" spans="1:17" x14ac:dyDescent="0.25">
      <c r="A8" s="1" t="s">
        <v>96</v>
      </c>
      <c r="B8" s="23" t="s">
        <v>97</v>
      </c>
      <c r="C8" s="15">
        <v>425619</v>
      </c>
      <c r="D8" s="15">
        <v>3887598</v>
      </c>
      <c r="E8" s="1" t="s">
        <v>165</v>
      </c>
      <c r="F8" s="2"/>
      <c r="G8" s="7">
        <v>4.2699999999999996</v>
      </c>
      <c r="H8" s="7">
        <v>4.3</v>
      </c>
      <c r="I8" s="7">
        <v>4.2576111057007058</v>
      </c>
      <c r="J8" s="7">
        <v>4.3480143476002304</v>
      </c>
      <c r="K8" s="7">
        <v>4.4537239199750998</v>
      </c>
      <c r="L8" s="7">
        <v>4.3715841365854438</v>
      </c>
      <c r="M8" s="7">
        <v>4.4079412585450513</v>
      </c>
      <c r="N8" s="7">
        <v>4.3757725226855957</v>
      </c>
      <c r="O8" s="7">
        <v>4.1500000000000004</v>
      </c>
      <c r="P8" s="34">
        <v>4.57</v>
      </c>
      <c r="Q8" s="7">
        <f t="shared" si="0"/>
        <v>4.3504647291092127</v>
      </c>
    </row>
    <row r="9" spans="1:17" x14ac:dyDescent="0.25">
      <c r="A9" s="1" t="s">
        <v>81</v>
      </c>
      <c r="B9" s="23" t="s">
        <v>82</v>
      </c>
      <c r="C9" s="15">
        <v>295318</v>
      </c>
      <c r="D9" s="15">
        <v>3853504</v>
      </c>
      <c r="E9" s="1" t="s">
        <v>167</v>
      </c>
      <c r="F9" s="2"/>
      <c r="G9" s="7">
        <v>4.2699999999999996</v>
      </c>
      <c r="H9" s="7">
        <v>4.42</v>
      </c>
      <c r="I9" s="7">
        <v>4.2794072287932448</v>
      </c>
      <c r="J9" s="7">
        <v>4.5075215102593624</v>
      </c>
      <c r="K9" s="7">
        <v>4.5953853544299479</v>
      </c>
      <c r="L9" s="7">
        <v>4.4273692746559306</v>
      </c>
      <c r="M9" s="7">
        <v>4.5323726002515299</v>
      </c>
      <c r="N9" s="7">
        <v>4.5908503226976194</v>
      </c>
      <c r="O9" s="7">
        <v>4.29</v>
      </c>
      <c r="P9" s="34">
        <v>4.57</v>
      </c>
      <c r="Q9" s="7">
        <f t="shared" si="0"/>
        <v>4.4482906291087634</v>
      </c>
    </row>
    <row r="10" spans="1:17" x14ac:dyDescent="0.25">
      <c r="A10" s="1" t="s">
        <v>56</v>
      </c>
      <c r="B10" s="23" t="s">
        <v>55</v>
      </c>
      <c r="C10" s="15">
        <v>503485</v>
      </c>
      <c r="D10" s="15">
        <v>3772372</v>
      </c>
      <c r="E10" s="1" t="s">
        <v>164</v>
      </c>
      <c r="F10" s="23" t="s">
        <v>54</v>
      </c>
      <c r="G10" s="7">
        <v>4.3</v>
      </c>
      <c r="H10" s="7">
        <v>4.28</v>
      </c>
      <c r="I10" s="7">
        <v>4.2812385817401912</v>
      </c>
      <c r="J10" s="7">
        <v>4.544889132825614</v>
      </c>
      <c r="K10" s="7">
        <v>4.4867624507322272</v>
      </c>
      <c r="L10" s="7">
        <v>4.5305291762686419</v>
      </c>
      <c r="M10" s="38"/>
      <c r="N10" s="7">
        <v>4.63</v>
      </c>
      <c r="O10" s="7">
        <v>4.37</v>
      </c>
      <c r="P10" s="34">
        <v>4.6500000000000004</v>
      </c>
      <c r="Q10" s="7">
        <f t="shared" si="0"/>
        <v>4.4526021490629644</v>
      </c>
    </row>
    <row r="11" spans="1:17" x14ac:dyDescent="0.25">
      <c r="A11" s="1" t="s">
        <v>238</v>
      </c>
      <c r="B11" s="23" t="s">
        <v>55</v>
      </c>
      <c r="C11" s="15">
        <v>516067</v>
      </c>
      <c r="D11" s="15">
        <v>3741587</v>
      </c>
      <c r="E11" s="1" t="s">
        <v>70</v>
      </c>
      <c r="F11" s="23"/>
      <c r="G11" s="7">
        <v>4.33</v>
      </c>
      <c r="H11" s="7">
        <v>4.4400000000000004</v>
      </c>
      <c r="I11" s="7">
        <v>4.2649162030040442</v>
      </c>
      <c r="J11" s="7">
        <v>4.5923819423280934</v>
      </c>
      <c r="K11" s="7">
        <v>4.578317652250953</v>
      </c>
      <c r="L11" s="7">
        <v>4.5155837944028656</v>
      </c>
      <c r="M11" s="7">
        <v>4.4680018443761789</v>
      </c>
      <c r="N11" s="7">
        <v>4.635276399577533</v>
      </c>
      <c r="O11" s="7">
        <v>4.25</v>
      </c>
      <c r="P11" s="34">
        <v>4.4800000000000004</v>
      </c>
      <c r="Q11" s="7">
        <f t="shared" si="0"/>
        <v>4.4554477835939661</v>
      </c>
    </row>
    <row r="12" spans="1:17" x14ac:dyDescent="0.25">
      <c r="A12" s="1" t="s">
        <v>237</v>
      </c>
      <c r="B12" s="23" t="s">
        <v>55</v>
      </c>
      <c r="C12" s="15">
        <v>520258</v>
      </c>
      <c r="D12" s="15">
        <v>3741410</v>
      </c>
      <c r="E12" s="1" t="s">
        <v>236</v>
      </c>
      <c r="F12" s="2"/>
      <c r="G12" s="37"/>
      <c r="H12" s="37"/>
      <c r="I12" s="37"/>
      <c r="J12" s="37"/>
      <c r="K12" s="37"/>
      <c r="L12" s="37"/>
      <c r="M12" s="37"/>
      <c r="N12" s="37"/>
      <c r="O12" s="37"/>
      <c r="P12" s="34">
        <v>4.55</v>
      </c>
      <c r="Q12" s="7">
        <f t="shared" si="0"/>
        <v>4.55</v>
      </c>
    </row>
    <row r="13" spans="1:17" x14ac:dyDescent="0.25">
      <c r="A13" s="1" t="s">
        <v>114</v>
      </c>
      <c r="B13" s="23" t="s">
        <v>115</v>
      </c>
      <c r="C13" s="15">
        <v>448587</v>
      </c>
      <c r="D13" s="15">
        <v>3821887</v>
      </c>
      <c r="E13" s="1" t="s">
        <v>116</v>
      </c>
      <c r="F13" s="2"/>
      <c r="G13" s="7">
        <v>4.3600000000000003</v>
      </c>
      <c r="H13" s="7">
        <v>4.3899999999999997</v>
      </c>
      <c r="I13" s="7">
        <v>4.3343476298824948</v>
      </c>
      <c r="J13" s="7">
        <v>4.536788119670029</v>
      </c>
      <c r="K13" s="7">
        <v>4.5180549014713058</v>
      </c>
      <c r="L13" s="7">
        <v>4.5056269655078216</v>
      </c>
      <c r="M13" s="7">
        <v>4.5007292942534702</v>
      </c>
      <c r="N13" s="7">
        <v>4.5669603684563889</v>
      </c>
      <c r="O13" s="7">
        <v>4.1500000000000004</v>
      </c>
      <c r="P13" s="34">
        <v>4.5999999999999996</v>
      </c>
      <c r="Q13" s="7">
        <f t="shared" si="0"/>
        <v>4.4462507279241503</v>
      </c>
    </row>
    <row r="14" spans="1:17" x14ac:dyDescent="0.25">
      <c r="A14" s="1"/>
      <c r="B14" s="23"/>
      <c r="C14" s="16"/>
      <c r="D14" s="16"/>
      <c r="E14" s="1"/>
      <c r="F14" s="2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5">
      <c r="A15" t="s">
        <v>252</v>
      </c>
      <c r="G15" s="7">
        <f t="shared" ref="G15:N15" si="1">AVERAGE(G5:G13)</f>
        <v>4.3149999999999995</v>
      </c>
      <c r="H15" s="7">
        <f t="shared" si="1"/>
        <v>4.3862499999999995</v>
      </c>
      <c r="I15" s="7">
        <f t="shared" si="1"/>
        <v>4.2753890412315441</v>
      </c>
      <c r="J15" s="7">
        <f t="shared" si="1"/>
        <v>4.5380011659021591</v>
      </c>
      <c r="K15" s="7">
        <f t="shared" si="1"/>
        <v>4.5374842251842296</v>
      </c>
      <c r="L15" s="7">
        <f t="shared" si="1"/>
        <v>4.4887828712819244</v>
      </c>
      <c r="M15" s="7">
        <f t="shared" si="1"/>
        <v>4.5216650326533401</v>
      </c>
      <c r="N15" s="7">
        <f t="shared" si="1"/>
        <v>4.5675851877532754</v>
      </c>
      <c r="O15" s="7">
        <f>AVERAGE(O5:O13)</f>
        <v>4.2891398937150802</v>
      </c>
      <c r="P15" s="7">
        <f>AVERAGE(P5:P13)</f>
        <v>4.5844444444444443</v>
      </c>
    </row>
    <row r="16" spans="1:17" x14ac:dyDescent="0.25">
      <c r="A16" t="s">
        <v>239</v>
      </c>
    </row>
  </sheetData>
  <mergeCells count="2">
    <mergeCell ref="G3:P3"/>
    <mergeCell ref="A1:Q1"/>
  </mergeCells>
  <phoneticPr fontId="0" type="noConversion"/>
  <printOptions horizontalCentered="1"/>
  <pageMargins left="0.25" right="0.25" top="0.5" bottom="0.5" header="0" footer="0"/>
  <pageSetup scale="8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TSP</vt:lpstr>
      <vt:lpstr>Pb</vt:lpstr>
      <vt:lpstr>CO</vt:lpstr>
      <vt:lpstr>SO2</vt:lpstr>
      <vt:lpstr>NO2</vt:lpstr>
      <vt:lpstr>O3</vt:lpstr>
      <vt:lpstr>PM10</vt:lpstr>
      <vt:lpstr>PM2.5</vt:lpstr>
      <vt:lpstr>Rain</vt:lpstr>
      <vt:lpstr>PM2.5!Print_Area</vt:lpstr>
    </vt:vector>
  </TitlesOfParts>
  <Company>SC DHEC - DAQA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SUMMARY REPORT</dc:title>
  <dc:subject>SUMMARY FOR EACH DATA PARAMETER</dc:subject>
  <dc:creator>John L. Schrenk</dc:creator>
  <cp:lastModifiedBy>Aniket Gupta</cp:lastModifiedBy>
  <cp:lastPrinted>2002-09-26T17:15:07Z</cp:lastPrinted>
  <dcterms:created xsi:type="dcterms:W3CDTF">2000-07-25T17:58:27Z</dcterms:created>
  <dcterms:modified xsi:type="dcterms:W3CDTF">2024-02-03T22:31:41Z</dcterms:modified>
</cp:coreProperties>
</file>