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2C8EA9FB-DE4A-48B3-9742-0C24753CD01E}" xr6:coauthVersionLast="47" xr6:coauthVersionMax="47" xr10:uidLastSave="{00000000-0000-0000-0000-000000000000}"/>
  <bookViews>
    <workbookView xWindow="768" yWindow="768" windowWidth="17280" windowHeight="8880" activeTab="1"/>
  </bookViews>
  <sheets>
    <sheet name="Revisions" sheetId="10" r:id="rId1"/>
    <sheet name="Instructions" sheetId="7" r:id="rId2"/>
    <sheet name="General" sheetId="1" r:id="rId3"/>
    <sheet name="WQS" sheetId="2" state="hidden" r:id="rId4"/>
    <sheet name="Pass-through" sheetId="3" r:id="rId5"/>
    <sheet name="Inhibition" sheetId="4" r:id="rId6"/>
    <sheet name="Sludge Quality" sheetId="5" r:id="rId7"/>
    <sheet name="Limits" sheetId="6" r:id="rId8"/>
    <sheet name="WQ Criteria"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I11" i="1"/>
  <c r="F26" i="3"/>
  <c r="F25" i="3"/>
  <c r="K16" i="1"/>
  <c r="F16" i="3"/>
  <c r="K14" i="1"/>
  <c r="F14" i="3"/>
  <c r="B14" i="6" s="1"/>
  <c r="E15" i="4"/>
  <c r="L15" i="4" s="1"/>
  <c r="B16" i="6" s="1"/>
  <c r="H15" i="4"/>
  <c r="K15" i="4"/>
  <c r="D16" i="5"/>
  <c r="G16" i="5" s="1"/>
  <c r="H16" i="5" s="1"/>
  <c r="F16" i="5"/>
  <c r="E13" i="4"/>
  <c r="H13" i="4"/>
  <c r="K13" i="4"/>
  <c r="L13" i="4"/>
  <c r="D14" i="5"/>
  <c r="F14" i="5"/>
  <c r="G14" i="5"/>
  <c r="H14" i="5" s="1"/>
  <c r="H23" i="3"/>
  <c r="I12" i="2" s="1"/>
  <c r="N9" i="2"/>
  <c r="H28" i="2"/>
  <c r="I11" i="2"/>
  <c r="I28" i="2"/>
  <c r="H22" i="3"/>
  <c r="I9" i="2" s="1"/>
  <c r="I8" i="2"/>
  <c r="K13" i="1"/>
  <c r="F13" i="3" s="1"/>
  <c r="I13" i="1"/>
  <c r="E12" i="4"/>
  <c r="L12" i="4" s="1"/>
  <c r="H12" i="4"/>
  <c r="K12" i="4"/>
  <c r="F13" i="5"/>
  <c r="D13" i="5"/>
  <c r="G13" i="5" s="1"/>
  <c r="H13" i="5" s="1"/>
  <c r="K7" i="1"/>
  <c r="F7" i="3" s="1"/>
  <c r="H18" i="2"/>
  <c r="I18" i="2"/>
  <c r="K8" i="1"/>
  <c r="F8" i="3" s="1"/>
  <c r="B8" i="6" s="1"/>
  <c r="I7" i="2"/>
  <c r="E19" i="2" s="1"/>
  <c r="I19" i="2" s="1"/>
  <c r="H19" i="2"/>
  <c r="K19" i="2" s="1"/>
  <c r="I6" i="2"/>
  <c r="F20" i="2" s="1"/>
  <c r="F19" i="2"/>
  <c r="K9" i="1"/>
  <c r="F9" i="3" s="1"/>
  <c r="H22" i="2"/>
  <c r="F22" i="2"/>
  <c r="L22" i="2" s="1"/>
  <c r="K10" i="1"/>
  <c r="E23" i="2"/>
  <c r="I23" i="2" s="1"/>
  <c r="H23" i="2"/>
  <c r="F23" i="2"/>
  <c r="L23" i="2" s="1"/>
  <c r="F10" i="3"/>
  <c r="K11" i="1"/>
  <c r="H24" i="2"/>
  <c r="K24" i="2" s="1"/>
  <c r="AB24" i="2" s="1"/>
  <c r="AC24" i="2" s="1"/>
  <c r="R24" i="2" s="1"/>
  <c r="I24" i="2"/>
  <c r="AA24" i="2"/>
  <c r="Q24" i="2" s="1"/>
  <c r="F11" i="3"/>
  <c r="K12" i="1"/>
  <c r="H27" i="2"/>
  <c r="F27" i="2"/>
  <c r="K27" i="2" s="1"/>
  <c r="F12" i="3"/>
  <c r="K15" i="1"/>
  <c r="H29" i="2"/>
  <c r="F29" i="2"/>
  <c r="K29" i="2" s="1"/>
  <c r="F15" i="3"/>
  <c r="K17" i="1"/>
  <c r="H30" i="2"/>
  <c r="F17" i="3"/>
  <c r="K18" i="1"/>
  <c r="H31" i="2"/>
  <c r="F31" i="2"/>
  <c r="K31" i="2"/>
  <c r="F18" i="3"/>
  <c r="A7" i="6"/>
  <c r="I7" i="1"/>
  <c r="E6" i="4"/>
  <c r="H6" i="4"/>
  <c r="K6" i="4"/>
  <c r="L6" i="4"/>
  <c r="D7" i="5"/>
  <c r="F7" i="5"/>
  <c r="G7" i="5" s="1"/>
  <c r="H7" i="5" s="1"/>
  <c r="D7" i="6"/>
  <c r="A8" i="6"/>
  <c r="I8" i="1"/>
  <c r="E7" i="4"/>
  <c r="L7" i="4" s="1"/>
  <c r="H7" i="4"/>
  <c r="J8" i="1"/>
  <c r="K7" i="4"/>
  <c r="D8" i="5"/>
  <c r="G8" i="5" s="1"/>
  <c r="H8" i="5" s="1"/>
  <c r="F8" i="5"/>
  <c r="D8" i="6"/>
  <c r="A9" i="6"/>
  <c r="I9" i="1"/>
  <c r="E8" i="4"/>
  <c r="H8" i="4"/>
  <c r="J9" i="1"/>
  <c r="K8" i="4"/>
  <c r="L8" i="4"/>
  <c r="D9" i="5"/>
  <c r="G9" i="5" s="1"/>
  <c r="H9" i="5" s="1"/>
  <c r="F9" i="5"/>
  <c r="D9" i="6"/>
  <c r="A10" i="6"/>
  <c r="I10" i="1"/>
  <c r="E9" i="4"/>
  <c r="L9" i="4" s="1"/>
  <c r="H9" i="4"/>
  <c r="J10" i="1"/>
  <c r="K9" i="4"/>
  <c r="D10" i="5"/>
  <c r="G10" i="5" s="1"/>
  <c r="H10" i="5" s="1"/>
  <c r="F10" i="5"/>
  <c r="D10" i="6"/>
  <c r="A11" i="6"/>
  <c r="E10" i="4"/>
  <c r="H10" i="4"/>
  <c r="K10" i="4"/>
  <c r="L10" i="4"/>
  <c r="D11" i="5"/>
  <c r="G11" i="5" s="1"/>
  <c r="H11" i="5" s="1"/>
  <c r="F11" i="5"/>
  <c r="D11" i="6"/>
  <c r="A12" i="6"/>
  <c r="I12" i="1"/>
  <c r="E11" i="4"/>
  <c r="L11" i="4" s="1"/>
  <c r="H11" i="4"/>
  <c r="J12" i="1"/>
  <c r="K11" i="4"/>
  <c r="D12" i="5"/>
  <c r="G12" i="5" s="1"/>
  <c r="H12" i="5" s="1"/>
  <c r="F12" i="5"/>
  <c r="D12" i="6"/>
  <c r="A13" i="6"/>
  <c r="D13" i="6"/>
  <c r="A14" i="6"/>
  <c r="D14" i="6"/>
  <c r="A15" i="6"/>
  <c r="I15" i="1"/>
  <c r="E14" i="4"/>
  <c r="H14" i="4"/>
  <c r="J15" i="1"/>
  <c r="K14" i="4"/>
  <c r="L14" i="4"/>
  <c r="B15" i="6" s="1"/>
  <c r="C15" i="6" s="1"/>
  <c r="D15" i="5"/>
  <c r="F15" i="5"/>
  <c r="G15" i="5" s="1"/>
  <c r="H15" i="5" s="1"/>
  <c r="D15" i="6"/>
  <c r="A16" i="6"/>
  <c r="D16" i="6"/>
  <c r="A17" i="6"/>
  <c r="I17" i="1"/>
  <c r="E16" i="4"/>
  <c r="H16" i="4"/>
  <c r="J17" i="1"/>
  <c r="K16" i="4"/>
  <c r="L16" i="4"/>
  <c r="D17" i="5"/>
  <c r="G17" i="5" s="1"/>
  <c r="H17" i="5" s="1"/>
  <c r="F17" i="5"/>
  <c r="D17" i="6"/>
  <c r="A18" i="6"/>
  <c r="I18" i="1"/>
  <c r="E17" i="4"/>
  <c r="H17" i="4"/>
  <c r="J18" i="1"/>
  <c r="K17" i="4"/>
  <c r="L17" i="4"/>
  <c r="D18" i="5"/>
  <c r="F18" i="5"/>
  <c r="G18" i="5" s="1"/>
  <c r="H18" i="5" s="1"/>
  <c r="D18" i="6"/>
  <c r="G19" i="6"/>
  <c r="G20" i="6"/>
  <c r="G21" i="6"/>
  <c r="G22" i="6"/>
  <c r="G23" i="6"/>
  <c r="A19" i="4"/>
  <c r="A20" i="4"/>
  <c r="A21" i="4"/>
  <c r="A22" i="4"/>
  <c r="E25" i="4"/>
  <c r="A19" i="3"/>
  <c r="E19" i="3"/>
  <c r="H24" i="3"/>
  <c r="J15" i="2"/>
  <c r="I17" i="2"/>
  <c r="K17" i="2"/>
  <c r="L17" i="2"/>
  <c r="Z17" i="2"/>
  <c r="AA17" i="2" s="1"/>
  <c r="Q17" i="2" s="1"/>
  <c r="AD17" i="2"/>
  <c r="AE17" i="2"/>
  <c r="L18" i="2"/>
  <c r="Z18" i="2"/>
  <c r="AA18" i="2" s="1"/>
  <c r="Q18" i="2" s="1"/>
  <c r="AD18" i="2"/>
  <c r="AE18" i="2"/>
  <c r="L19" i="2"/>
  <c r="Z19" i="2"/>
  <c r="AD19" i="2"/>
  <c r="AE19" i="2"/>
  <c r="Z20" i="2"/>
  <c r="AD20" i="2"/>
  <c r="AE20" i="2" s="1"/>
  <c r="I21" i="2"/>
  <c r="L21" i="2"/>
  <c r="AA21" i="2"/>
  <c r="Q21" i="2" s="1"/>
  <c r="Z21" i="2"/>
  <c r="AD21" i="2"/>
  <c r="AE21" i="2" s="1"/>
  <c r="Z22" i="2"/>
  <c r="AD22" i="2"/>
  <c r="AE22" i="2" s="1"/>
  <c r="Z23" i="2"/>
  <c r="AD23" i="2"/>
  <c r="AE23" i="2" s="1"/>
  <c r="L24" i="2"/>
  <c r="Z24" i="2"/>
  <c r="AD24" i="2"/>
  <c r="AE24" i="2" s="1"/>
  <c r="I25" i="2"/>
  <c r="K25" i="2"/>
  <c r="AB25" i="2" s="1"/>
  <c r="AC25" i="2" s="1"/>
  <c r="R25" i="2" s="1"/>
  <c r="L25" i="2"/>
  <c r="AA25" i="2"/>
  <c r="Q25" i="2"/>
  <c r="Z25" i="2"/>
  <c r="AD25" i="2"/>
  <c r="AE25" i="2"/>
  <c r="I26" i="2"/>
  <c r="K26" i="2"/>
  <c r="L26" i="2"/>
  <c r="Z26" i="2"/>
  <c r="AA26" i="2" s="1"/>
  <c r="Q26" i="2" s="1"/>
  <c r="AD26" i="2"/>
  <c r="AE26" i="2"/>
  <c r="L27" i="2"/>
  <c r="Z27" i="2"/>
  <c r="AD27" i="2"/>
  <c r="AE27" i="2"/>
  <c r="L28" i="2"/>
  <c r="Z28" i="2"/>
  <c r="AD28" i="2"/>
  <c r="AE28" i="2"/>
  <c r="L29" i="2"/>
  <c r="Z29" i="2"/>
  <c r="AD29" i="2"/>
  <c r="AE29" i="2"/>
  <c r="Z30" i="2"/>
  <c r="AD30" i="2"/>
  <c r="AE30" i="2"/>
  <c r="L31" i="2"/>
  <c r="Z31" i="2"/>
  <c r="AD31" i="2"/>
  <c r="AE31" i="2"/>
  <c r="J11" i="1"/>
  <c r="J13" i="1"/>
  <c r="I14" i="1"/>
  <c r="J14" i="1"/>
  <c r="I16" i="1"/>
  <c r="J16" i="1"/>
  <c r="X24" i="2" l="1"/>
  <c r="E15" i="6"/>
  <c r="B18" i="6"/>
  <c r="AB19" i="2"/>
  <c r="AC19" i="2" s="1"/>
  <c r="R19" i="2" s="1"/>
  <c r="C14" i="6"/>
  <c r="E14" i="6"/>
  <c r="AB31" i="2"/>
  <c r="AC31" i="2" s="1"/>
  <c r="R31" i="2" s="1"/>
  <c r="S26" i="2"/>
  <c r="AF26" i="2" s="1"/>
  <c r="AG26" i="2" s="1"/>
  <c r="B17" i="6"/>
  <c r="K21" i="2"/>
  <c r="K18" i="2"/>
  <c r="K30" i="2"/>
  <c r="AB30" i="2" s="1"/>
  <c r="AC30" i="2" s="1"/>
  <c r="R30" i="2" s="1"/>
  <c r="V25" i="2"/>
  <c r="S24" i="2"/>
  <c r="AF24" i="2" s="1"/>
  <c r="AG24" i="2" s="1"/>
  <c r="U23" i="2"/>
  <c r="E10" i="3" s="1"/>
  <c r="AA23" i="2"/>
  <c r="Q23" i="2" s="1"/>
  <c r="U24" i="2"/>
  <c r="E11" i="3" s="1"/>
  <c r="V19" i="2"/>
  <c r="W19" i="2"/>
  <c r="X19" i="2"/>
  <c r="U19" i="2"/>
  <c r="E8" i="3" s="1"/>
  <c r="AA19" i="2"/>
  <c r="Q19" i="2" s="1"/>
  <c r="S19" i="2" s="1"/>
  <c r="AF19" i="2" s="1"/>
  <c r="AG19" i="2" s="1"/>
  <c r="K28" i="2"/>
  <c r="S25" i="2"/>
  <c r="AF25" i="2" s="1"/>
  <c r="AG25" i="2" s="1"/>
  <c r="B11" i="6"/>
  <c r="W26" i="2"/>
  <c r="W17" i="2"/>
  <c r="B12" i="6"/>
  <c r="K22" i="2"/>
  <c r="AB22" i="2" s="1"/>
  <c r="AC22" i="2" s="1"/>
  <c r="R22" i="2" s="1"/>
  <c r="B13" i="6"/>
  <c r="C8" i="6"/>
  <c r="E8" i="6" s="1"/>
  <c r="V26" i="2"/>
  <c r="AB26" i="2"/>
  <c r="AC26" i="2" s="1"/>
  <c r="R26" i="2" s="1"/>
  <c r="X26" i="2"/>
  <c r="W24" i="2"/>
  <c r="U17" i="2"/>
  <c r="V17" i="2"/>
  <c r="AB17" i="2"/>
  <c r="AC17" i="2" s="1"/>
  <c r="R17" i="2" s="1"/>
  <c r="X17" i="2"/>
  <c r="AB27" i="2"/>
  <c r="AC27" i="2" s="1"/>
  <c r="R27" i="2" s="1"/>
  <c r="AB29" i="2"/>
  <c r="AC29" i="2" s="1"/>
  <c r="R29" i="2" s="1"/>
  <c r="B9" i="6"/>
  <c r="B7" i="6"/>
  <c r="B10" i="6"/>
  <c r="U26" i="2"/>
  <c r="W25" i="2"/>
  <c r="V21" i="2"/>
  <c r="S17" i="2"/>
  <c r="AF17" i="2" s="1"/>
  <c r="AG17" i="2" s="1"/>
  <c r="K23" i="2"/>
  <c r="K20" i="2"/>
  <c r="AB20" i="2" s="1"/>
  <c r="AC20" i="2" s="1"/>
  <c r="R20" i="2" s="1"/>
  <c r="L20" i="2"/>
  <c r="U28" i="2"/>
  <c r="E13" i="3" s="1"/>
  <c r="C16" i="6"/>
  <c r="E16" i="6" s="1"/>
  <c r="U25" i="2"/>
  <c r="V24" i="2"/>
  <c r="AA28" i="2"/>
  <c r="Q28" i="2" s="1"/>
  <c r="W28" i="2"/>
  <c r="E30" i="2"/>
  <c r="E29" i="2"/>
  <c r="I29" i="2" s="1"/>
  <c r="E27" i="2"/>
  <c r="I27" i="2" s="1"/>
  <c r="E20" i="2"/>
  <c r="X25" i="2"/>
  <c r="E31" i="2"/>
  <c r="I31" i="2" s="1"/>
  <c r="G8" i="6" l="1"/>
  <c r="F8" i="6"/>
  <c r="G16" i="6"/>
  <c r="F16" i="6"/>
  <c r="I30" i="2"/>
  <c r="L30" i="2"/>
  <c r="C9" i="6"/>
  <c r="E9" i="6"/>
  <c r="C12" i="6"/>
  <c r="E12" i="6" s="1"/>
  <c r="V31" i="2"/>
  <c r="W31" i="2"/>
  <c r="X31" i="2"/>
  <c r="U31" i="2"/>
  <c r="E18" i="3" s="1"/>
  <c r="AA31" i="2"/>
  <c r="Q31" i="2" s="1"/>
  <c r="S31" i="2" s="1"/>
  <c r="AF31" i="2" s="1"/>
  <c r="AG31" i="2" s="1"/>
  <c r="C11" i="6"/>
  <c r="E11" i="6" s="1"/>
  <c r="I20" i="2"/>
  <c r="E22" i="2"/>
  <c r="I22" i="2" s="1"/>
  <c r="V18" i="2"/>
  <c r="W18" i="2"/>
  <c r="U18" i="2"/>
  <c r="E7" i="3" s="1"/>
  <c r="X18" i="2"/>
  <c r="AB18" i="2"/>
  <c r="AC18" i="2" s="1"/>
  <c r="R18" i="2" s="1"/>
  <c r="S18" i="2" s="1"/>
  <c r="AF18" i="2" s="1"/>
  <c r="AG18" i="2" s="1"/>
  <c r="C18" i="6"/>
  <c r="E18" i="6"/>
  <c r="C7" i="6"/>
  <c r="E7" i="6"/>
  <c r="AB23" i="2"/>
  <c r="AC23" i="2" s="1"/>
  <c r="R23" i="2" s="1"/>
  <c r="S23" i="2" s="1"/>
  <c r="AF23" i="2" s="1"/>
  <c r="AG23" i="2" s="1"/>
  <c r="X23" i="2"/>
  <c r="F14" i="6"/>
  <c r="G14" i="6"/>
  <c r="V27" i="2"/>
  <c r="W27" i="2"/>
  <c r="X27" i="2"/>
  <c r="U27" i="2"/>
  <c r="E12" i="3" s="1"/>
  <c r="AA27" i="2"/>
  <c r="Q27" i="2" s="1"/>
  <c r="S27" i="2" s="1"/>
  <c r="AF27" i="2" s="1"/>
  <c r="AG27" i="2" s="1"/>
  <c r="W23" i="2"/>
  <c r="X21" i="2"/>
  <c r="U21" i="2"/>
  <c r="AB21" i="2"/>
  <c r="AC21" i="2" s="1"/>
  <c r="R21" i="2" s="1"/>
  <c r="S21" i="2" s="1"/>
  <c r="AF21" i="2" s="1"/>
  <c r="AG21" i="2" s="1"/>
  <c r="W21" i="2"/>
  <c r="F15" i="6"/>
  <c r="G15" i="6"/>
  <c r="V29" i="2"/>
  <c r="W29" i="2"/>
  <c r="X29" i="2"/>
  <c r="U29" i="2"/>
  <c r="E15" i="3" s="1"/>
  <c r="AA29" i="2"/>
  <c r="Q29" i="2" s="1"/>
  <c r="S29" i="2" s="1"/>
  <c r="AF29" i="2" s="1"/>
  <c r="AG29" i="2" s="1"/>
  <c r="C10" i="6"/>
  <c r="E10" i="6" s="1"/>
  <c r="C13" i="6"/>
  <c r="E13" i="6"/>
  <c r="V28" i="2"/>
  <c r="X28" i="2"/>
  <c r="AB28" i="2"/>
  <c r="AC28" i="2" s="1"/>
  <c r="R28" i="2" s="1"/>
  <c r="S28" i="2" s="1"/>
  <c r="AF28" i="2" s="1"/>
  <c r="AG28" i="2" s="1"/>
  <c r="V23" i="2"/>
  <c r="C17" i="6"/>
  <c r="E17" i="6"/>
  <c r="F11" i="6" l="1"/>
  <c r="G11" i="6"/>
  <c r="F10" i="6"/>
  <c r="G10" i="6"/>
  <c r="F12" i="6"/>
  <c r="G12" i="6"/>
  <c r="F9" i="6"/>
  <c r="G9" i="6"/>
  <c r="V30" i="2"/>
  <c r="W30" i="2"/>
  <c r="X30" i="2"/>
  <c r="U30" i="2"/>
  <c r="E17" i="3" s="1"/>
  <c r="AA30" i="2"/>
  <c r="Q30" i="2" s="1"/>
  <c r="S30" i="2" s="1"/>
  <c r="AF30" i="2" s="1"/>
  <c r="AG30" i="2" s="1"/>
  <c r="F7" i="6"/>
  <c r="G7" i="6"/>
  <c r="G17" i="6"/>
  <c r="F17" i="6"/>
  <c r="U22" i="2"/>
  <c r="E9" i="3" s="1"/>
  <c r="AA22" i="2"/>
  <c r="Q22" i="2" s="1"/>
  <c r="S22" i="2" s="1"/>
  <c r="AF22" i="2" s="1"/>
  <c r="AG22" i="2" s="1"/>
  <c r="V22" i="2"/>
  <c r="X22" i="2"/>
  <c r="W22" i="2"/>
  <c r="G13" i="6"/>
  <c r="F13" i="6"/>
  <c r="F18" i="6"/>
  <c r="G18" i="6"/>
  <c r="U20" i="2"/>
  <c r="AA20" i="2"/>
  <c r="Q20" i="2" s="1"/>
  <c r="S20" i="2" s="1"/>
  <c r="AF20" i="2" s="1"/>
  <c r="AG20" i="2" s="1"/>
  <c r="V20" i="2"/>
  <c r="X20" i="2"/>
  <c r="W20" i="2"/>
</calcChain>
</file>

<file path=xl/sharedStrings.xml><?xml version="1.0" encoding="utf-8"?>
<sst xmlns="http://schemas.openxmlformats.org/spreadsheetml/2006/main" count="720" uniqueCount="313">
  <si>
    <t>CRITERIA AND WASTELOAD ALLOCATION CALCULATIONS</t>
  </si>
  <si>
    <t>Calculations</t>
  </si>
  <si>
    <t xml:space="preserve">    PARAMETER</t>
  </si>
  <si>
    <t>|</t>
  </si>
  <si>
    <t xml:space="preserve">     WATER</t>
  </si>
  <si>
    <t xml:space="preserve">   RECEIVING WATER</t>
  </si>
  <si>
    <t xml:space="preserve"> FACILITY</t>
  </si>
  <si>
    <t>C</t>
  </si>
  <si>
    <t>Percentile Limits</t>
  </si>
  <si>
    <t xml:space="preserve">    QUALITY</t>
  </si>
  <si>
    <t>mg/l</t>
  </si>
  <si>
    <t>h</t>
  </si>
  <si>
    <t>M</t>
  </si>
  <si>
    <t xml:space="preserve">   STANDARDS</t>
  </si>
  <si>
    <t xml:space="preserve"> Effluent</t>
  </si>
  <si>
    <t>A</t>
  </si>
  <si>
    <t>r</t>
  </si>
  <si>
    <t xml:space="preserve">     95th</t>
  </si>
  <si>
    <t>|     99th</t>
  </si>
  <si>
    <t>o</t>
  </si>
  <si>
    <t xml:space="preserve"> 7Q10 =</t>
  </si>
  <si>
    <t>CFS</t>
  </si>
  <si>
    <t xml:space="preserve">  Flow</t>
  </si>
  <si>
    <t>c</t>
  </si>
  <si>
    <t xml:space="preserve">     %-ile</t>
  </si>
  <si>
    <t>|     %-ile</t>
  </si>
  <si>
    <t>D</t>
  </si>
  <si>
    <t>n</t>
  </si>
  <si>
    <t xml:space="preserve">      ug/l</t>
  </si>
  <si>
    <t>Available</t>
  </si>
  <si>
    <t>%</t>
  </si>
  <si>
    <t>MGD</t>
  </si>
  <si>
    <t>u</t>
  </si>
  <si>
    <t>a</t>
  </si>
  <si>
    <t>t</t>
  </si>
  <si>
    <t>i</t>
  </si>
  <si>
    <t>/wcs1~{right}/xg\z~</t>
  </si>
  <si>
    <t xml:space="preserve"> 1Q10 =</t>
  </si>
  <si>
    <t>e</t>
  </si>
  <si>
    <t>l</t>
  </si>
  <si>
    <t>y</t>
  </si>
  <si>
    <t xml:space="preserve"> {1Q10=0 =&gt; WLAa=2*CMC}</t>
  </si>
  <si>
    <t>#</t>
  </si>
  <si>
    <t>L</t>
  </si>
  <si>
    <t>1 Hour</t>
  </si>
  <si>
    <t>4 Day</t>
  </si>
  <si>
    <t>Back</t>
  </si>
  <si>
    <t xml:space="preserve">  Allocations</t>
  </si>
  <si>
    <t>Samples</t>
  </si>
  <si>
    <t>T</t>
  </si>
  <si>
    <t>s</t>
  </si>
  <si>
    <t>(CMC)</t>
  </si>
  <si>
    <t>(CCC)</t>
  </si>
  <si>
    <t>Ground</t>
  </si>
  <si>
    <t xml:space="preserve">   Acute</t>
  </si>
  <si>
    <t xml:space="preserve">   Chronic</t>
  </si>
  <si>
    <t>CV</t>
  </si>
  <si>
    <t>/Mo</t>
  </si>
  <si>
    <t>Daily</t>
  </si>
  <si>
    <t>Monthly</t>
  </si>
  <si>
    <t>| Daily</t>
  </si>
  <si>
    <t>1</t>
  </si>
  <si>
    <t>4</t>
  </si>
  <si>
    <t>2</t>
  </si>
  <si>
    <t>-</t>
  </si>
  <si>
    <t>ALUMINUM</t>
  </si>
  <si>
    <t>(A)</t>
  </si>
  <si>
    <t>ARSENIC III</t>
  </si>
  <si>
    <t>CADMIUM</t>
  </si>
  <si>
    <t>CHROMIUM III</t>
  </si>
  <si>
    <t>CHROMIUM VI</t>
  </si>
  <si>
    <t>TOTAL CHROMIUM</t>
  </si>
  <si>
    <t>COPPER</t>
  </si>
  <si>
    <t>CYANIDE</t>
  </si>
  <si>
    <t>FLUORIDE</t>
  </si>
  <si>
    <t>IRON</t>
  </si>
  <si>
    <t>LEAD</t>
  </si>
  <si>
    <t>MERCURY</t>
  </si>
  <si>
    <t>NICKEL</t>
  </si>
  <si>
    <t>SILVER</t>
  </si>
  <si>
    <t>ZINC</t>
  </si>
  <si>
    <t>NOTES (Not all may appear above):</t>
  </si>
  <si>
    <t>*** Number exceeds space allocated.</t>
  </si>
  <si>
    <t>(A) CMC and/or CCC not dependent on hardness.</t>
  </si>
  <si>
    <t>(B) Acute Allocation = 2 times CMC.</t>
  </si>
  <si>
    <t>(C) Background exceeds CCC; Chronic allocation set to background value.</t>
  </si>
  <si>
    <t xml:space="preserve">    Enter CCC value for background to protect to CCC.</t>
  </si>
  <si>
    <t>|::</t>
  </si>
  <si>
    <t>/wtc{home}{pgdn}{goto}b1~/wgrm/xlFacility name? ~e3~</t>
  </si>
  <si>
    <t>/xnHardness as CaCO3 = ~i6~</t>
  </si>
  <si>
    <t>/xn7Q10? (as MGD or CFS) ~tem~</t>
  </si>
  <si>
    <t>/xmmgdcfs1~</t>
  </si>
  <si>
    <t>/ctem~i8~</t>
  </si>
  <si>
    <t>/xnPercent of 7Q10 available for mixing? ~i9~</t>
  </si>
  <si>
    <t>/xn1Q10 (Enter 0 for Idaho)? ~tem~</t>
  </si>
  <si>
    <t>/xitem&gt;0~/xmmgdcfs2~</t>
  </si>
  <si>
    <t>/xitem&gt;0~/ctem~i11~</t>
  </si>
  <si>
    <t>/xitem&gt;0~</t>
  </si>
  <si>
    <t>/xii11&gt;0~/xnPercent of 1Q10 available for mixing? ~i12~</t>
  </si>
  <si>
    <t>/xii11=0~/ci11~i12~</t>
  </si>
  <si>
    <t>/xnFacility effluent flow? (MGD) ~tem~</t>
  </si>
  <si>
    <t>/xmmgdcfs3~</t>
  </si>
  <si>
    <t>/ctem~n9~/wgra/retem~</t>
  </si>
  <si>
    <t>{home}{goto}a17~{right}{right}{right}/wtb{right}{right}{right}{right}/xq</t>
  </si>
  <si>
    <t>/pparDATA~os{esc}\027e\027&amp;l1O\027(s16.66H~qagpq/xq</t>
  </si>
  <si>
    <t>/qy</t>
  </si>
  <si>
    <t>CFS?</t>
  </si>
  <si>
    <t>MGD?</t>
  </si>
  <si>
    <t>Flow stated in CFS</t>
  </si>
  <si>
    <t>Flow stated in MGD</t>
  </si>
  <si>
    <t>/xgret1~</t>
  </si>
  <si>
    <t>{goto}tem~{edit}*1.547~{home}/xgret1~</t>
  </si>
  <si>
    <t>/xgret2~</t>
  </si>
  <si>
    <t>{goto}tem~{edit}*1.547~{home}/xgret2~</t>
  </si>
  <si>
    <t>/xgret3~</t>
  </si>
  <si>
    <t>{goto}tem~{edit}*1.547~{home}/xgret3~</t>
  </si>
  <si>
    <t>RANGE NAMES &amp; RANGES</t>
  </si>
  <si>
    <t>DATA</t>
  </si>
  <si>
    <t>A1..Y39</t>
  </si>
  <si>
    <t>MGDCFS1</t>
  </si>
  <si>
    <t>A58..B58</t>
  </si>
  <si>
    <t>MGDCFS2</t>
  </si>
  <si>
    <t>A61..B61</t>
  </si>
  <si>
    <t>MGDCFS3</t>
  </si>
  <si>
    <t>A64..B64</t>
  </si>
  <si>
    <t>RET1</t>
  </si>
  <si>
    <t>A44</t>
  </si>
  <si>
    <t>RET2</t>
  </si>
  <si>
    <t>A48</t>
  </si>
  <si>
    <t>RET3</t>
  </si>
  <si>
    <t>A54</t>
  </si>
  <si>
    <t>TEM</t>
  </si>
  <si>
    <t>A1</t>
  </si>
  <si>
    <t>\0</t>
  </si>
  <si>
    <t>A40</t>
  </si>
  <si>
    <t>\P</t>
  </si>
  <si>
    <t>A56</t>
  </si>
  <si>
    <t>\Q</t>
  </si>
  <si>
    <t>A57</t>
  </si>
  <si>
    <t>\R</t>
  </si>
  <si>
    <t>Arsenic</t>
  </si>
  <si>
    <t>Cadmium</t>
  </si>
  <si>
    <t>Copper</t>
  </si>
  <si>
    <t>Cyanide</t>
  </si>
  <si>
    <t>Lead</t>
  </si>
  <si>
    <t>Mercury</t>
  </si>
  <si>
    <t>Nickel</t>
  </si>
  <si>
    <t>Silver</t>
  </si>
  <si>
    <t>Zinc</t>
  </si>
  <si>
    <t>POTW</t>
  </si>
  <si>
    <t>Influent</t>
  </si>
  <si>
    <t>Receiving</t>
  </si>
  <si>
    <t>Stream</t>
  </si>
  <si>
    <t>Sludge To</t>
  </si>
  <si>
    <t>Digester</t>
  </si>
  <si>
    <t>Biosolids To</t>
  </si>
  <si>
    <t>Disposal</t>
  </si>
  <si>
    <t>Activated</t>
  </si>
  <si>
    <t>Sludge</t>
  </si>
  <si>
    <t>Nitrification</t>
  </si>
  <si>
    <t>Anaerobic</t>
  </si>
  <si>
    <t>Primary</t>
  </si>
  <si>
    <t>Secondary</t>
  </si>
  <si>
    <t>POTW Flow (mgd)</t>
  </si>
  <si>
    <t>Industrial Flow (mgd)</t>
  </si>
  <si>
    <t>Non-Industrial Flow (mgd)</t>
  </si>
  <si>
    <t>Site Use Duration (years)</t>
  </si>
  <si>
    <t>Site Area (acres)</t>
  </si>
  <si>
    <t>Sludge Land Application Information</t>
  </si>
  <si>
    <t>(mg/L)</t>
  </si>
  <si>
    <t>Non-</t>
  </si>
  <si>
    <t>Industrial</t>
  </si>
  <si>
    <t>(mg/kg)</t>
  </si>
  <si>
    <t>NPDES</t>
  </si>
  <si>
    <t>Limit</t>
  </si>
  <si>
    <t>Pass-Through</t>
  </si>
  <si>
    <t>(lbs/day)</t>
  </si>
  <si>
    <t>Annual</t>
  </si>
  <si>
    <t>Application</t>
  </si>
  <si>
    <t>Rate Limit</t>
  </si>
  <si>
    <t>Cumulative</t>
  </si>
  <si>
    <t>Sludge Disposal</t>
  </si>
  <si>
    <t>Criteria or</t>
  </si>
  <si>
    <r>
      <t>C</t>
    </r>
    <r>
      <rPr>
        <b/>
        <vertAlign val="subscript"/>
        <sz val="10"/>
        <rFont val="Arial"/>
        <family val="2"/>
      </rPr>
      <t>LIM(A)</t>
    </r>
  </si>
  <si>
    <r>
      <t>C</t>
    </r>
    <r>
      <rPr>
        <b/>
        <vertAlign val="subscript"/>
        <sz val="10"/>
        <rFont val="Arial"/>
        <family val="2"/>
      </rPr>
      <t>LIM(C)</t>
    </r>
  </si>
  <si>
    <r>
      <t>C</t>
    </r>
    <r>
      <rPr>
        <b/>
        <vertAlign val="subscript"/>
        <sz val="10"/>
        <rFont val="Arial"/>
        <family val="2"/>
      </rPr>
      <t>SLCRIT</t>
    </r>
  </si>
  <si>
    <t>Compost?  Y/N</t>
  </si>
  <si>
    <t>Molybdenum</t>
  </si>
  <si>
    <t>Selenium</t>
  </si>
  <si>
    <t>Other</t>
  </si>
  <si>
    <t>Digestion Processes</t>
  </si>
  <si>
    <t>Digestion</t>
  </si>
  <si>
    <t>Tertiary</t>
  </si>
  <si>
    <t>Inhibition</t>
  </si>
  <si>
    <t>Through</t>
  </si>
  <si>
    <t>Factor (%)</t>
  </si>
  <si>
    <t>Safety</t>
  </si>
  <si>
    <t>(Lbs/Day)</t>
  </si>
  <si>
    <t>Total</t>
  </si>
  <si>
    <t>Allowable</t>
  </si>
  <si>
    <t>Factor</t>
  </si>
  <si>
    <t>Actual</t>
  </si>
  <si>
    <t>Uncontrollable</t>
  </si>
  <si>
    <t>Secondary Processes</t>
  </si>
  <si>
    <t>Tertiary Processes</t>
  </si>
  <si>
    <t>Process</t>
  </si>
  <si>
    <t>Enter Sludge Quality Information in the Yellow Shaded Areas</t>
  </si>
  <si>
    <t>Enter General POTW Information in the Yellow Shaded Areas</t>
  </si>
  <si>
    <t>Loading</t>
  </si>
  <si>
    <t>Allocation of Maximum Allowable Headworks Loadings</t>
  </si>
  <si>
    <t>Sludge Information</t>
  </si>
  <si>
    <t>Flow Information</t>
  </si>
  <si>
    <t>Flow to Digester (mgd)</t>
  </si>
  <si>
    <t>Flow to Disposal (mgd)</t>
  </si>
  <si>
    <t>% Solids to Disposal</t>
  </si>
  <si>
    <t>Pollutant</t>
  </si>
  <si>
    <t>Sludge Quality</t>
  </si>
  <si>
    <t>Effluent</t>
  </si>
  <si>
    <t>Final</t>
  </si>
  <si>
    <t>Overall</t>
  </si>
  <si>
    <t>Chromium</t>
  </si>
  <si>
    <t>Removal Efficiencies</t>
  </si>
  <si>
    <t>(Percent of pollutant removed)</t>
  </si>
  <si>
    <t>Flow</t>
  </si>
  <si>
    <t>(mgd)</t>
  </si>
  <si>
    <t>Contributory</t>
  </si>
  <si>
    <t>Local Limit (mg/L)</t>
  </si>
  <si>
    <t>Using Total</t>
  </si>
  <si>
    <t>Using Industrial</t>
  </si>
  <si>
    <t>Average Pollutant Concentrations</t>
  </si>
  <si>
    <t>Enter Inhibition Concentrations (in mg/L) in the Yellow Shaded Areas</t>
  </si>
  <si>
    <t>Permit</t>
  </si>
  <si>
    <t>Background</t>
  </si>
  <si>
    <r>
      <t xml:space="preserve">The spreadsheet will automatically calculate removal efficiencies when the user enters influent/effluent data.  If the user desires to override these calculations (e.g., to enter literature values for removal efficiencies), then these removal efficiencies should be entered in the </t>
    </r>
    <r>
      <rPr>
        <b/>
        <sz val="10"/>
        <color indexed="15"/>
        <rFont val="Arial"/>
        <family val="2"/>
      </rPr>
      <t>turquoise</t>
    </r>
    <r>
      <rPr>
        <sz val="10"/>
        <rFont val="Arial"/>
        <family val="2"/>
      </rPr>
      <t xml:space="preserve"> columns.</t>
    </r>
  </si>
  <si>
    <t>Enter Pass-Through Information in the Yellow Shaded Areas</t>
  </si>
  <si>
    <t>Receiving Stream Information</t>
  </si>
  <si>
    <t>Mixing Zone and Zone of Initial Dilution Information</t>
  </si>
  <si>
    <t>7Q10 Flow (cfs)</t>
  </si>
  <si>
    <t>1Q10 Flow (cfs)</t>
  </si>
  <si>
    <r>
      <t xml:space="preserve">Note:  </t>
    </r>
    <r>
      <rPr>
        <b/>
        <i/>
        <sz val="10"/>
        <rFont val="Arial"/>
        <family val="2"/>
      </rPr>
      <t>Dilution Ratios</t>
    </r>
    <r>
      <rPr>
        <b/>
        <sz val="10"/>
        <rFont val="Arial"/>
        <family val="2"/>
      </rPr>
      <t xml:space="preserve"> are derived from mixing zone studies or modeling.  A dilution ratio equals the upstream river flow divided by the effluent flow.  It is often expressed as a ratio of two numbers (e.g., 3.2 to 1 or 3.2:1), but should be entered on this spreadsheet as a single number.  For example, a dilution ratio of 3.2 to 1 (3.2:1) should be entered as 3.2 in the space provided.</t>
    </r>
  </si>
  <si>
    <r>
      <t xml:space="preserve">If the mixing zone study presents dilution information as a single number, then that number is likely a </t>
    </r>
    <r>
      <rPr>
        <b/>
        <i/>
        <sz val="10"/>
        <rFont val="Arial"/>
        <family val="2"/>
      </rPr>
      <t>dilution factor</t>
    </r>
    <r>
      <rPr>
        <b/>
        <sz val="10"/>
        <rFont val="Arial"/>
        <family val="2"/>
      </rPr>
      <t>.  A dilution factor equals the sum of the river and effluent flows divided by the effluent flow.  This is equivalent to 1 + the dilution ratio.  Therefore, the number to be entered into the spreadsheet is the dilution factor - 1.  For example, if the mixing zone study presents a dilution factor of 4.2, then the dilution ratio = 4.2 - 1 = 3.2.  Thus 3.2 should be entered into the spreadsheet as the dilution ratio.</t>
    </r>
  </si>
  <si>
    <t>WQ Spreadsheet</t>
  </si>
  <si>
    <t>95th %-ile Value</t>
  </si>
  <si>
    <t>Daily Maximum</t>
  </si>
  <si>
    <t>Standards</t>
  </si>
  <si>
    <t>(kg/hectare/year)</t>
  </si>
  <si>
    <t>(kg/hectare)</t>
  </si>
  <si>
    <t>POTW Name:</t>
  </si>
  <si>
    <t>POTW Contact:</t>
  </si>
  <si>
    <t>DEQ Local Limits Workbook</t>
  </si>
  <si>
    <r>
      <t>Average Pollutant Concentrations.</t>
    </r>
    <r>
      <rPr>
        <sz val="10"/>
        <rFont val="Arial"/>
      </rPr>
      <t xml:space="preserve">  Enter average concentrations of pollutants derived from sampling data or literature values.  Influent and effluent data will be used by the spreadsheet to automatically calculate removal efficiencies and display them in the turquoise shaded area.</t>
    </r>
  </si>
  <si>
    <r>
      <t>Industrial contributory flow.</t>
    </r>
    <r>
      <rPr>
        <sz val="10"/>
        <rFont val="Arial"/>
      </rPr>
      <t xml:space="preserve">  Enter the industrial contributory flow for any pollutants for which the industrial contributory allocation method might be used.  If this allocation method is not under consideration, then the user need not enter this information.</t>
    </r>
  </si>
  <si>
    <r>
      <t>Flow Information.</t>
    </r>
    <r>
      <rPr>
        <sz val="10"/>
        <rFont val="Arial"/>
      </rPr>
      <t xml:space="preserve">  Enter the average POTW flow, industrial flow, and non-industrial flow.  The POTW flow should be the sum of the industrial flow and non-industrial flow.</t>
    </r>
  </si>
  <si>
    <r>
      <t>Sludge Information.</t>
    </r>
    <r>
      <rPr>
        <sz val="10"/>
        <rFont val="Arial"/>
      </rPr>
      <t xml:space="preserve">  Enter the sludge flows and percent solids for the sludge.</t>
    </r>
  </si>
  <si>
    <t>Enter inhibition threshold concentrations for secondary, tertiary, and sludge digestion processes.</t>
  </si>
  <si>
    <r>
      <t>Sludge Land Application Information.</t>
    </r>
    <r>
      <rPr>
        <sz val="10"/>
        <rFont val="Arial"/>
      </rPr>
      <t xml:space="preserve">  Enter the site use duration and site area.  Enter either Y or N </t>
    </r>
    <r>
      <rPr>
        <b/>
        <sz val="10"/>
        <rFont val="Arial"/>
        <family val="2"/>
      </rPr>
      <t>(in capital letters)</t>
    </r>
    <r>
      <rPr>
        <sz val="10"/>
        <rFont val="Arial"/>
      </rPr>
      <t xml:space="preserve"> to indicate whether or not the sludge from the POTW is composted.</t>
    </r>
  </si>
  <si>
    <t>Acute</t>
  </si>
  <si>
    <t>Chronic</t>
  </si>
  <si>
    <t>Table1</t>
  </si>
  <si>
    <t>Table 2</t>
  </si>
  <si>
    <t>Table 3</t>
  </si>
  <si>
    <t>Table 4</t>
  </si>
  <si>
    <t>Water Quality Standards</t>
  </si>
  <si>
    <t>Ceiling</t>
  </si>
  <si>
    <t>Concentrations</t>
  </si>
  <si>
    <t>Loading Rates</t>
  </si>
  <si>
    <t>Clean</t>
  </si>
  <si>
    <t>NA</t>
  </si>
  <si>
    <t>40 CFR Part 503</t>
  </si>
  <si>
    <t>Sewage Sludge</t>
  </si>
  <si>
    <t xml:space="preserve">    ========&gt;</t>
  </si>
  <si>
    <t>Use or Disposal of</t>
  </si>
  <si>
    <t>Standards for the</t>
  </si>
  <si>
    <r>
      <t>μ</t>
    </r>
    <r>
      <rPr>
        <b/>
        <sz val="10"/>
        <rFont val="Arial"/>
        <family val="2"/>
      </rPr>
      <t>g/L</t>
    </r>
  </si>
  <si>
    <r>
      <t>(</t>
    </r>
    <r>
      <rPr>
        <b/>
        <sz val="12"/>
        <rFont val="Arial"/>
        <family val="2"/>
      </rPr>
      <t>μ</t>
    </r>
    <r>
      <rPr>
        <b/>
        <sz val="10"/>
        <rFont val="Arial"/>
      </rPr>
      <t>g/L)</t>
    </r>
  </si>
  <si>
    <r>
      <t>Sludge Disposal Criteria or Standards.</t>
    </r>
    <r>
      <rPr>
        <sz val="10"/>
        <rFont val="Arial"/>
      </rPr>
      <t xml:space="preserve">  Enter the criteria or standards that apply to the POTW's sludge disposal practices.  These values are typically found in Table 1 or Table 3 of the Part 503 Standards for the use or disposal of sewage sludge.  The Part 503 Standards are displayed in the table on this sheet.</t>
    </r>
  </si>
  <si>
    <t>General worksheet</t>
  </si>
  <si>
    <t>WQS worksheet</t>
  </si>
  <si>
    <t>Pass-through worksheet</t>
  </si>
  <si>
    <t>Inhibition worksheet</t>
  </si>
  <si>
    <t>Sludge Quality worksheet</t>
  </si>
  <si>
    <r>
      <t xml:space="preserve">This worksheet is hidden and uses POTW and receiving stream information (which is entered elsewhere in this workbook) and Water Quality Standards to calculate values that are necessary for computing Allowable Headworks Loadings for prevention of pass-through.  </t>
    </r>
    <r>
      <rPr>
        <b/>
        <sz val="10"/>
        <rFont val="Arial"/>
        <family val="2"/>
      </rPr>
      <t>The user cannot view nor enter information directly into this worksheet.</t>
    </r>
  </si>
  <si>
    <r>
      <t>Cadmium</t>
    </r>
    <r>
      <rPr>
        <b/>
        <vertAlign val="superscript"/>
        <sz val="10"/>
        <rFont val="Arial"/>
        <family val="2"/>
      </rPr>
      <t>1</t>
    </r>
  </si>
  <si>
    <r>
      <t>Chromium</t>
    </r>
    <r>
      <rPr>
        <b/>
        <vertAlign val="superscript"/>
        <sz val="10"/>
        <rFont val="Arial"/>
        <family val="2"/>
      </rPr>
      <t>1</t>
    </r>
  </si>
  <si>
    <r>
      <t>Copper</t>
    </r>
    <r>
      <rPr>
        <b/>
        <vertAlign val="superscript"/>
        <sz val="10"/>
        <rFont val="Arial"/>
        <family val="2"/>
      </rPr>
      <t>1</t>
    </r>
  </si>
  <si>
    <r>
      <t>Lead</t>
    </r>
    <r>
      <rPr>
        <b/>
        <vertAlign val="superscript"/>
        <sz val="10"/>
        <rFont val="Arial"/>
        <family val="2"/>
      </rPr>
      <t>1</t>
    </r>
  </si>
  <si>
    <r>
      <t>Molybdenum</t>
    </r>
    <r>
      <rPr>
        <b/>
        <vertAlign val="superscript"/>
        <sz val="10"/>
        <rFont val="Arial"/>
        <family val="2"/>
      </rPr>
      <t>2</t>
    </r>
  </si>
  <si>
    <r>
      <t>Nickel</t>
    </r>
    <r>
      <rPr>
        <b/>
        <vertAlign val="superscript"/>
        <sz val="10"/>
        <rFont val="Arial"/>
        <family val="2"/>
      </rPr>
      <t>1</t>
    </r>
  </si>
  <si>
    <r>
      <t>Selenium</t>
    </r>
    <r>
      <rPr>
        <b/>
        <vertAlign val="superscript"/>
        <sz val="10"/>
        <rFont val="Arial"/>
        <family val="2"/>
      </rPr>
      <t>3</t>
    </r>
  </si>
  <si>
    <r>
      <t>Silver</t>
    </r>
    <r>
      <rPr>
        <b/>
        <vertAlign val="superscript"/>
        <sz val="10"/>
        <rFont val="Arial"/>
        <family val="2"/>
      </rPr>
      <t>1</t>
    </r>
  </si>
  <si>
    <r>
      <t>Zinc</t>
    </r>
    <r>
      <rPr>
        <b/>
        <vertAlign val="superscript"/>
        <sz val="10"/>
        <rFont val="Arial"/>
        <family val="2"/>
      </rPr>
      <t>1</t>
    </r>
  </si>
  <si>
    <t>Water Quality Criteria are hardness dependent.  Make sure that the receiving stream hardness is entered into the Pass-through worksheet.</t>
  </si>
  <si>
    <t>No Water Quality Criteria developed for this pollutant.</t>
  </si>
  <si>
    <r>
      <t>Safety Factor</t>
    </r>
    <r>
      <rPr>
        <i/>
        <sz val="10"/>
        <rFont val="Arial"/>
        <family val="2"/>
      </rPr>
      <t>.</t>
    </r>
    <r>
      <rPr>
        <sz val="10"/>
        <rFont val="Arial"/>
      </rPr>
      <t xml:space="preserve">  Enter a value, in percent, to serve as a safety factor for each pollutant.  There may be different safety factors for different pollutants.</t>
    </r>
  </si>
  <si>
    <r>
      <t>Annual and Cumulative Application Rate Limits</t>
    </r>
    <r>
      <rPr>
        <b/>
        <sz val="10"/>
        <rFont val="Arial"/>
        <family val="2"/>
      </rPr>
      <t>.</t>
    </r>
    <r>
      <rPr>
        <sz val="10"/>
        <rFont val="Arial"/>
      </rPr>
      <t xml:space="preserve">  Enter the applicable limits (in kilograms per hectare), which are found in Table 2 and Table 4 of the Part 503 Standards for the use or disposal of sewage sludge.  The Part 503 Standards are displayed in the table on this sheet.</t>
    </r>
  </si>
  <si>
    <r>
      <t>Removal Efficiencies.</t>
    </r>
    <r>
      <rPr>
        <sz val="10"/>
        <rFont val="Arial"/>
      </rPr>
      <t xml:space="preserve">  These are automatically calculated for pollutants for which influent/effluent data have been entered in the Average Pollutant Concentration section.  Alternatively, the user may enter removal efficiencies (in percent), directly into this section.  If this is done, the spreadsheet will use the entered removal efficiencies and will </t>
    </r>
    <r>
      <rPr>
        <b/>
        <sz val="10"/>
        <rFont val="Arial"/>
        <family val="2"/>
      </rPr>
      <t>not</t>
    </r>
    <r>
      <rPr>
        <sz val="10"/>
        <rFont val="Arial"/>
      </rPr>
      <t xml:space="preserve"> calculate them from influent/effluent data.</t>
    </r>
  </si>
  <si>
    <t>Water Quality Criteria have been developed, but are not included in the hidden WQS worksheet.  If the user desires to develop Allowable Headworks Loadings based on prevention of pass-through for this pollutant, this workbook cannot perform the appropriate calculations unless the POTW has an NPDES permit limit for this pollutant.  If there is no NPDES permit limit for this pollutant, but the user wishes to develop an allowable loading based on preventing pass-through, contact DEQ for guidance.</t>
  </si>
  <si>
    <r>
      <t xml:space="preserve">Note:  If the user desires to develop Allowable Headworks Loadings based on prevention of pass-through for a pollutant that is </t>
    </r>
    <r>
      <rPr>
        <b/>
        <sz val="10"/>
        <rFont val="Arial"/>
        <family val="2"/>
      </rPr>
      <t>not</t>
    </r>
    <r>
      <rPr>
        <sz val="10"/>
        <rFont val="Arial"/>
      </rPr>
      <t xml:space="preserve"> included in this table, the necessary calculations cannot be performed by this workbook unless the POTW has an NPDES permit limit for the pollutant.  If there is no NPDES permit limit, but the user wishes to develop an allowable loading based on preventing pass-through, contact DEQ for guidance.</t>
    </r>
  </si>
  <si>
    <t>Effluent Hardness (mg/L)</t>
  </si>
  <si>
    <t>Hardness at edge of Mixing Zone</t>
  </si>
  <si>
    <t>Hardness at edge of Zone of Initial Dilution</t>
  </si>
  <si>
    <t>Stream Hardness (mg/L)</t>
  </si>
  <si>
    <t>Dilution Ratio at edge of Zone of Initial Dilution</t>
  </si>
  <si>
    <t>Dilution Ratio at edge of Mixing Zone</t>
  </si>
  <si>
    <t>Percent of 7Q10 Available</t>
  </si>
  <si>
    <t>Percent of 1Q10 Available</t>
  </si>
  <si>
    <t>MZ Hardness</t>
  </si>
  <si>
    <t>ZID Hardness</t>
  </si>
  <si>
    <r>
      <t>Mixing Zone and Zone of Initial Dilution Information</t>
    </r>
    <r>
      <rPr>
        <b/>
        <sz val="10"/>
        <rFont val="Arial"/>
        <family val="2"/>
      </rPr>
      <t>.</t>
    </r>
    <r>
      <rPr>
        <sz val="10"/>
        <rFont val="Arial"/>
      </rPr>
      <t xml:space="preserve">  Detailed guidance for entering dilution ratio information is included on this worksheet.  If no value for effluent hardness is entered, the program will default to 100 mg/L for this parameter.</t>
    </r>
  </si>
  <si>
    <t>Revisions</t>
  </si>
  <si>
    <r>
      <t>Receiving Stream Information.</t>
    </r>
    <r>
      <rPr>
        <sz val="10"/>
        <rFont val="Arial"/>
      </rPr>
      <t xml:space="preserve">  Enter the flow and receiving stream hardness information.  If receiving stream hardness is not known, enter 100 mg/L for this parameter.</t>
    </r>
  </si>
  <si>
    <r>
      <t>This workbook consists of nine worksheets (one is hidden).  Four worksheets (</t>
    </r>
    <r>
      <rPr>
        <b/>
        <sz val="10"/>
        <rFont val="Arial"/>
        <family val="2"/>
      </rPr>
      <t>General, Pass-through, Inhibition, and Sludge Quality</t>
    </r>
    <r>
      <rPr>
        <sz val="10"/>
        <rFont val="Arial"/>
      </rPr>
      <t xml:space="preserve">) require data input by the user.  Data should only be entered in the yellow shaded areas within these four worksheets.  The only exception to this is explained below, in the </t>
    </r>
    <r>
      <rPr>
        <b/>
        <i/>
        <sz val="10"/>
        <rFont val="Arial"/>
        <family val="2"/>
      </rPr>
      <t>Removal Efficiencies</t>
    </r>
    <r>
      <rPr>
        <sz val="10"/>
        <rFont val="Arial"/>
      </rPr>
      <t xml:space="preserve"> section.  Water Quality Standards are presented on the </t>
    </r>
    <r>
      <rPr>
        <b/>
        <sz val="10"/>
        <rFont val="Arial"/>
        <family val="2"/>
      </rPr>
      <t>WQ Criteria</t>
    </r>
    <r>
      <rPr>
        <sz val="10"/>
        <rFont val="Arial"/>
      </rPr>
      <t xml:space="preserve"> worksheet for user reference.</t>
    </r>
  </si>
  <si>
    <t>DEQ Local Limits Workbook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</si>
</sst>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_)"/>
    <numFmt numFmtId="165" formatCode="0.000_)"/>
    <numFmt numFmtId="166" formatCode="0.0000"/>
    <numFmt numFmtId="168" formatCode="0.0"/>
    <numFmt numFmtId="170" formatCode="[$-409]mmmm\ d\,\ yyyy;@"/>
  </numFmts>
  <fonts count="21" x14ac:knownFonts="1">
    <font>
      <sz val="10"/>
      <name val="Arial"/>
    </font>
    <font>
      <sz val="10"/>
      <name val="Arial"/>
    </font>
    <font>
      <sz val="12"/>
      <color indexed="12"/>
      <name val="Helv"/>
    </font>
    <font>
      <b/>
      <sz val="10"/>
      <name val="Arial"/>
      <family val="2"/>
    </font>
    <font>
      <b/>
      <sz val="12"/>
      <name val="Arial"/>
      <family val="2"/>
    </font>
    <font>
      <b/>
      <vertAlign val="subscript"/>
      <sz val="10"/>
      <name val="Arial"/>
      <family val="2"/>
    </font>
    <font>
      <sz val="10"/>
      <name val="Arial"/>
      <family val="2"/>
    </font>
    <font>
      <b/>
      <sz val="14"/>
      <name val="Arial"/>
      <family val="2"/>
    </font>
    <font>
      <sz val="8"/>
      <name val="Arial"/>
    </font>
    <font>
      <b/>
      <sz val="12"/>
      <color indexed="10"/>
      <name val="Arial"/>
      <family val="2"/>
    </font>
    <font>
      <b/>
      <sz val="10"/>
      <color indexed="10"/>
      <name val="Arial"/>
      <family val="2"/>
    </font>
    <font>
      <b/>
      <sz val="10"/>
      <color indexed="15"/>
      <name val="Arial"/>
      <family val="2"/>
    </font>
    <font>
      <b/>
      <sz val="11"/>
      <name val="Arial"/>
      <family val="2"/>
    </font>
    <font>
      <b/>
      <i/>
      <sz val="10"/>
      <name val="Arial"/>
      <family val="2"/>
    </font>
    <font>
      <b/>
      <u/>
      <sz val="12"/>
      <name val="Arial"/>
      <family val="2"/>
    </font>
    <font>
      <b/>
      <sz val="10"/>
      <name val="Arial"/>
    </font>
    <font>
      <sz val="14"/>
      <name val="Arial"/>
      <family val="2"/>
    </font>
    <font>
      <b/>
      <vertAlign val="superscript"/>
      <sz val="10"/>
      <name val="Arial"/>
      <family val="2"/>
    </font>
    <font>
      <vertAlign val="superscript"/>
      <sz val="10"/>
      <name val="Arial"/>
    </font>
    <font>
      <i/>
      <sz val="10"/>
      <name val="Arial"/>
      <family val="2"/>
    </font>
    <font>
      <b/>
      <sz val="18"/>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76">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thick">
        <color indexed="64"/>
      </left>
      <right/>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thick">
        <color indexed="64"/>
      </left>
      <right style="thick">
        <color indexed="64"/>
      </right>
      <top style="medium">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medium">
        <color indexed="64"/>
      </top>
      <bottom/>
      <diagonal/>
    </border>
    <border>
      <left style="thick">
        <color indexed="64"/>
      </left>
      <right style="thick">
        <color indexed="64"/>
      </right>
      <top/>
      <bottom/>
      <diagonal/>
    </border>
    <border>
      <left style="thick">
        <color indexed="64"/>
      </left>
      <right style="thick">
        <color indexed="64"/>
      </right>
      <top/>
      <bottom style="medium">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top style="thick">
        <color indexed="64"/>
      </top>
      <bottom/>
      <diagonal/>
    </border>
    <border>
      <left style="medium">
        <color indexed="64"/>
      </left>
      <right style="medium">
        <color indexed="64"/>
      </right>
      <top style="thick">
        <color indexed="64"/>
      </top>
      <bottom/>
      <diagonal/>
    </border>
    <border>
      <left style="medium">
        <color indexed="64"/>
      </left>
      <right style="thick">
        <color indexed="64"/>
      </right>
      <top style="thick">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ck">
        <color indexed="64"/>
      </top>
      <bottom style="thin">
        <color indexed="64"/>
      </bottom>
      <diagonal/>
    </border>
    <border>
      <left/>
      <right style="medium">
        <color indexed="64"/>
      </right>
      <top style="thin">
        <color indexed="64"/>
      </top>
      <bottom/>
      <diagonal/>
    </border>
    <border>
      <left/>
      <right style="thick">
        <color indexed="64"/>
      </right>
      <top style="thin">
        <color indexed="64"/>
      </top>
      <bottom/>
      <diagonal/>
    </border>
    <border>
      <left/>
      <right style="medium">
        <color indexed="64"/>
      </right>
      <top/>
      <bottom style="thick">
        <color indexed="64"/>
      </bottom>
      <diagonal/>
    </border>
    <border>
      <left style="thick">
        <color indexed="64"/>
      </left>
      <right/>
      <top/>
      <bottom style="medium">
        <color indexed="64"/>
      </bottom>
      <diagonal/>
    </border>
    <border>
      <left style="medium">
        <color indexed="64"/>
      </left>
      <right/>
      <top style="thick">
        <color indexed="64"/>
      </top>
      <bottom/>
      <diagonal/>
    </border>
    <border>
      <left/>
      <right style="medium">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s>
  <cellStyleXfs count="1">
    <xf numFmtId="0" fontId="0" fillId="0" borderId="0"/>
  </cellStyleXfs>
  <cellXfs count="247">
    <xf numFmtId="0" fontId="0" fillId="0" borderId="0" xfId="0"/>
    <xf numFmtId="0" fontId="0" fillId="0" borderId="0" xfId="0" applyAlignment="1"/>
    <xf numFmtId="0" fontId="0" fillId="0" borderId="0" xfId="0" applyAlignment="1" applyProtection="1">
      <alignment horizontal="left"/>
    </xf>
    <xf numFmtId="0" fontId="2" fillId="0" borderId="0" xfId="0" quotePrefix="1" applyFont="1" applyAlignment="1" applyProtection="1">
      <alignment horizontal="left"/>
      <protection locked="0"/>
    </xf>
    <xf numFmtId="0" fontId="0" fillId="0" borderId="0" xfId="0" quotePrefix="1" applyAlignment="1" applyProtection="1">
      <alignment horizontal="left"/>
    </xf>
    <xf numFmtId="0" fontId="0" fillId="0" borderId="0" xfId="0" applyAlignment="1" applyProtection="1">
      <alignment horizontal="center"/>
    </xf>
    <xf numFmtId="0" fontId="2" fillId="0" borderId="0" xfId="0" applyFont="1" applyAlignment="1" applyProtection="1">
      <protection locked="0"/>
    </xf>
    <xf numFmtId="0" fontId="0" fillId="0" borderId="0" xfId="0" applyAlignment="1" applyProtection="1"/>
    <xf numFmtId="0" fontId="0" fillId="0" borderId="0" xfId="0" applyProtection="1"/>
    <xf numFmtId="0" fontId="0" fillId="0" borderId="0" xfId="0" applyAlignment="1" applyProtection="1">
      <alignment horizontal="fill"/>
    </xf>
    <xf numFmtId="164" fontId="0" fillId="0" borderId="0" xfId="0" applyNumberFormat="1" applyProtection="1"/>
    <xf numFmtId="0" fontId="2" fillId="0" borderId="0" xfId="0" applyFont="1" applyProtection="1">
      <protection locked="0"/>
    </xf>
    <xf numFmtId="165" fontId="0" fillId="0" borderId="0" xfId="0" applyNumberFormat="1" applyProtection="1"/>
    <xf numFmtId="0" fontId="3" fillId="0" borderId="0" xfId="0" applyFont="1"/>
    <xf numFmtId="166" fontId="0" fillId="0" borderId="0" xfId="0" applyNumberFormat="1"/>
    <xf numFmtId="0" fontId="0" fillId="0" borderId="0" xfId="0" applyAlignment="1">
      <alignment horizontal="center"/>
    </xf>
    <xf numFmtId="0" fontId="7" fillId="0" borderId="0" xfId="0" applyFont="1" applyAlignment="1">
      <alignment horizontal="center"/>
    </xf>
    <xf numFmtId="0" fontId="3" fillId="0" borderId="0" xfId="0" applyFont="1" applyBorder="1" applyAlignment="1">
      <alignment horizontal="center"/>
    </xf>
    <xf numFmtId="0" fontId="0" fillId="0" borderId="1" xfId="0" applyBorder="1"/>
    <xf numFmtId="0" fontId="0" fillId="0" borderId="2" xfId="0" applyBorder="1"/>
    <xf numFmtId="0" fontId="3" fillId="0" borderId="3" xfId="0" applyFont="1" applyBorder="1" applyAlignment="1">
      <alignment horizontal="center"/>
    </xf>
    <xf numFmtId="0" fontId="3" fillId="0" borderId="4" xfId="0" applyFont="1" applyBorder="1"/>
    <xf numFmtId="0" fontId="3" fillId="0" borderId="5" xfId="0" applyFont="1" applyBorder="1" applyAlignment="1">
      <alignment horizontal="center"/>
    </xf>
    <xf numFmtId="0" fontId="3" fillId="0" borderId="6" xfId="0" applyFont="1" applyBorder="1"/>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xf>
    <xf numFmtId="166" fontId="3" fillId="0" borderId="0" xfId="0" applyNumberFormat="1" applyFont="1" applyBorder="1"/>
    <xf numFmtId="166" fontId="10" fillId="0" borderId="0" xfId="0" applyNumberFormat="1" applyFont="1" applyBorder="1"/>
    <xf numFmtId="166" fontId="0" fillId="0" borderId="10" xfId="0" applyNumberFormat="1" applyBorder="1"/>
    <xf numFmtId="166" fontId="0" fillId="0" borderId="11" xfId="0" applyNumberFormat="1" applyBorder="1"/>
    <xf numFmtId="166" fontId="0" fillId="0" borderId="12" xfId="0" applyNumberFormat="1" applyBorder="1"/>
    <xf numFmtId="0" fontId="3" fillId="0" borderId="13" xfId="0" applyFont="1" applyBorder="1"/>
    <xf numFmtId="0" fontId="3" fillId="0" borderId="14" xfId="0" applyFont="1" applyBorder="1"/>
    <xf numFmtId="166" fontId="0" fillId="0" borderId="15" xfId="0" applyNumberFormat="1" applyBorder="1"/>
    <xf numFmtId="166" fontId="0" fillId="0" borderId="16" xfId="0" applyNumberFormat="1" applyBorder="1"/>
    <xf numFmtId="0" fontId="3" fillId="0" borderId="17" xfId="0" applyFont="1" applyBorder="1"/>
    <xf numFmtId="166" fontId="0" fillId="0" borderId="18" xfId="0" applyNumberFormat="1" applyBorder="1"/>
    <xf numFmtId="166" fontId="10" fillId="0" borderId="19" xfId="0" applyNumberFormat="1" applyFont="1" applyBorder="1" applyAlignment="1">
      <alignment horizontal="center"/>
    </xf>
    <xf numFmtId="166" fontId="10" fillId="0" borderId="20" xfId="0" applyNumberFormat="1" applyFont="1" applyBorder="1" applyAlignment="1">
      <alignment horizontal="center"/>
    </xf>
    <xf numFmtId="166" fontId="10" fillId="0" borderId="21" xfId="0" applyNumberFormat="1" applyFont="1" applyBorder="1" applyAlignment="1">
      <alignment horizontal="center"/>
    </xf>
    <xf numFmtId="166" fontId="10" fillId="0" borderId="22" xfId="0" applyNumberFormat="1" applyFont="1" applyBorder="1" applyAlignment="1">
      <alignment horizontal="center"/>
    </xf>
    <xf numFmtId="166" fontId="10" fillId="0" borderId="23" xfId="0" applyNumberFormat="1" applyFont="1" applyBorder="1" applyAlignment="1">
      <alignment horizontal="center"/>
    </xf>
    <xf numFmtId="166" fontId="10" fillId="0" borderId="24" xfId="0" applyNumberFormat="1" applyFont="1" applyBorder="1" applyAlignment="1">
      <alignment horizontal="center"/>
    </xf>
    <xf numFmtId="0" fontId="10" fillId="0" borderId="25" xfId="0" applyFont="1" applyBorder="1" applyAlignment="1">
      <alignment horizontal="center"/>
    </xf>
    <xf numFmtId="0" fontId="10" fillId="0" borderId="26" xfId="0" applyFont="1" applyBorder="1" applyAlignment="1">
      <alignment horizontal="center"/>
    </xf>
    <xf numFmtId="0" fontId="10" fillId="0" borderId="27" xfId="0" applyFont="1" applyBorder="1" applyAlignment="1">
      <alignment horizontal="center"/>
    </xf>
    <xf numFmtId="0" fontId="3" fillId="0" borderId="28" xfId="0" applyFont="1" applyBorder="1"/>
    <xf numFmtId="0" fontId="3" fillId="0" borderId="29" xfId="0" applyFont="1" applyBorder="1"/>
    <xf numFmtId="0" fontId="3" fillId="0" borderId="30" xfId="0" applyFont="1" applyBorder="1"/>
    <xf numFmtId="0" fontId="0" fillId="2" borderId="12" xfId="0" applyFill="1" applyBorder="1" applyProtection="1">
      <protection locked="0"/>
    </xf>
    <xf numFmtId="0" fontId="0" fillId="2" borderId="10" xfId="0" applyFill="1" applyBorder="1" applyProtection="1">
      <protection locked="0"/>
    </xf>
    <xf numFmtId="0" fontId="0" fillId="2" borderId="31" xfId="0" applyFill="1" applyBorder="1" applyProtection="1">
      <protection locked="0"/>
    </xf>
    <xf numFmtId="0" fontId="0" fillId="2" borderId="32" xfId="0" applyFill="1" applyBorder="1" applyProtection="1">
      <protection locked="0"/>
    </xf>
    <xf numFmtId="0" fontId="0" fillId="2" borderId="33" xfId="0" applyFill="1" applyBorder="1" applyProtection="1">
      <protection locked="0"/>
    </xf>
    <xf numFmtId="0" fontId="0" fillId="2" borderId="34" xfId="0" applyFill="1" applyBorder="1" applyProtection="1">
      <protection locked="0"/>
    </xf>
    <xf numFmtId="0" fontId="6" fillId="2" borderId="10" xfId="0" applyFont="1" applyFill="1" applyBorder="1" applyProtection="1">
      <protection locked="0"/>
    </xf>
    <xf numFmtId="0" fontId="0" fillId="2" borderId="15" xfId="0" applyFill="1" applyBorder="1" applyProtection="1">
      <protection locked="0"/>
    </xf>
    <xf numFmtId="2" fontId="1" fillId="3" borderId="17" xfId="0" applyNumberFormat="1" applyFont="1" applyFill="1" applyBorder="1" applyProtection="1">
      <protection locked="0"/>
    </xf>
    <xf numFmtId="2" fontId="1" fillId="3" borderId="35" xfId="0" applyNumberFormat="1" applyFont="1" applyFill="1" applyBorder="1" applyProtection="1">
      <protection locked="0"/>
    </xf>
    <xf numFmtId="0" fontId="0" fillId="2" borderId="36" xfId="0" applyFill="1" applyBorder="1" applyProtection="1">
      <protection locked="0"/>
    </xf>
    <xf numFmtId="0" fontId="6" fillId="2" borderId="37" xfId="0" applyFont="1" applyFill="1" applyBorder="1" applyProtection="1">
      <protection locked="0"/>
    </xf>
    <xf numFmtId="0" fontId="0" fillId="2" borderId="38" xfId="0" applyFill="1" applyBorder="1" applyProtection="1">
      <protection locked="0"/>
    </xf>
    <xf numFmtId="0" fontId="0" fillId="2" borderId="39" xfId="0" applyFill="1" applyBorder="1" applyProtection="1">
      <protection locked="0"/>
    </xf>
    <xf numFmtId="2" fontId="1" fillId="3" borderId="40" xfId="0" applyNumberFormat="1" applyFont="1" applyFill="1" applyBorder="1" applyProtection="1">
      <protection locked="0"/>
    </xf>
    <xf numFmtId="2" fontId="1" fillId="3" borderId="41" xfId="0" applyNumberFormat="1" applyFont="1" applyFill="1" applyBorder="1" applyProtection="1">
      <protection locked="0"/>
    </xf>
    <xf numFmtId="0" fontId="0" fillId="2" borderId="42" xfId="0" applyFill="1" applyBorder="1" applyProtection="1">
      <protection locked="0"/>
    </xf>
    <xf numFmtId="0" fontId="6" fillId="2" borderId="43" xfId="0" applyFont="1" applyFill="1" applyBorder="1" applyProtection="1">
      <protection locked="0"/>
    </xf>
    <xf numFmtId="0" fontId="3" fillId="0" borderId="8" xfId="0" applyFont="1" applyBorder="1" applyAlignment="1">
      <alignment horizontal="center"/>
    </xf>
    <xf numFmtId="0" fontId="0" fillId="0" borderId="44" xfId="0" applyBorder="1"/>
    <xf numFmtId="0" fontId="4" fillId="0" borderId="45" xfId="0" applyFont="1" applyBorder="1" applyAlignment="1">
      <alignment horizontal="center"/>
    </xf>
    <xf numFmtId="0" fontId="4" fillId="0" borderId="46" xfId="0" applyFont="1" applyBorder="1" applyAlignment="1">
      <alignment horizontal="center"/>
    </xf>
    <xf numFmtId="0" fontId="0" fillId="0" borderId="12" xfId="0" applyBorder="1" applyAlignment="1">
      <alignment horizontal="center"/>
    </xf>
    <xf numFmtId="0" fontId="0" fillId="0" borderId="47" xfId="0" applyBorder="1" applyAlignment="1">
      <alignment horizontal="center"/>
    </xf>
    <xf numFmtId="0" fontId="0" fillId="0" borderId="10" xfId="0" applyBorder="1" applyAlignment="1">
      <alignment horizontal="center"/>
    </xf>
    <xf numFmtId="0" fontId="0" fillId="0" borderId="48" xfId="0" applyBorder="1" applyAlignment="1">
      <alignment horizontal="center"/>
    </xf>
    <xf numFmtId="0" fontId="0" fillId="0" borderId="31" xfId="0" applyBorder="1" applyAlignment="1">
      <alignment horizontal="center"/>
    </xf>
    <xf numFmtId="0" fontId="0" fillId="0" borderId="49" xfId="0" applyBorder="1" applyAlignment="1">
      <alignment horizontal="center"/>
    </xf>
    <xf numFmtId="0" fontId="18" fillId="0" borderId="0" xfId="0" applyFont="1" applyAlignment="1">
      <alignment horizontal="right" vertical="top"/>
    </xf>
    <xf numFmtId="0" fontId="6" fillId="2" borderId="50" xfId="0" applyFont="1" applyFill="1" applyBorder="1" applyProtection="1">
      <protection locked="0"/>
    </xf>
    <xf numFmtId="0" fontId="6" fillId="2" borderId="31" xfId="0" applyFont="1" applyFill="1" applyBorder="1" applyProtection="1">
      <protection locked="0"/>
    </xf>
    <xf numFmtId="0" fontId="0" fillId="2" borderId="17" xfId="0" applyFill="1" applyBorder="1" applyProtection="1">
      <protection locked="0"/>
    </xf>
    <xf numFmtId="0" fontId="0" fillId="2" borderId="13" xfId="0" applyFill="1" applyBorder="1" applyProtection="1">
      <protection locked="0"/>
    </xf>
    <xf numFmtId="0" fontId="0" fillId="2" borderId="47" xfId="0" applyFill="1" applyBorder="1" applyProtection="1">
      <protection locked="0"/>
    </xf>
    <xf numFmtId="0" fontId="0" fillId="2" borderId="48" xfId="0" applyFill="1" applyBorder="1" applyProtection="1">
      <protection locked="0"/>
    </xf>
    <xf numFmtId="0" fontId="0" fillId="2" borderId="49" xfId="0" applyFill="1" applyBorder="1" applyAlignment="1" applyProtection="1">
      <alignment horizontal="right"/>
      <protection locked="0"/>
    </xf>
    <xf numFmtId="0" fontId="0" fillId="2" borderId="40" xfId="0" applyFill="1" applyBorder="1" applyProtection="1">
      <protection locked="0"/>
    </xf>
    <xf numFmtId="0" fontId="7" fillId="0" borderId="0" xfId="0" applyFont="1" applyAlignment="1" applyProtection="1">
      <alignment horizontal="center"/>
    </xf>
    <xf numFmtId="0" fontId="7" fillId="0" borderId="51" xfId="0" applyFont="1" applyBorder="1" applyAlignment="1" applyProtection="1">
      <alignment horizontal="center"/>
    </xf>
    <xf numFmtId="0" fontId="3" fillId="0" borderId="52" xfId="0" applyFont="1" applyFill="1" applyBorder="1" applyAlignment="1" applyProtection="1">
      <alignment horizontal="center"/>
    </xf>
    <xf numFmtId="0" fontId="7" fillId="0" borderId="53" xfId="0" applyFont="1" applyBorder="1" applyAlignment="1" applyProtection="1">
      <alignment horizontal="center"/>
    </xf>
    <xf numFmtId="0" fontId="0" fillId="0" borderId="6" xfId="0" applyBorder="1" applyProtection="1"/>
    <xf numFmtId="0" fontId="3" fillId="0" borderId="4" xfId="0" applyFont="1" applyBorder="1" applyAlignment="1" applyProtection="1">
      <alignment horizontal="center"/>
    </xf>
    <xf numFmtId="0" fontId="3" fillId="0" borderId="0" xfId="0" applyFont="1" applyBorder="1" applyAlignment="1" applyProtection="1">
      <alignment horizontal="center"/>
    </xf>
    <xf numFmtId="0" fontId="3" fillId="0" borderId="54" xfId="0" applyFont="1" applyBorder="1" applyAlignment="1" applyProtection="1">
      <alignment horizontal="center"/>
    </xf>
    <xf numFmtId="0" fontId="0" fillId="0" borderId="0" xfId="0" applyBorder="1" applyAlignment="1" applyProtection="1"/>
    <xf numFmtId="0" fontId="3" fillId="0" borderId="55" xfId="0" applyFont="1" applyFill="1" applyBorder="1" applyAlignment="1" applyProtection="1">
      <alignment horizontal="center"/>
    </xf>
    <xf numFmtId="0" fontId="0" fillId="0" borderId="56" xfId="0" applyBorder="1" applyAlignment="1" applyProtection="1">
      <alignment horizontal="center"/>
    </xf>
    <xf numFmtId="0" fontId="3" fillId="0" borderId="6" xfId="0" applyFont="1" applyBorder="1" applyProtection="1"/>
    <xf numFmtId="0" fontId="3" fillId="0" borderId="55" xfId="0" applyFont="1" applyBorder="1" applyAlignment="1" applyProtection="1">
      <alignment horizontal="center"/>
    </xf>
    <xf numFmtId="0" fontId="3" fillId="0" borderId="56" xfId="0" applyFont="1" applyBorder="1" applyAlignment="1" applyProtection="1">
      <alignment horizontal="center"/>
    </xf>
    <xf numFmtId="0" fontId="4" fillId="0" borderId="0" xfId="0" applyFont="1" applyAlignment="1" applyProtection="1">
      <alignment horizontal="center"/>
    </xf>
    <xf numFmtId="0" fontId="0" fillId="0" borderId="57" xfId="0" applyBorder="1" applyProtection="1"/>
    <xf numFmtId="0" fontId="3"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58" xfId="0" applyFont="1" applyBorder="1" applyAlignment="1" applyProtection="1">
      <alignment horizontal="center"/>
    </xf>
    <xf numFmtId="0" fontId="3" fillId="0" borderId="59" xfId="0" applyFont="1" applyBorder="1" applyAlignment="1" applyProtection="1">
      <alignment horizontal="center"/>
    </xf>
    <xf numFmtId="0" fontId="3" fillId="0" borderId="60" xfId="0" applyFont="1" applyBorder="1" applyAlignment="1" applyProtection="1">
      <alignment horizontal="center"/>
    </xf>
    <xf numFmtId="0" fontId="3" fillId="0" borderId="30" xfId="0" applyFont="1" applyBorder="1" applyProtection="1"/>
    <xf numFmtId="0" fontId="3" fillId="0" borderId="0" xfId="0" applyFont="1" applyProtection="1"/>
    <xf numFmtId="0" fontId="3" fillId="0" borderId="28" xfId="0" applyFont="1" applyBorder="1" applyProtection="1"/>
    <xf numFmtId="0" fontId="3" fillId="0" borderId="29" xfId="0" applyFont="1" applyBorder="1" applyProtection="1"/>
    <xf numFmtId="0" fontId="3" fillId="0" borderId="30" xfId="0" applyFont="1" applyBorder="1" applyAlignment="1" applyProtection="1"/>
    <xf numFmtId="0" fontId="3" fillId="0" borderId="12" xfId="0" applyFont="1" applyBorder="1" applyAlignment="1" applyProtection="1"/>
    <xf numFmtId="0" fontId="3" fillId="0" borderId="17" xfId="0" applyFont="1" applyBorder="1" applyAlignment="1" applyProtection="1"/>
    <xf numFmtId="0" fontId="3" fillId="0" borderId="32" xfId="0" applyFont="1" applyBorder="1" applyAlignment="1" applyProtection="1"/>
    <xf numFmtId="0" fontId="3" fillId="0" borderId="13" xfId="0" applyFont="1" applyBorder="1" applyAlignment="1" applyProtection="1"/>
    <xf numFmtId="0" fontId="3" fillId="0" borderId="10" xfId="0" applyFont="1" applyBorder="1" applyAlignment="1" applyProtection="1"/>
    <xf numFmtId="0" fontId="3" fillId="0" borderId="33" xfId="0" applyFont="1" applyBorder="1" applyAlignment="1" applyProtection="1"/>
    <xf numFmtId="0" fontId="3" fillId="0" borderId="40" xfId="0" applyFont="1" applyBorder="1" applyAlignment="1" applyProtection="1"/>
    <xf numFmtId="0" fontId="3" fillId="0" borderId="31" xfId="0" applyFont="1" applyBorder="1" applyAlignment="1" applyProtection="1"/>
    <xf numFmtId="0" fontId="3" fillId="0" borderId="34" xfId="0" applyFont="1" applyBorder="1" applyProtection="1"/>
    <xf numFmtId="0" fontId="0" fillId="0" borderId="31" xfId="0" applyBorder="1" applyProtection="1"/>
    <xf numFmtId="0" fontId="4" fillId="0" borderId="0" xfId="0" applyFont="1" applyAlignment="1" applyProtection="1"/>
    <xf numFmtId="0" fontId="7" fillId="0" borderId="0" xfId="0" applyFont="1" applyAlignment="1" applyProtection="1">
      <alignment horizontal="left"/>
    </xf>
    <xf numFmtId="0" fontId="0" fillId="0" borderId="51" xfId="0" applyBorder="1" applyProtection="1"/>
    <xf numFmtId="0" fontId="3" fillId="0" borderId="61" xfId="0" applyFont="1" applyBorder="1" applyAlignment="1" applyProtection="1">
      <alignment horizontal="center"/>
    </xf>
    <xf numFmtId="0" fontId="3" fillId="0" borderId="62" xfId="0" applyFont="1" applyBorder="1" applyAlignment="1" applyProtection="1">
      <alignment horizontal="center"/>
    </xf>
    <xf numFmtId="0" fontId="3" fillId="0" borderId="8" xfId="0" applyFont="1" applyBorder="1" applyAlignment="1" applyProtection="1">
      <alignment horizontal="center"/>
    </xf>
    <xf numFmtId="0" fontId="0" fillId="0" borderId="44" xfId="0" applyBorder="1" applyProtection="1"/>
    <xf numFmtId="0" fontId="3" fillId="0" borderId="45" xfId="0" applyFont="1" applyBorder="1" applyAlignment="1" applyProtection="1">
      <alignment horizontal="center"/>
    </xf>
    <xf numFmtId="0" fontId="15" fillId="0" borderId="45" xfId="0" applyFont="1" applyBorder="1" applyAlignment="1" applyProtection="1">
      <alignment horizontal="center"/>
    </xf>
    <xf numFmtId="0" fontId="3" fillId="0" borderId="46" xfId="0" applyFont="1" applyBorder="1" applyAlignment="1" applyProtection="1">
      <alignment horizontal="center"/>
    </xf>
    <xf numFmtId="0" fontId="3" fillId="0" borderId="63" xfId="0" applyFont="1" applyBorder="1" applyProtection="1"/>
    <xf numFmtId="166" fontId="0" fillId="0" borderId="50" xfId="0" applyNumberFormat="1" applyBorder="1" applyProtection="1"/>
    <xf numFmtId="166" fontId="0" fillId="0" borderId="48" xfId="0" applyNumberFormat="1" applyBorder="1" applyAlignment="1" applyProtection="1"/>
    <xf numFmtId="0" fontId="2" fillId="0" borderId="0" xfId="0" applyFont="1" applyProtection="1"/>
    <xf numFmtId="166" fontId="0" fillId="0" borderId="10" xfId="0" applyNumberFormat="1" applyBorder="1" applyProtection="1"/>
    <xf numFmtId="166" fontId="0" fillId="0" borderId="10" xfId="0" applyNumberFormat="1" applyBorder="1" applyAlignment="1" applyProtection="1">
      <alignment horizontal="center"/>
    </xf>
    <xf numFmtId="166" fontId="0" fillId="0" borderId="48" xfId="0" applyNumberFormat="1" applyBorder="1" applyAlignment="1" applyProtection="1">
      <alignment horizontal="center"/>
    </xf>
    <xf numFmtId="166" fontId="0" fillId="0" borderId="31" xfId="0" applyNumberFormat="1" applyBorder="1" applyProtection="1"/>
    <xf numFmtId="166" fontId="0" fillId="0" borderId="0" xfId="0" applyNumberFormat="1" applyProtection="1"/>
    <xf numFmtId="0" fontId="3" fillId="0" borderId="12" xfId="0" applyFont="1" applyBorder="1" applyProtection="1"/>
    <xf numFmtId="0" fontId="0" fillId="0" borderId="47" xfId="0" applyFill="1" applyBorder="1" applyAlignment="1" applyProtection="1"/>
    <xf numFmtId="0" fontId="3" fillId="0" borderId="28" xfId="0" applyFont="1" applyBorder="1" applyAlignment="1" applyProtection="1"/>
    <xf numFmtId="0" fontId="3" fillId="0" borderId="10" xfId="0" applyFont="1" applyBorder="1" applyProtection="1"/>
    <xf numFmtId="0" fontId="6" fillId="0" borderId="48" xfId="0" applyFont="1" applyBorder="1" applyAlignment="1" applyProtection="1"/>
    <xf numFmtId="0" fontId="0" fillId="0" borderId="64" xfId="0" applyBorder="1" applyProtection="1"/>
    <xf numFmtId="168" fontId="0" fillId="0" borderId="10" xfId="0" applyNumberFormat="1" applyBorder="1" applyProtection="1"/>
    <xf numFmtId="0" fontId="0" fillId="0" borderId="65" xfId="0" applyBorder="1" applyProtection="1"/>
    <xf numFmtId="0" fontId="0" fillId="0" borderId="66" xfId="0" applyBorder="1" applyProtection="1"/>
    <xf numFmtId="168" fontId="0" fillId="0" borderId="31" xfId="0" applyNumberFormat="1" applyBorder="1" applyProtection="1"/>
    <xf numFmtId="0" fontId="0" fillId="0" borderId="45" xfId="0" applyBorder="1" applyProtection="1"/>
    <xf numFmtId="0" fontId="0" fillId="0" borderId="46" xfId="0" applyBorder="1" applyProtection="1"/>
    <xf numFmtId="0" fontId="0" fillId="0" borderId="0" xfId="0" applyBorder="1" applyProtection="1"/>
    <xf numFmtId="0" fontId="3" fillId="0" borderId="0" xfId="0" applyFont="1" applyBorder="1" applyAlignment="1" applyProtection="1"/>
    <xf numFmtId="166" fontId="0" fillId="0" borderId="49" xfId="0" applyNumberFormat="1" applyBorder="1" applyAlignment="1" applyProtection="1"/>
    <xf numFmtId="0" fontId="4" fillId="0" borderId="53" xfId="0" applyFont="1" applyBorder="1" applyAlignment="1" applyProtection="1"/>
    <xf numFmtId="0" fontId="0" fillId="0" borderId="67" xfId="0" applyBorder="1" applyProtection="1"/>
    <xf numFmtId="0" fontId="3" fillId="0" borderId="58" xfId="0" applyFont="1" applyBorder="1" applyAlignment="1" applyProtection="1">
      <alignment horizontal="right"/>
    </xf>
    <xf numFmtId="166" fontId="0" fillId="0" borderId="12" xfId="0" applyNumberFormat="1" applyBorder="1" applyAlignment="1" applyProtection="1">
      <alignment horizontal="right"/>
    </xf>
    <xf numFmtId="0" fontId="0" fillId="0" borderId="12" xfId="0" applyBorder="1" applyAlignment="1" applyProtection="1">
      <alignment horizontal="right"/>
    </xf>
    <xf numFmtId="166" fontId="0" fillId="0" borderId="47" xfId="0" applyNumberFormat="1" applyBorder="1" applyAlignment="1" applyProtection="1">
      <alignment horizontal="right"/>
    </xf>
    <xf numFmtId="166" fontId="0" fillId="0" borderId="31" xfId="0" applyNumberFormat="1" applyBorder="1" applyAlignment="1" applyProtection="1">
      <alignment horizontal="right"/>
    </xf>
    <xf numFmtId="0" fontId="0" fillId="0" borderId="31" xfId="0" applyBorder="1" applyAlignment="1" applyProtection="1">
      <alignment horizontal="right"/>
    </xf>
    <xf numFmtId="166" fontId="0" fillId="0" borderId="49" xfId="0" applyNumberFormat="1" applyBorder="1" applyAlignment="1" applyProtection="1">
      <alignment horizontal="right"/>
    </xf>
    <xf numFmtId="0" fontId="0" fillId="0" borderId="0" xfId="0" applyAlignment="1" applyProtection="1">
      <alignment horizontal="right"/>
    </xf>
    <xf numFmtId="0" fontId="10" fillId="0" borderId="0" xfId="0" applyFont="1" applyProtection="1"/>
    <xf numFmtId="0" fontId="3" fillId="0" borderId="0" xfId="0" applyFont="1" applyAlignment="1" applyProtection="1">
      <alignment horizontal="center"/>
    </xf>
    <xf numFmtId="0" fontId="3" fillId="0" borderId="52" xfId="0" applyFont="1" applyBorder="1" applyAlignment="1" applyProtection="1">
      <alignment horizontal="center"/>
    </xf>
    <xf numFmtId="0" fontId="3" fillId="0" borderId="68" xfId="0" applyFont="1" applyBorder="1" applyAlignment="1" applyProtection="1">
      <alignment horizontal="center"/>
    </xf>
    <xf numFmtId="0" fontId="3" fillId="0" borderId="69" xfId="0" applyFont="1" applyBorder="1" applyAlignment="1" applyProtection="1">
      <alignment horizontal="center"/>
    </xf>
    <xf numFmtId="0" fontId="3" fillId="0" borderId="53" xfId="0" applyFont="1" applyBorder="1" applyAlignment="1" applyProtection="1">
      <alignment horizontal="center"/>
    </xf>
    <xf numFmtId="0" fontId="0" fillId="0" borderId="12" xfId="0" applyBorder="1" applyProtection="1"/>
    <xf numFmtId="3" fontId="0" fillId="0" borderId="12" xfId="0" applyNumberFormat="1" applyBorder="1" applyProtection="1"/>
    <xf numFmtId="0" fontId="0" fillId="0" borderId="10" xfId="0" applyBorder="1" applyAlignment="1" applyProtection="1">
      <alignment horizontal="right"/>
    </xf>
    <xf numFmtId="3" fontId="0" fillId="0" borderId="31" xfId="0" applyNumberFormat="1" applyBorder="1" applyProtection="1"/>
    <xf numFmtId="0" fontId="6" fillId="0" borderId="12" xfId="0" applyFont="1" applyBorder="1" applyAlignment="1" applyProtection="1">
      <alignment horizontal="center"/>
    </xf>
    <xf numFmtId="168" fontId="6" fillId="0" borderId="70" xfId="0" applyNumberFormat="1" applyFont="1" applyBorder="1" applyAlignment="1" applyProtection="1">
      <alignment horizontal="center"/>
    </xf>
    <xf numFmtId="0" fontId="6" fillId="0" borderId="10" xfId="0" applyFont="1" applyBorder="1" applyAlignment="1" applyProtection="1">
      <alignment horizontal="center"/>
    </xf>
    <xf numFmtId="0" fontId="6" fillId="0" borderId="48" xfId="0" applyFont="1" applyBorder="1" applyAlignment="1" applyProtection="1">
      <alignment horizontal="center"/>
    </xf>
    <xf numFmtId="0" fontId="3" fillId="0" borderId="0" xfId="0" quotePrefix="1" applyFont="1" applyProtection="1"/>
    <xf numFmtId="0" fontId="6" fillId="0" borderId="10" xfId="0" applyFont="1" applyFill="1" applyBorder="1" applyAlignment="1" applyProtection="1">
      <alignment horizontal="center"/>
    </xf>
    <xf numFmtId="0" fontId="6" fillId="0" borderId="48" xfId="0" applyFont="1" applyFill="1" applyBorder="1" applyAlignment="1" applyProtection="1">
      <alignment horizontal="center"/>
    </xf>
    <xf numFmtId="168" fontId="6" fillId="0" borderId="47" xfId="0" applyNumberFormat="1" applyFont="1" applyBorder="1" applyAlignment="1" applyProtection="1">
      <alignment horizontal="center"/>
    </xf>
    <xf numFmtId="0" fontId="6" fillId="0" borderId="31" xfId="0" applyFont="1" applyBorder="1" applyAlignment="1" applyProtection="1">
      <alignment horizontal="center"/>
    </xf>
    <xf numFmtId="0" fontId="6" fillId="0" borderId="49" xfId="0" applyFont="1" applyBorder="1" applyAlignment="1" applyProtection="1">
      <alignment horizontal="center"/>
    </xf>
    <xf numFmtId="0" fontId="20" fillId="0" borderId="0" xfId="0" applyFont="1" applyAlignment="1">
      <alignment horizontal="center"/>
    </xf>
    <xf numFmtId="170" fontId="16" fillId="0" borderId="0" xfId="0" applyNumberFormat="1" applyFont="1" applyAlignment="1">
      <alignment horizontal="center"/>
    </xf>
    <xf numFmtId="0" fontId="14" fillId="0" borderId="0" xfId="0" applyFont="1" applyAlignment="1"/>
    <xf numFmtId="0" fontId="0" fillId="0" borderId="0" xfId="0" applyAlignment="1"/>
    <xf numFmtId="0" fontId="7" fillId="0" borderId="0" xfId="0" applyFont="1" applyAlignment="1">
      <alignment horizontal="center"/>
    </xf>
    <xf numFmtId="0" fontId="0" fillId="0" borderId="0" xfId="0" applyAlignment="1">
      <alignment wrapText="1"/>
    </xf>
    <xf numFmtId="0" fontId="13" fillId="0" borderId="0" xfId="0" applyFont="1" applyAlignment="1">
      <alignment wrapText="1"/>
    </xf>
    <xf numFmtId="0" fontId="7" fillId="0" borderId="0" xfId="0" applyFont="1" applyAlignment="1" applyProtection="1">
      <alignment horizontal="center"/>
    </xf>
    <xf numFmtId="0" fontId="3" fillId="0" borderId="30" xfId="0" applyFont="1" applyBorder="1" applyAlignment="1" applyProtection="1"/>
    <xf numFmtId="0" fontId="3" fillId="0" borderId="12" xfId="0" applyFont="1" applyBorder="1" applyAlignment="1" applyProtection="1"/>
    <xf numFmtId="0" fontId="3" fillId="0" borderId="28" xfId="0" applyFont="1" applyFill="1" applyBorder="1" applyAlignment="1" applyProtection="1"/>
    <xf numFmtId="0" fontId="3" fillId="0" borderId="10" xfId="0" applyFont="1" applyFill="1" applyBorder="1" applyAlignment="1" applyProtection="1"/>
    <xf numFmtId="0" fontId="3" fillId="0" borderId="4" xfId="0" applyFont="1" applyFill="1" applyBorder="1" applyAlignment="1" applyProtection="1">
      <alignment horizontal="center"/>
    </xf>
    <xf numFmtId="0" fontId="0" fillId="0" borderId="0" xfId="0" applyBorder="1" applyAlignment="1" applyProtection="1"/>
    <xf numFmtId="0" fontId="0" fillId="0" borderId="54" xfId="0" applyBorder="1" applyAlignment="1" applyProtection="1"/>
    <xf numFmtId="0" fontId="6" fillId="0" borderId="0" xfId="0" applyFont="1" applyBorder="1" applyAlignment="1" applyProtection="1">
      <alignment vertical="center" wrapText="1"/>
    </xf>
    <xf numFmtId="0" fontId="0" fillId="0" borderId="0" xfId="0" applyBorder="1" applyAlignment="1" applyProtection="1">
      <alignment vertical="center" wrapText="1"/>
    </xf>
    <xf numFmtId="0" fontId="3" fillId="0" borderId="29" xfId="0" applyFont="1" applyFill="1" applyBorder="1" applyAlignment="1" applyProtection="1"/>
    <xf numFmtId="0" fontId="3" fillId="0" borderId="31" xfId="0" applyFont="1" applyFill="1" applyBorder="1" applyAlignment="1" applyProtection="1"/>
    <xf numFmtId="0" fontId="4" fillId="0" borderId="68" xfId="0" applyFont="1" applyBorder="1" applyAlignment="1" applyProtection="1">
      <alignment horizontal="center"/>
    </xf>
    <xf numFmtId="0" fontId="4" fillId="0" borderId="61" xfId="0" applyFont="1" applyBorder="1" applyAlignment="1" applyProtection="1">
      <alignment horizontal="center"/>
    </xf>
    <xf numFmtId="0" fontId="4" fillId="0" borderId="69" xfId="0" applyFont="1" applyBorder="1" applyAlignment="1" applyProtection="1">
      <alignment horizontal="center"/>
    </xf>
    <xf numFmtId="0" fontId="3" fillId="0" borderId="72" xfId="0" applyFont="1" applyBorder="1" applyAlignment="1" applyProtection="1">
      <alignment horizontal="center"/>
    </xf>
    <xf numFmtId="0" fontId="3" fillId="0" borderId="73" xfId="0" applyFont="1" applyBorder="1" applyAlignment="1" applyProtection="1">
      <alignment horizontal="center"/>
    </xf>
    <xf numFmtId="0" fontId="3" fillId="0" borderId="74" xfId="0" applyFont="1" applyBorder="1" applyAlignment="1" applyProtection="1">
      <alignment horizontal="center"/>
    </xf>
    <xf numFmtId="0" fontId="3" fillId="0" borderId="75" xfId="0" applyFont="1" applyBorder="1" applyAlignment="1" applyProtection="1">
      <alignment horizontal="center"/>
    </xf>
    <xf numFmtId="0" fontId="3" fillId="0" borderId="71" xfId="0" applyFont="1" applyBorder="1" applyAlignment="1" applyProtection="1">
      <alignment horizontal="center"/>
    </xf>
    <xf numFmtId="0" fontId="4" fillId="0" borderId="0" xfId="0" applyFont="1" applyAlignment="1" applyProtection="1"/>
    <xf numFmtId="0" fontId="0" fillId="2" borderId="63" xfId="0" applyFill="1" applyBorder="1" applyAlignment="1" applyProtection="1">
      <protection locked="0"/>
    </xf>
    <xf numFmtId="0" fontId="0" fillId="2" borderId="50" xfId="0" applyFill="1" applyBorder="1" applyAlignment="1" applyProtection="1">
      <protection locked="0"/>
    </xf>
    <xf numFmtId="0" fontId="0" fillId="2" borderId="70" xfId="0" applyFill="1" applyBorder="1" applyAlignment="1" applyProtection="1">
      <protection locked="0"/>
    </xf>
    <xf numFmtId="0" fontId="0" fillId="2" borderId="29" xfId="0" applyFill="1" applyBorder="1" applyAlignment="1" applyProtection="1">
      <protection locked="0"/>
    </xf>
    <xf numFmtId="0" fontId="0" fillId="2" borderId="31" xfId="0" applyFill="1" applyBorder="1" applyAlignment="1" applyProtection="1">
      <protection locked="0"/>
    </xf>
    <xf numFmtId="0" fontId="0" fillId="2" borderId="49" xfId="0" applyFill="1" applyBorder="1" applyAlignment="1" applyProtection="1">
      <protection locked="0"/>
    </xf>
    <xf numFmtId="0" fontId="0" fillId="0" borderId="0" xfId="0" applyAlignment="1" applyProtection="1">
      <alignment horizontal="center"/>
    </xf>
    <xf numFmtId="0" fontId="12" fillId="0" borderId="72" xfId="0" applyFont="1" applyBorder="1" applyAlignment="1" applyProtection="1">
      <alignment horizontal="center" vertical="center"/>
    </xf>
    <xf numFmtId="0" fontId="0" fillId="0" borderId="72" xfId="0" applyBorder="1" applyAlignment="1" applyProtection="1">
      <alignment horizontal="center"/>
    </xf>
    <xf numFmtId="0" fontId="0" fillId="0" borderId="73" xfId="0" applyBorder="1" applyAlignment="1" applyProtection="1">
      <alignment horizontal="center"/>
    </xf>
    <xf numFmtId="0" fontId="12" fillId="0" borderId="71" xfId="0" applyFont="1" applyBorder="1" applyAlignment="1" applyProtection="1">
      <alignment horizontal="center" vertical="center"/>
    </xf>
    <xf numFmtId="0" fontId="0" fillId="0" borderId="75" xfId="0" applyBorder="1" applyAlignment="1" applyProtection="1">
      <alignment horizontal="center" vertical="center"/>
    </xf>
    <xf numFmtId="0" fontId="3" fillId="0" borderId="0" xfId="0" applyFont="1" applyFill="1" applyBorder="1" applyAlignment="1" applyProtection="1">
      <alignment wrapText="1"/>
    </xf>
    <xf numFmtId="0" fontId="0" fillId="0" borderId="0" xfId="0" applyProtection="1"/>
    <xf numFmtId="0" fontId="3" fillId="0" borderId="32" xfId="0" applyFont="1" applyBorder="1" applyAlignment="1" applyProtection="1"/>
    <xf numFmtId="0" fontId="0" fillId="0" borderId="12" xfId="0" applyBorder="1" applyAlignment="1" applyProtection="1"/>
    <xf numFmtId="0" fontId="3" fillId="0" borderId="33" xfId="0" applyFont="1" applyBorder="1" applyAlignment="1" applyProtection="1"/>
    <xf numFmtId="0" fontId="0" fillId="0" borderId="10" xfId="0" applyBorder="1" applyAlignment="1" applyProtection="1"/>
    <xf numFmtId="0" fontId="3" fillId="0" borderId="34" xfId="0" applyFont="1" applyBorder="1" applyAlignment="1" applyProtection="1"/>
    <xf numFmtId="0" fontId="0" fillId="0" borderId="31" xfId="0" applyBorder="1" applyAlignment="1" applyProtection="1"/>
    <xf numFmtId="0" fontId="3" fillId="0" borderId="10" xfId="0" applyFont="1" applyBorder="1" applyAlignment="1" applyProtection="1"/>
    <xf numFmtId="0" fontId="4" fillId="0" borderId="0" xfId="0" applyFont="1" applyAlignment="1" applyProtection="1">
      <alignment horizontal="center"/>
    </xf>
    <xf numFmtId="0" fontId="0" fillId="0" borderId="61" xfId="0" applyBorder="1" applyAlignment="1" applyProtection="1">
      <alignment horizontal="center"/>
    </xf>
    <xf numFmtId="0" fontId="0" fillId="0" borderId="69" xfId="0" applyBorder="1" applyAlignment="1" applyProtection="1">
      <alignment horizontal="center"/>
    </xf>
    <xf numFmtId="0" fontId="0" fillId="0" borderId="69" xfId="0" applyBorder="1" applyAlignment="1" applyProtection="1"/>
    <xf numFmtId="0" fontId="9" fillId="0" borderId="71" xfId="0" applyFont="1" applyBorder="1" applyAlignment="1">
      <alignment horizontal="center"/>
    </xf>
    <xf numFmtId="0" fontId="9" fillId="0" borderId="73" xfId="0" applyFont="1" applyBorder="1" applyAlignment="1">
      <alignment horizontal="center"/>
    </xf>
    <xf numFmtId="0" fontId="0" fillId="0" borderId="0" xfId="0" applyAlignment="1">
      <alignment horizontal="center"/>
    </xf>
    <xf numFmtId="0" fontId="7" fillId="0" borderId="51" xfId="0" applyFont="1" applyBorder="1" applyAlignment="1">
      <alignment horizontal="center"/>
    </xf>
    <xf numFmtId="0" fontId="16" fillId="0" borderId="61" xfId="0" applyFont="1" applyBorder="1" applyAlignment="1">
      <alignment horizontal="center"/>
    </xf>
    <xf numFmtId="0" fontId="16" fillId="0" borderId="62" xfId="0" applyFont="1" applyBorder="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sqref="A1:I1"/>
    </sheetView>
  </sheetViews>
  <sheetFormatPr defaultRowHeight="13.2" x14ac:dyDescent="0.25"/>
  <sheetData>
    <row r="1" spans="1:9" ht="22.8" x14ac:dyDescent="0.4">
      <c r="A1" s="187" t="s">
        <v>249</v>
      </c>
      <c r="B1" s="187"/>
      <c r="C1" s="187"/>
      <c r="D1" s="187"/>
      <c r="E1" s="187"/>
      <c r="F1" s="187"/>
      <c r="G1" s="187"/>
      <c r="H1" s="187"/>
      <c r="I1" s="187"/>
    </row>
    <row r="2" spans="1:9" ht="40.5" customHeight="1" x14ac:dyDescent="0.4">
      <c r="A2" s="187" t="s">
        <v>309</v>
      </c>
      <c r="B2" s="187"/>
      <c r="C2" s="187"/>
      <c r="D2" s="187"/>
      <c r="E2" s="187"/>
      <c r="F2" s="187"/>
      <c r="G2" s="187"/>
      <c r="H2" s="187"/>
      <c r="I2" s="187"/>
    </row>
    <row r="3" spans="1:9" ht="41.25" customHeight="1" x14ac:dyDescent="0.3">
      <c r="A3" s="188">
        <v>37629</v>
      </c>
      <c r="B3" s="188"/>
      <c r="C3" s="188"/>
      <c r="D3" s="188"/>
      <c r="E3" s="188"/>
      <c r="F3" s="188"/>
      <c r="G3" s="188"/>
      <c r="H3" s="188"/>
      <c r="I3" s="188"/>
    </row>
  </sheetData>
  <sheetProtection password="FEA0" sheet="1" objects="1" scenarios="1"/>
  <mergeCells count="3">
    <mergeCell ref="A1:I1"/>
    <mergeCell ref="A3:I3"/>
    <mergeCell ref="A2:I2"/>
  </mergeCells>
  <phoneticPr fontId="8"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election sqref="A1:M1"/>
    </sheetView>
  </sheetViews>
  <sheetFormatPr defaultRowHeight="13.2" x14ac:dyDescent="0.25"/>
  <cols>
    <col min="13" max="13" width="13.44140625" customWidth="1"/>
  </cols>
  <sheetData>
    <row r="1" spans="1:13" ht="17.399999999999999" x14ac:dyDescent="0.3">
      <c r="A1" s="191" t="s">
        <v>312</v>
      </c>
      <c r="B1" s="191"/>
      <c r="C1" s="191"/>
      <c r="D1" s="191"/>
      <c r="E1" s="191"/>
      <c r="F1" s="191"/>
      <c r="G1" s="191"/>
      <c r="H1" s="191"/>
      <c r="I1" s="191"/>
      <c r="J1" s="191"/>
      <c r="K1" s="191"/>
      <c r="L1" s="191"/>
      <c r="M1" s="191"/>
    </row>
    <row r="2" spans="1:13" ht="39" customHeight="1" x14ac:dyDescent="0.25">
      <c r="A2" s="192" t="s">
        <v>311</v>
      </c>
      <c r="B2" s="192"/>
      <c r="C2" s="192"/>
      <c r="D2" s="192"/>
      <c r="E2" s="192"/>
      <c r="F2" s="192"/>
      <c r="G2" s="192"/>
      <c r="H2" s="192"/>
      <c r="I2" s="192"/>
      <c r="J2" s="192"/>
      <c r="K2" s="192"/>
      <c r="L2" s="192"/>
      <c r="M2" s="192"/>
    </row>
    <row r="3" spans="1:13" ht="20.25" customHeight="1" x14ac:dyDescent="0.3">
      <c r="A3" s="189" t="s">
        <v>276</v>
      </c>
      <c r="B3" s="190"/>
      <c r="C3" s="190"/>
      <c r="D3" s="190"/>
      <c r="E3" s="190"/>
      <c r="F3" s="190"/>
      <c r="G3" s="190"/>
      <c r="H3" s="190"/>
      <c r="I3" s="190"/>
      <c r="J3" s="190"/>
      <c r="K3" s="190"/>
      <c r="L3" s="190"/>
      <c r="M3" s="190"/>
    </row>
    <row r="4" spans="1:13" ht="27" customHeight="1" x14ac:dyDescent="0.25">
      <c r="A4" s="193" t="s">
        <v>250</v>
      </c>
      <c r="B4" s="192"/>
      <c r="C4" s="192"/>
      <c r="D4" s="192"/>
      <c r="E4" s="192"/>
      <c r="F4" s="192"/>
      <c r="G4" s="192"/>
      <c r="H4" s="192"/>
      <c r="I4" s="192"/>
      <c r="J4" s="192"/>
      <c r="K4" s="192"/>
      <c r="L4" s="192"/>
      <c r="M4" s="192"/>
    </row>
    <row r="5" spans="1:13" ht="40.5" customHeight="1" x14ac:dyDescent="0.25">
      <c r="A5" s="193" t="s">
        <v>295</v>
      </c>
      <c r="B5" s="192"/>
      <c r="C5" s="192"/>
      <c r="D5" s="192"/>
      <c r="E5" s="192"/>
      <c r="F5" s="192"/>
      <c r="G5" s="192"/>
      <c r="H5" s="192"/>
      <c r="I5" s="192"/>
      <c r="J5" s="192"/>
      <c r="K5" s="192"/>
      <c r="L5" s="192"/>
      <c r="M5" s="192"/>
    </row>
    <row r="6" spans="1:13" ht="27" customHeight="1" x14ac:dyDescent="0.25">
      <c r="A6" s="193" t="s">
        <v>251</v>
      </c>
      <c r="B6" s="192"/>
      <c r="C6" s="192"/>
      <c r="D6" s="192"/>
      <c r="E6" s="192"/>
      <c r="F6" s="192"/>
      <c r="G6" s="192"/>
      <c r="H6" s="192"/>
      <c r="I6" s="192"/>
      <c r="J6" s="192"/>
      <c r="K6" s="192"/>
      <c r="L6" s="192"/>
      <c r="M6" s="192"/>
    </row>
    <row r="7" spans="1:13" ht="12.75" customHeight="1" x14ac:dyDescent="0.25">
      <c r="A7" s="193" t="s">
        <v>293</v>
      </c>
      <c r="B7" s="192"/>
      <c r="C7" s="192"/>
      <c r="D7" s="192"/>
      <c r="E7" s="192"/>
      <c r="F7" s="192"/>
      <c r="G7" s="192"/>
      <c r="H7" s="192"/>
      <c r="I7" s="192"/>
      <c r="J7" s="192"/>
      <c r="K7" s="192"/>
      <c r="L7" s="192"/>
      <c r="M7" s="192"/>
    </row>
    <row r="8" spans="1:13" ht="27" customHeight="1" x14ac:dyDescent="0.25">
      <c r="A8" s="193" t="s">
        <v>252</v>
      </c>
      <c r="B8" s="192"/>
      <c r="C8" s="192"/>
      <c r="D8" s="192"/>
      <c r="E8" s="192"/>
      <c r="F8" s="192"/>
      <c r="G8" s="192"/>
      <c r="H8" s="192"/>
      <c r="I8" s="192"/>
      <c r="J8" s="192"/>
      <c r="K8" s="192"/>
      <c r="L8" s="192"/>
      <c r="M8" s="192"/>
    </row>
    <row r="9" spans="1:13" x14ac:dyDescent="0.25">
      <c r="A9" s="193" t="s">
        <v>253</v>
      </c>
      <c r="B9" s="192"/>
      <c r="C9" s="192"/>
      <c r="D9" s="192"/>
      <c r="E9" s="192"/>
      <c r="F9" s="192"/>
      <c r="G9" s="192"/>
      <c r="H9" s="192"/>
      <c r="I9" s="192"/>
      <c r="J9" s="192"/>
      <c r="K9" s="192"/>
      <c r="L9" s="192"/>
      <c r="M9" s="192"/>
    </row>
    <row r="10" spans="1:13" ht="27" customHeight="1" x14ac:dyDescent="0.25">
      <c r="A10" s="193" t="s">
        <v>255</v>
      </c>
      <c r="B10" s="192"/>
      <c r="C10" s="192"/>
      <c r="D10" s="192"/>
      <c r="E10" s="192"/>
      <c r="F10" s="192"/>
      <c r="G10" s="192"/>
      <c r="H10" s="192"/>
      <c r="I10" s="192"/>
      <c r="J10" s="192"/>
      <c r="K10" s="192"/>
      <c r="L10" s="192"/>
      <c r="M10" s="192"/>
    </row>
    <row r="11" spans="1:13" ht="20.25" customHeight="1" x14ac:dyDescent="0.3">
      <c r="A11" s="189" t="s">
        <v>277</v>
      </c>
      <c r="B11" s="190"/>
      <c r="C11" s="190"/>
      <c r="D11" s="190"/>
      <c r="E11" s="190"/>
      <c r="F11" s="190"/>
      <c r="G11" s="190"/>
      <c r="H11" s="190"/>
      <c r="I11" s="190"/>
      <c r="J11" s="190"/>
      <c r="K11" s="190"/>
      <c r="L11" s="190"/>
      <c r="M11" s="190"/>
    </row>
    <row r="12" spans="1:13" ht="39" customHeight="1" x14ac:dyDescent="0.25">
      <c r="A12" s="192" t="s">
        <v>281</v>
      </c>
      <c r="B12" s="192"/>
      <c r="C12" s="192"/>
      <c r="D12" s="192"/>
      <c r="E12" s="192"/>
      <c r="F12" s="192"/>
      <c r="G12" s="192"/>
      <c r="H12" s="192"/>
      <c r="I12" s="192"/>
      <c r="J12" s="192"/>
      <c r="K12" s="192"/>
      <c r="L12" s="192"/>
      <c r="M12" s="192"/>
    </row>
    <row r="13" spans="1:13" ht="20.25" customHeight="1" x14ac:dyDescent="0.3">
      <c r="A13" s="189" t="s">
        <v>278</v>
      </c>
      <c r="B13" s="190"/>
      <c r="C13" s="190"/>
      <c r="D13" s="190"/>
      <c r="E13" s="190"/>
      <c r="F13" s="190"/>
      <c r="G13" s="190"/>
      <c r="H13" s="190"/>
      <c r="I13" s="190"/>
      <c r="J13" s="190"/>
      <c r="K13" s="190"/>
      <c r="L13" s="190"/>
      <c r="M13" s="190"/>
    </row>
    <row r="14" spans="1:13" ht="25.5" customHeight="1" x14ac:dyDescent="0.25">
      <c r="A14" s="193" t="s">
        <v>310</v>
      </c>
      <c r="B14" s="192"/>
      <c r="C14" s="192"/>
      <c r="D14" s="192"/>
      <c r="E14" s="192"/>
      <c r="F14" s="192"/>
      <c r="G14" s="192"/>
      <c r="H14" s="192"/>
      <c r="I14" s="192"/>
      <c r="J14" s="192"/>
      <c r="K14" s="192"/>
      <c r="L14" s="192"/>
      <c r="M14" s="192"/>
    </row>
    <row r="15" spans="1:13" ht="28.5" customHeight="1" x14ac:dyDescent="0.25">
      <c r="A15" s="193" t="s">
        <v>308</v>
      </c>
      <c r="B15" s="192"/>
      <c r="C15" s="192"/>
      <c r="D15" s="192"/>
      <c r="E15" s="192"/>
      <c r="F15" s="192"/>
      <c r="G15" s="192"/>
      <c r="H15" s="192"/>
      <c r="I15" s="192"/>
      <c r="J15" s="192"/>
      <c r="K15" s="192"/>
      <c r="L15" s="192"/>
      <c r="M15" s="192"/>
    </row>
    <row r="16" spans="1:13" ht="20.25" customHeight="1" x14ac:dyDescent="0.3">
      <c r="A16" s="189" t="s">
        <v>279</v>
      </c>
      <c r="B16" s="190"/>
      <c r="C16" s="190"/>
      <c r="D16" s="190"/>
      <c r="E16" s="190"/>
      <c r="F16" s="190"/>
      <c r="G16" s="190"/>
      <c r="H16" s="190"/>
      <c r="I16" s="190"/>
      <c r="J16" s="190"/>
      <c r="K16" s="190"/>
      <c r="L16" s="190"/>
      <c r="M16" s="190"/>
    </row>
    <row r="17" spans="1:13" x14ac:dyDescent="0.25">
      <c r="A17" s="192" t="s">
        <v>254</v>
      </c>
      <c r="B17" s="192"/>
      <c r="C17" s="192"/>
      <c r="D17" s="192"/>
      <c r="E17" s="192"/>
      <c r="F17" s="192"/>
      <c r="G17" s="192"/>
      <c r="H17" s="192"/>
      <c r="I17" s="192"/>
      <c r="J17" s="192"/>
      <c r="K17" s="192"/>
      <c r="L17" s="192"/>
      <c r="M17" s="192"/>
    </row>
    <row r="18" spans="1:13" ht="20.25" customHeight="1" x14ac:dyDescent="0.3">
      <c r="A18" s="189" t="s">
        <v>280</v>
      </c>
      <c r="B18" s="190"/>
      <c r="C18" s="190"/>
      <c r="D18" s="190"/>
      <c r="E18" s="190"/>
      <c r="F18" s="190"/>
      <c r="G18" s="190"/>
      <c r="H18" s="190"/>
      <c r="I18" s="190"/>
      <c r="J18" s="190"/>
      <c r="K18" s="190"/>
      <c r="L18" s="190"/>
      <c r="M18" s="190"/>
    </row>
    <row r="19" spans="1:13" ht="40.5" customHeight="1" x14ac:dyDescent="0.25">
      <c r="A19" s="193" t="s">
        <v>275</v>
      </c>
      <c r="B19" s="192"/>
      <c r="C19" s="192"/>
      <c r="D19" s="192"/>
      <c r="E19" s="192"/>
      <c r="F19" s="192"/>
      <c r="G19" s="192"/>
      <c r="H19" s="192"/>
      <c r="I19" s="192"/>
      <c r="J19" s="192"/>
      <c r="K19" s="192"/>
      <c r="L19" s="192"/>
      <c r="M19" s="192"/>
    </row>
    <row r="20" spans="1:13" ht="27" customHeight="1" x14ac:dyDescent="0.25">
      <c r="A20" s="193" t="s">
        <v>294</v>
      </c>
      <c r="B20" s="192"/>
      <c r="C20" s="192"/>
      <c r="D20" s="192"/>
      <c r="E20" s="192"/>
      <c r="F20" s="192"/>
      <c r="G20" s="192"/>
      <c r="H20" s="192"/>
      <c r="I20" s="192"/>
      <c r="J20" s="192"/>
      <c r="K20" s="192"/>
      <c r="L20" s="192"/>
      <c r="M20" s="192"/>
    </row>
  </sheetData>
  <sheetProtection password="FEA0" sheet="1" objects="1" scenarios="1"/>
  <mergeCells count="20">
    <mergeCell ref="A17:M17"/>
    <mergeCell ref="A19:M19"/>
    <mergeCell ref="A20:M20"/>
    <mergeCell ref="A10:M10"/>
    <mergeCell ref="A12:M12"/>
    <mergeCell ref="A14:M14"/>
    <mergeCell ref="A15:M15"/>
    <mergeCell ref="A11:M11"/>
    <mergeCell ref="A13:M13"/>
    <mergeCell ref="A16:M16"/>
    <mergeCell ref="A18:M18"/>
    <mergeCell ref="A1:M1"/>
    <mergeCell ref="A2:M2"/>
    <mergeCell ref="A4:M4"/>
    <mergeCell ref="A5:M5"/>
    <mergeCell ref="A3:M3"/>
    <mergeCell ref="A6:M6"/>
    <mergeCell ref="A7:M7"/>
    <mergeCell ref="A8:M8"/>
    <mergeCell ref="A9:M9"/>
  </mergeCells>
  <phoneticPr fontId="8" type="noConversion"/>
  <pageMargins left="0.75" right="0.75" top="0.75" bottom="0.75"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workbookViewId="0">
      <selection sqref="A1:M1"/>
    </sheetView>
  </sheetViews>
  <sheetFormatPr defaultColWidth="9.33203125" defaultRowHeight="12.75" customHeight="1" x14ac:dyDescent="0.25"/>
  <cols>
    <col min="1" max="1" width="15.6640625" style="8" bestFit="1" customWidth="1"/>
    <col min="2" max="3" width="9.33203125" style="8" customWidth="1"/>
    <col min="4" max="4" width="14.88671875" style="8" customWidth="1"/>
    <col min="5" max="5" width="10.6640625" style="8" customWidth="1"/>
    <col min="6" max="6" width="9.88671875" style="8" customWidth="1"/>
    <col min="7" max="7" width="12" style="8" customWidth="1"/>
    <col min="8" max="8" width="12.88671875" style="8" customWidth="1"/>
    <col min="9" max="9" width="12.44140625" style="8" customWidth="1"/>
    <col min="10" max="10" width="12" style="8" customWidth="1"/>
    <col min="11" max="11" width="10.109375" style="8" customWidth="1"/>
    <col min="12" max="12" width="12.109375" style="8" bestFit="1" customWidth="1"/>
    <col min="13" max="13" width="9.88671875" style="8" bestFit="1" customWidth="1"/>
    <col min="14" max="14" width="6.6640625" style="8" bestFit="1" customWidth="1"/>
    <col min="15" max="16384" width="9.33203125" style="8"/>
  </cols>
  <sheetData>
    <row r="1" spans="1:14" ht="17.399999999999999" x14ac:dyDescent="0.3">
      <c r="A1" s="194" t="s">
        <v>207</v>
      </c>
      <c r="B1" s="194"/>
      <c r="C1" s="194"/>
      <c r="D1" s="194"/>
      <c r="E1" s="194"/>
      <c r="F1" s="194"/>
      <c r="G1" s="194"/>
      <c r="H1" s="194"/>
      <c r="I1" s="194"/>
      <c r="J1" s="194"/>
      <c r="K1" s="194"/>
      <c r="L1" s="194"/>
      <c r="M1" s="194"/>
    </row>
    <row r="2" spans="1:14" ht="54.75" customHeight="1" thickBot="1" x14ac:dyDescent="0.3">
      <c r="A2" s="202" t="s">
        <v>233</v>
      </c>
      <c r="B2" s="203"/>
      <c r="C2" s="203"/>
      <c r="D2" s="203"/>
      <c r="E2" s="203"/>
      <c r="F2" s="203"/>
      <c r="G2" s="203"/>
      <c r="H2" s="203"/>
      <c r="I2" s="203"/>
      <c r="J2" s="203"/>
      <c r="K2" s="203"/>
      <c r="L2" s="203"/>
      <c r="M2" s="203"/>
    </row>
    <row r="3" spans="1:14" ht="18" thickTop="1" x14ac:dyDescent="0.3">
      <c r="A3" s="88"/>
      <c r="B3" s="206" t="s">
        <v>229</v>
      </c>
      <c r="C3" s="207"/>
      <c r="D3" s="207"/>
      <c r="E3" s="207"/>
      <c r="F3" s="207"/>
      <c r="G3" s="207"/>
      <c r="H3" s="208"/>
      <c r="I3" s="206" t="s">
        <v>221</v>
      </c>
      <c r="J3" s="207"/>
      <c r="K3" s="208"/>
      <c r="L3" s="89" t="s">
        <v>171</v>
      </c>
      <c r="M3" s="90"/>
    </row>
    <row r="4" spans="1:14" ht="13.2" x14ac:dyDescent="0.25">
      <c r="A4" s="91"/>
      <c r="B4" s="92" t="s">
        <v>149</v>
      </c>
      <c r="C4" s="93" t="s">
        <v>161</v>
      </c>
      <c r="D4" s="93" t="s">
        <v>162</v>
      </c>
      <c r="E4" s="93" t="s">
        <v>218</v>
      </c>
      <c r="F4" s="93" t="s">
        <v>170</v>
      </c>
      <c r="G4" s="93" t="s">
        <v>153</v>
      </c>
      <c r="H4" s="94" t="s">
        <v>155</v>
      </c>
      <c r="I4" s="199" t="s">
        <v>222</v>
      </c>
      <c r="J4" s="200"/>
      <c r="K4" s="201"/>
      <c r="L4" s="96" t="s">
        <v>225</v>
      </c>
      <c r="M4" s="97"/>
    </row>
    <row r="5" spans="1:14" ht="12.75" customHeight="1" x14ac:dyDescent="0.3">
      <c r="A5" s="98" t="s">
        <v>215</v>
      </c>
      <c r="B5" s="92" t="s">
        <v>150</v>
      </c>
      <c r="C5" s="93" t="s">
        <v>217</v>
      </c>
      <c r="D5" s="93" t="s">
        <v>217</v>
      </c>
      <c r="E5" s="93" t="s">
        <v>217</v>
      </c>
      <c r="F5" s="93" t="s">
        <v>171</v>
      </c>
      <c r="G5" s="93" t="s">
        <v>154</v>
      </c>
      <c r="H5" s="94" t="s">
        <v>156</v>
      </c>
      <c r="I5" s="92" t="s">
        <v>194</v>
      </c>
      <c r="J5" s="93" t="s">
        <v>194</v>
      </c>
      <c r="K5" s="94" t="s">
        <v>219</v>
      </c>
      <c r="L5" s="99" t="s">
        <v>223</v>
      </c>
      <c r="M5" s="100" t="s">
        <v>196</v>
      </c>
      <c r="N5" s="101"/>
    </row>
    <row r="6" spans="1:14" ht="12.75" customHeight="1" thickBot="1" x14ac:dyDescent="0.3">
      <c r="A6" s="102"/>
      <c r="B6" s="103" t="s">
        <v>169</v>
      </c>
      <c r="C6" s="104" t="s">
        <v>169</v>
      </c>
      <c r="D6" s="104" t="s">
        <v>169</v>
      </c>
      <c r="E6" s="104" t="s">
        <v>169</v>
      </c>
      <c r="F6" s="104" t="s">
        <v>169</v>
      </c>
      <c r="G6" s="104" t="s">
        <v>169</v>
      </c>
      <c r="H6" s="105" t="s">
        <v>172</v>
      </c>
      <c r="I6" s="103" t="s">
        <v>161</v>
      </c>
      <c r="J6" s="104" t="s">
        <v>162</v>
      </c>
      <c r="K6" s="105" t="s">
        <v>149</v>
      </c>
      <c r="L6" s="106" t="s">
        <v>224</v>
      </c>
      <c r="M6" s="107" t="s">
        <v>195</v>
      </c>
    </row>
    <row r="7" spans="1:14" ht="12.75" customHeight="1" x14ac:dyDescent="0.25">
      <c r="A7" s="108" t="s">
        <v>140</v>
      </c>
      <c r="B7" s="51"/>
      <c r="C7" s="51"/>
      <c r="D7" s="51"/>
      <c r="E7" s="51"/>
      <c r="F7" s="51"/>
      <c r="G7" s="51"/>
      <c r="H7" s="57"/>
      <c r="I7" s="58" t="str">
        <f t="shared" ref="I7:I18" si="0">IF(OR(B7="",C7=""),"",(B7-C7)/B7*100)</f>
        <v/>
      </c>
      <c r="J7" s="58" t="str">
        <f t="shared" ref="J7:J18" si="1">IF(OR(B7="",D7=""),"",(B7-D7)/B7*100)</f>
        <v/>
      </c>
      <c r="K7" s="59" t="str">
        <f t="shared" ref="K7:K18" si="2">IF(OR(B7="",E7=""),"",(B7-E7)/B7*100)</f>
        <v/>
      </c>
      <c r="L7" s="60"/>
      <c r="M7" s="61"/>
      <c r="N7" s="109"/>
    </row>
    <row r="8" spans="1:14" ht="12.75" customHeight="1" x14ac:dyDescent="0.25">
      <c r="A8" s="110" t="s">
        <v>141</v>
      </c>
      <c r="B8" s="51"/>
      <c r="C8" s="51"/>
      <c r="D8" s="51"/>
      <c r="E8" s="51"/>
      <c r="F8" s="51"/>
      <c r="G8" s="51"/>
      <c r="H8" s="57"/>
      <c r="I8" s="58" t="str">
        <f t="shared" si="0"/>
        <v/>
      </c>
      <c r="J8" s="58" t="str">
        <f t="shared" si="1"/>
        <v/>
      </c>
      <c r="K8" s="59" t="str">
        <f t="shared" si="2"/>
        <v/>
      </c>
      <c r="L8" s="62"/>
      <c r="M8" s="61"/>
      <c r="N8" s="109"/>
    </row>
    <row r="9" spans="1:14" ht="12.75" customHeight="1" x14ac:dyDescent="0.25">
      <c r="A9" s="110" t="s">
        <v>220</v>
      </c>
      <c r="B9" s="51"/>
      <c r="C9" s="51"/>
      <c r="D9" s="51"/>
      <c r="E9" s="51"/>
      <c r="F9" s="51"/>
      <c r="G9" s="51"/>
      <c r="H9" s="57"/>
      <c r="I9" s="58" t="str">
        <f t="shared" si="0"/>
        <v/>
      </c>
      <c r="J9" s="58" t="str">
        <f t="shared" si="1"/>
        <v/>
      </c>
      <c r="K9" s="59" t="str">
        <f t="shared" si="2"/>
        <v/>
      </c>
      <c r="L9" s="62"/>
      <c r="M9" s="61"/>
    </row>
    <row r="10" spans="1:14" ht="12.75" customHeight="1" x14ac:dyDescent="0.25">
      <c r="A10" s="110" t="s">
        <v>142</v>
      </c>
      <c r="B10" s="51"/>
      <c r="C10" s="51"/>
      <c r="D10" s="51"/>
      <c r="E10" s="51"/>
      <c r="F10" s="51"/>
      <c r="G10" s="51"/>
      <c r="H10" s="57"/>
      <c r="I10" s="58" t="str">
        <f t="shared" si="0"/>
        <v/>
      </c>
      <c r="J10" s="58" t="str">
        <f t="shared" si="1"/>
        <v/>
      </c>
      <c r="K10" s="59" t="str">
        <f t="shared" si="2"/>
        <v/>
      </c>
      <c r="L10" s="62"/>
      <c r="M10" s="61"/>
    </row>
    <row r="11" spans="1:14" ht="12.75" customHeight="1" x14ac:dyDescent="0.25">
      <c r="A11" s="110" t="s">
        <v>143</v>
      </c>
      <c r="B11" s="51"/>
      <c r="C11" s="51"/>
      <c r="D11" s="51"/>
      <c r="E11" s="51"/>
      <c r="F11" s="51"/>
      <c r="G11" s="51"/>
      <c r="H11" s="57"/>
      <c r="I11" s="58" t="str">
        <f t="shared" si="0"/>
        <v/>
      </c>
      <c r="J11" s="58" t="str">
        <f t="shared" si="1"/>
        <v/>
      </c>
      <c r="K11" s="59" t="str">
        <f t="shared" si="2"/>
        <v/>
      </c>
      <c r="L11" s="62"/>
      <c r="M11" s="61"/>
    </row>
    <row r="12" spans="1:14" ht="12.75" customHeight="1" x14ac:dyDescent="0.25">
      <c r="A12" s="110" t="s">
        <v>144</v>
      </c>
      <c r="B12" s="51"/>
      <c r="C12" s="51"/>
      <c r="D12" s="51"/>
      <c r="E12" s="51"/>
      <c r="F12" s="51"/>
      <c r="G12" s="51"/>
      <c r="H12" s="57"/>
      <c r="I12" s="58" t="str">
        <f t="shared" si="0"/>
        <v/>
      </c>
      <c r="J12" s="58" t="str">
        <f t="shared" si="1"/>
        <v/>
      </c>
      <c r="K12" s="59" t="str">
        <f t="shared" si="2"/>
        <v/>
      </c>
      <c r="L12" s="62"/>
      <c r="M12" s="61"/>
    </row>
    <row r="13" spans="1:14" ht="12.75" customHeight="1" x14ac:dyDescent="0.25">
      <c r="A13" s="110" t="s">
        <v>145</v>
      </c>
      <c r="B13" s="51"/>
      <c r="C13" s="51"/>
      <c r="D13" s="51"/>
      <c r="E13" s="51"/>
      <c r="F13" s="51"/>
      <c r="G13" s="51"/>
      <c r="H13" s="57"/>
      <c r="I13" s="58" t="str">
        <f t="shared" si="0"/>
        <v/>
      </c>
      <c r="J13" s="58" t="str">
        <f t="shared" si="1"/>
        <v/>
      </c>
      <c r="K13" s="59" t="str">
        <f t="shared" si="2"/>
        <v/>
      </c>
      <c r="L13" s="62"/>
      <c r="M13" s="61"/>
    </row>
    <row r="14" spans="1:14" ht="12.75" customHeight="1" x14ac:dyDescent="0.25">
      <c r="A14" s="110" t="s">
        <v>187</v>
      </c>
      <c r="B14" s="51"/>
      <c r="C14" s="51"/>
      <c r="D14" s="51"/>
      <c r="E14" s="51"/>
      <c r="F14" s="51"/>
      <c r="G14" s="51"/>
      <c r="H14" s="57"/>
      <c r="I14" s="58" t="str">
        <f t="shared" si="0"/>
        <v/>
      </c>
      <c r="J14" s="58" t="str">
        <f t="shared" si="1"/>
        <v/>
      </c>
      <c r="K14" s="59" t="str">
        <f t="shared" si="2"/>
        <v/>
      </c>
      <c r="L14" s="62"/>
      <c r="M14" s="61"/>
    </row>
    <row r="15" spans="1:14" ht="12.75" customHeight="1" x14ac:dyDescent="0.25">
      <c r="A15" s="110" t="s">
        <v>146</v>
      </c>
      <c r="B15" s="51"/>
      <c r="C15" s="51"/>
      <c r="D15" s="51"/>
      <c r="E15" s="51"/>
      <c r="F15" s="51"/>
      <c r="G15" s="51"/>
      <c r="H15" s="57"/>
      <c r="I15" s="58" t="str">
        <f t="shared" si="0"/>
        <v/>
      </c>
      <c r="J15" s="58" t="str">
        <f t="shared" si="1"/>
        <v/>
      </c>
      <c r="K15" s="59" t="str">
        <f t="shared" si="2"/>
        <v/>
      </c>
      <c r="L15" s="62"/>
      <c r="M15" s="61"/>
    </row>
    <row r="16" spans="1:14" ht="12.75" customHeight="1" x14ac:dyDescent="0.25">
      <c r="A16" s="110" t="s">
        <v>188</v>
      </c>
      <c r="B16" s="51"/>
      <c r="C16" s="51"/>
      <c r="D16" s="51"/>
      <c r="E16" s="51"/>
      <c r="F16" s="51"/>
      <c r="G16" s="51"/>
      <c r="H16" s="57"/>
      <c r="I16" s="58" t="str">
        <f t="shared" si="0"/>
        <v/>
      </c>
      <c r="J16" s="58" t="str">
        <f t="shared" si="1"/>
        <v/>
      </c>
      <c r="K16" s="59" t="str">
        <f t="shared" si="2"/>
        <v/>
      </c>
      <c r="L16" s="62"/>
      <c r="M16" s="61"/>
    </row>
    <row r="17" spans="1:13" ht="12.75" customHeight="1" x14ac:dyDescent="0.25">
      <c r="A17" s="110" t="s">
        <v>147</v>
      </c>
      <c r="B17" s="51"/>
      <c r="C17" s="51"/>
      <c r="D17" s="51"/>
      <c r="E17" s="51"/>
      <c r="F17" s="51"/>
      <c r="G17" s="51"/>
      <c r="H17" s="57"/>
      <c r="I17" s="58" t="str">
        <f t="shared" si="0"/>
        <v/>
      </c>
      <c r="J17" s="58" t="str">
        <f t="shared" si="1"/>
        <v/>
      </c>
      <c r="K17" s="59" t="str">
        <f t="shared" si="2"/>
        <v/>
      </c>
      <c r="L17" s="62"/>
      <c r="M17" s="61"/>
    </row>
    <row r="18" spans="1:13" ht="12.75" customHeight="1" thickBot="1" x14ac:dyDescent="0.3">
      <c r="A18" s="111" t="s">
        <v>148</v>
      </c>
      <c r="B18" s="52"/>
      <c r="C18" s="52"/>
      <c r="D18" s="52"/>
      <c r="E18" s="52"/>
      <c r="F18" s="52"/>
      <c r="G18" s="52"/>
      <c r="H18" s="63"/>
      <c r="I18" s="64" t="str">
        <f t="shared" si="0"/>
        <v/>
      </c>
      <c r="J18" s="64" t="str">
        <f t="shared" si="1"/>
        <v/>
      </c>
      <c r="K18" s="65" t="str">
        <f t="shared" si="2"/>
        <v/>
      </c>
      <c r="L18" s="66"/>
      <c r="M18" s="67"/>
    </row>
    <row r="19" spans="1:13" ht="12.75" customHeight="1" thickTop="1" x14ac:dyDescent="0.25">
      <c r="A19" s="109"/>
    </row>
    <row r="20" spans="1:13" ht="12.75" customHeight="1" x14ac:dyDescent="0.25">
      <c r="A20" s="109"/>
    </row>
    <row r="21" spans="1:13" ht="12.75" customHeight="1" x14ac:dyDescent="0.25">
      <c r="A21" s="109"/>
    </row>
    <row r="22" spans="1:13" ht="12.75" customHeight="1" x14ac:dyDescent="0.25">
      <c r="A22" s="109"/>
    </row>
    <row r="23" spans="1:13" ht="12.75" customHeight="1" x14ac:dyDescent="0.25">
      <c r="A23" s="109"/>
    </row>
    <row r="24" spans="1:13" ht="12.75" customHeight="1" x14ac:dyDescent="0.25">
      <c r="A24" s="109"/>
    </row>
    <row r="25" spans="1:13" ht="12.75" customHeight="1" thickBot="1" x14ac:dyDescent="0.3">
      <c r="A25" s="109"/>
    </row>
    <row r="26" spans="1:13" ht="12.75" customHeight="1" thickTop="1" thickBot="1" x14ac:dyDescent="0.3">
      <c r="C26" s="213" t="s">
        <v>211</v>
      </c>
      <c r="D26" s="209"/>
      <c r="E26" s="212"/>
      <c r="F26" s="211" t="s">
        <v>210</v>
      </c>
      <c r="G26" s="209"/>
      <c r="H26" s="212"/>
      <c r="I26" s="209" t="s">
        <v>168</v>
      </c>
      <c r="J26" s="209"/>
      <c r="K26" s="210"/>
    </row>
    <row r="27" spans="1:13" ht="12.75" customHeight="1" x14ac:dyDescent="0.25">
      <c r="C27" s="195" t="s">
        <v>163</v>
      </c>
      <c r="D27" s="196"/>
      <c r="E27" s="50"/>
      <c r="F27" s="114" t="s">
        <v>212</v>
      </c>
      <c r="G27" s="113"/>
      <c r="H27" s="50"/>
      <c r="I27" s="115" t="s">
        <v>166</v>
      </c>
      <c r="J27" s="113"/>
      <c r="K27" s="83"/>
    </row>
    <row r="28" spans="1:13" ht="12.75" customHeight="1" x14ac:dyDescent="0.25">
      <c r="C28" s="197" t="s">
        <v>164</v>
      </c>
      <c r="D28" s="198"/>
      <c r="E28" s="51"/>
      <c r="F28" s="116" t="s">
        <v>213</v>
      </c>
      <c r="G28" s="117"/>
      <c r="H28" s="51"/>
      <c r="I28" s="118" t="s">
        <v>167</v>
      </c>
      <c r="J28" s="117"/>
      <c r="K28" s="84"/>
    </row>
    <row r="29" spans="1:13" ht="12.75" customHeight="1" thickBot="1" x14ac:dyDescent="0.3">
      <c r="C29" s="204" t="s">
        <v>165</v>
      </c>
      <c r="D29" s="205"/>
      <c r="E29" s="52"/>
      <c r="F29" s="119" t="s">
        <v>214</v>
      </c>
      <c r="G29" s="120"/>
      <c r="H29" s="52"/>
      <c r="I29" s="121" t="s">
        <v>186</v>
      </c>
      <c r="J29" s="122"/>
      <c r="K29" s="85"/>
    </row>
    <row r="30" spans="1:13" ht="12.75" customHeight="1" thickTop="1" x14ac:dyDescent="0.25"/>
    <row r="34" spans="1:8" ht="12.75" customHeight="1" thickBot="1" x14ac:dyDescent="0.3"/>
    <row r="35" spans="1:8" ht="16.2" thickTop="1" x14ac:dyDescent="0.3">
      <c r="A35" s="214" t="s">
        <v>247</v>
      </c>
      <c r="B35" s="214"/>
      <c r="C35" s="215"/>
      <c r="D35" s="216"/>
      <c r="E35" s="216"/>
      <c r="F35" s="216"/>
      <c r="G35" s="216"/>
      <c r="H35" s="217"/>
    </row>
    <row r="36" spans="1:8" ht="16.2" thickBot="1" x14ac:dyDescent="0.35">
      <c r="A36" s="214" t="s">
        <v>248</v>
      </c>
      <c r="B36" s="214"/>
      <c r="C36" s="218"/>
      <c r="D36" s="219"/>
      <c r="E36" s="219"/>
      <c r="F36" s="219"/>
      <c r="G36" s="219"/>
      <c r="H36" s="220"/>
    </row>
    <row r="37" spans="1:8" ht="12.75" customHeight="1" thickTop="1" x14ac:dyDescent="0.25"/>
  </sheetData>
  <sheetProtection password="FEA0" sheet="1" objects="1" scenarios="1"/>
  <mergeCells count="15">
    <mergeCell ref="C26:E26"/>
    <mergeCell ref="A35:B35"/>
    <mergeCell ref="A36:B36"/>
    <mergeCell ref="C35:H35"/>
    <mergeCell ref="C36:H36"/>
    <mergeCell ref="A1:M1"/>
    <mergeCell ref="C27:D27"/>
    <mergeCell ref="C28:D28"/>
    <mergeCell ref="I4:K4"/>
    <mergeCell ref="A2:M2"/>
    <mergeCell ref="C29:D29"/>
    <mergeCell ref="B3:H3"/>
    <mergeCell ref="I3:K3"/>
    <mergeCell ref="I26:K26"/>
    <mergeCell ref="F26:H26"/>
  </mergeCells>
  <phoneticPr fontId="8" type="noConversion"/>
  <printOptions horizontalCentered="1"/>
  <pageMargins left="0.75" right="0.75" top="1" bottom="1" header="0.5" footer="0.5"/>
  <pageSetup scale="8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workbookViewId="0">
      <selection activeCell="E17" sqref="E17"/>
    </sheetView>
  </sheetViews>
  <sheetFormatPr defaultColWidth="12.5546875" defaultRowHeight="13.2" x14ac:dyDescent="0.25"/>
  <cols>
    <col min="1" max="1" width="18.5546875" customWidth="1"/>
    <col min="2" max="2" width="3.44140625" customWidth="1"/>
    <col min="3" max="3" width="11.5546875" customWidth="1"/>
    <col min="4" max="4" width="2" customWidth="1"/>
    <col min="5" max="5" width="17.33203125" customWidth="1"/>
    <col min="6" max="6" width="10.33203125" customWidth="1"/>
    <col min="7" max="7" width="2" customWidth="1"/>
    <col min="8" max="8" width="11.6640625" customWidth="1"/>
    <col min="9" max="9" width="10.5546875" customWidth="1"/>
    <col min="10" max="10" width="5.88671875" customWidth="1"/>
    <col min="11" max="11" width="9.44140625" customWidth="1"/>
    <col min="12" max="13" width="2" customWidth="1"/>
    <col min="14" max="14" width="9" customWidth="1"/>
    <col min="15" max="15" width="6.109375" customWidth="1"/>
    <col min="16" max="16" width="2" customWidth="1"/>
    <col min="17" max="19" width="11.5546875" customWidth="1"/>
    <col min="20" max="20" width="2" customWidth="1"/>
    <col min="21" max="21" width="12.5546875" customWidth="1"/>
    <col min="22" max="24" width="11.5546875" bestFit="1" customWidth="1"/>
    <col min="25" max="25" width="20" bestFit="1" customWidth="1"/>
    <col min="26" max="26" width="13.5546875" bestFit="1" customWidth="1"/>
    <col min="27" max="27" width="7.6640625" bestFit="1" customWidth="1"/>
    <col min="28" max="29" width="8.44140625" bestFit="1" customWidth="1"/>
    <col min="30" max="31" width="7.6640625" bestFit="1" customWidth="1"/>
    <col min="32" max="33" width="8.44140625" bestFit="1" customWidth="1"/>
  </cols>
  <sheetData>
    <row r="1" spans="1:33" x14ac:dyDescent="0.25">
      <c r="A1" s="1"/>
      <c r="C1" s="2" t="s">
        <v>0</v>
      </c>
    </row>
    <row r="3" spans="1:33" ht="15.6" x14ac:dyDescent="0.3">
      <c r="B3" s="2"/>
      <c r="E3" s="3"/>
    </row>
    <row r="4" spans="1:33" x14ac:dyDescent="0.25">
      <c r="Z4" s="2" t="s">
        <v>1</v>
      </c>
    </row>
    <row r="5" spans="1:33" x14ac:dyDescent="0.25">
      <c r="A5" s="2" t="s">
        <v>2</v>
      </c>
      <c r="D5" s="4" t="s">
        <v>3</v>
      </c>
      <c r="E5" s="2" t="s">
        <v>4</v>
      </c>
      <c r="G5" s="4" t="s">
        <v>3</v>
      </c>
      <c r="H5" s="2" t="s">
        <v>5</v>
      </c>
      <c r="M5" s="4" t="s">
        <v>3</v>
      </c>
      <c r="N5" s="2" t="s">
        <v>6</v>
      </c>
      <c r="P5" s="4" t="s">
        <v>3</v>
      </c>
      <c r="R5" s="5" t="s">
        <v>7</v>
      </c>
      <c r="T5" s="4" t="s">
        <v>3</v>
      </c>
      <c r="U5" s="2" t="s">
        <v>8</v>
      </c>
      <c r="Y5" s="4" t="s">
        <v>3</v>
      </c>
    </row>
    <row r="6" spans="1:33" ht="15.6" x14ac:dyDescent="0.3">
      <c r="D6" s="4" t="s">
        <v>3</v>
      </c>
      <c r="E6" s="2" t="s">
        <v>9</v>
      </c>
      <c r="G6" s="4" t="s">
        <v>3</v>
      </c>
      <c r="H6" s="2" t="s">
        <v>306</v>
      </c>
      <c r="I6" s="6" t="str">
        <f>'Pass-through'!F25</f>
        <v/>
      </c>
      <c r="K6" s="2" t="s">
        <v>10</v>
      </c>
      <c r="M6" s="4" t="s">
        <v>3</v>
      </c>
      <c r="P6" s="4" t="s">
        <v>3</v>
      </c>
      <c r="R6" s="5" t="s">
        <v>11</v>
      </c>
      <c r="T6" s="4" t="s">
        <v>3</v>
      </c>
      <c r="Y6" s="4" t="s">
        <v>3</v>
      </c>
      <c r="AB6" s="5" t="s">
        <v>7</v>
      </c>
      <c r="AC6" s="5" t="s">
        <v>7</v>
      </c>
      <c r="AE6" s="5" t="s">
        <v>12</v>
      </c>
    </row>
    <row r="7" spans="1:33" ht="15.6" x14ac:dyDescent="0.3">
      <c r="D7" s="4" t="s">
        <v>3</v>
      </c>
      <c r="E7" s="2" t="s">
        <v>13</v>
      </c>
      <c r="G7" s="4" t="s">
        <v>3</v>
      </c>
      <c r="H7" t="s">
        <v>307</v>
      </c>
      <c r="I7" s="6" t="str">
        <f>'Pass-through'!F26</f>
        <v/>
      </c>
      <c r="M7" s="4" t="s">
        <v>3</v>
      </c>
      <c r="N7" s="2" t="s">
        <v>14</v>
      </c>
      <c r="P7" s="4" t="s">
        <v>3</v>
      </c>
      <c r="Q7" s="5" t="s">
        <v>15</v>
      </c>
      <c r="R7" s="5" t="s">
        <v>16</v>
      </c>
      <c r="T7" s="4" t="s">
        <v>3</v>
      </c>
      <c r="U7" s="2" t="s">
        <v>17</v>
      </c>
      <c r="W7" s="4" t="s">
        <v>18</v>
      </c>
      <c r="Y7" s="4" t="s">
        <v>3</v>
      </c>
      <c r="AB7" s="5" t="s">
        <v>11</v>
      </c>
      <c r="AC7" s="5" t="s">
        <v>11</v>
      </c>
      <c r="AE7" s="5" t="s">
        <v>19</v>
      </c>
      <c r="AG7" s="5" t="s">
        <v>12</v>
      </c>
    </row>
    <row r="8" spans="1:33" x14ac:dyDescent="0.25">
      <c r="D8" s="4" t="s">
        <v>3</v>
      </c>
      <c r="G8" s="4" t="s">
        <v>3</v>
      </c>
      <c r="H8" s="2" t="s">
        <v>20</v>
      </c>
      <c r="I8" s="1">
        <f>'Pass-through'!B22</f>
        <v>0</v>
      </c>
      <c r="K8" s="2" t="s">
        <v>21</v>
      </c>
      <c r="M8" s="4" t="s">
        <v>3</v>
      </c>
      <c r="N8" s="2" t="s">
        <v>22</v>
      </c>
      <c r="P8" s="4" t="s">
        <v>3</v>
      </c>
      <c r="Q8" s="5" t="s">
        <v>23</v>
      </c>
      <c r="R8" s="5" t="s">
        <v>19</v>
      </c>
      <c r="T8" s="4" t="s">
        <v>3</v>
      </c>
      <c r="U8" s="2" t="s">
        <v>24</v>
      </c>
      <c r="W8" s="4" t="s">
        <v>25</v>
      </c>
      <c r="Y8" s="4" t="s">
        <v>3</v>
      </c>
      <c r="AA8" s="5" t="s">
        <v>15</v>
      </c>
      <c r="AB8" s="5" t="s">
        <v>16</v>
      </c>
      <c r="AC8" s="5" t="s">
        <v>16</v>
      </c>
      <c r="AD8" s="5" t="s">
        <v>26</v>
      </c>
      <c r="AE8" s="5" t="s">
        <v>27</v>
      </c>
      <c r="AG8" s="5" t="s">
        <v>19</v>
      </c>
    </row>
    <row r="9" spans="1:33" ht="15.6" x14ac:dyDescent="0.3">
      <c r="D9" s="4" t="s">
        <v>3</v>
      </c>
      <c r="E9" s="2" t="s">
        <v>28</v>
      </c>
      <c r="G9" s="4" t="s">
        <v>3</v>
      </c>
      <c r="H9" s="2" t="s">
        <v>29</v>
      </c>
      <c r="I9" s="6" t="str">
        <f>'Pass-through'!H22</f>
        <v/>
      </c>
      <c r="K9" s="2" t="s">
        <v>30</v>
      </c>
      <c r="M9" s="4" t="s">
        <v>3</v>
      </c>
      <c r="N9" s="1">
        <f>General!E27</f>
        <v>0</v>
      </c>
      <c r="O9" s="2" t="s">
        <v>31</v>
      </c>
      <c r="P9" s="4" t="s">
        <v>3</v>
      </c>
      <c r="Q9" s="5" t="s">
        <v>32</v>
      </c>
      <c r="R9" s="5" t="s">
        <v>27</v>
      </c>
      <c r="S9" s="5" t="s">
        <v>12</v>
      </c>
      <c r="T9" s="4" t="s">
        <v>3</v>
      </c>
      <c r="W9" s="4" t="s">
        <v>3</v>
      </c>
      <c r="Y9" s="4" t="s">
        <v>3</v>
      </c>
      <c r="Z9" s="5" t="s">
        <v>15</v>
      </c>
      <c r="AA9" s="5" t="s">
        <v>23</v>
      </c>
      <c r="AB9" s="5" t="s">
        <v>19</v>
      </c>
      <c r="AC9" s="5" t="s">
        <v>19</v>
      </c>
      <c r="AD9" s="5" t="s">
        <v>33</v>
      </c>
      <c r="AE9" s="5" t="s">
        <v>34</v>
      </c>
      <c r="AF9" s="5" t="s">
        <v>26</v>
      </c>
      <c r="AG9" s="5" t="s">
        <v>27</v>
      </c>
    </row>
    <row r="10" spans="1:33" x14ac:dyDescent="0.25">
      <c r="D10" s="4" t="s">
        <v>3</v>
      </c>
      <c r="G10" s="4" t="s">
        <v>3</v>
      </c>
      <c r="M10" s="4" t="s">
        <v>3</v>
      </c>
      <c r="P10" s="4" t="s">
        <v>3</v>
      </c>
      <c r="Q10" s="5" t="s">
        <v>34</v>
      </c>
      <c r="R10" s="5" t="s">
        <v>35</v>
      </c>
      <c r="S10" s="5" t="s">
        <v>35</v>
      </c>
      <c r="T10" s="4" t="s">
        <v>3</v>
      </c>
      <c r="W10" s="4" t="s">
        <v>3</v>
      </c>
      <c r="Y10" s="2" t="s">
        <v>36</v>
      </c>
      <c r="Z10" s="5" t="s">
        <v>23</v>
      </c>
      <c r="AA10" s="5" t="s">
        <v>32</v>
      </c>
      <c r="AB10" s="5" t="s">
        <v>27</v>
      </c>
      <c r="AC10" s="5" t="s">
        <v>27</v>
      </c>
      <c r="AD10" s="5" t="s">
        <v>35</v>
      </c>
      <c r="AE10" s="5" t="s">
        <v>11</v>
      </c>
      <c r="AF10" s="5" t="s">
        <v>33</v>
      </c>
      <c r="AG10" s="5" t="s">
        <v>34</v>
      </c>
    </row>
    <row r="11" spans="1:33" x14ac:dyDescent="0.25">
      <c r="D11" s="4" t="s">
        <v>3</v>
      </c>
      <c r="G11" s="4" t="s">
        <v>3</v>
      </c>
      <c r="H11" s="2" t="s">
        <v>37</v>
      </c>
      <c r="I11" s="1">
        <f>'Pass-through'!B23</f>
        <v>0</v>
      </c>
      <c r="K11" s="2" t="s">
        <v>21</v>
      </c>
      <c r="M11" s="4" t="s">
        <v>3</v>
      </c>
      <c r="P11" s="4" t="s">
        <v>3</v>
      </c>
      <c r="Q11" s="5" t="s">
        <v>38</v>
      </c>
      <c r="R11" s="5" t="s">
        <v>23</v>
      </c>
      <c r="S11" s="5" t="s">
        <v>27</v>
      </c>
      <c r="T11" s="4" t="s">
        <v>3</v>
      </c>
      <c r="W11" s="4" t="s">
        <v>3</v>
      </c>
      <c r="Y11" s="4" t="s">
        <v>3</v>
      </c>
      <c r="Z11" s="5" t="s">
        <v>32</v>
      </c>
      <c r="AA11" s="5" t="s">
        <v>34</v>
      </c>
      <c r="AB11" s="5" t="s">
        <v>35</v>
      </c>
      <c r="AC11" s="5" t="s">
        <v>35</v>
      </c>
      <c r="AD11" s="5" t="s">
        <v>39</v>
      </c>
      <c r="AE11" s="5" t="s">
        <v>39</v>
      </c>
      <c r="AF11" s="5" t="s">
        <v>35</v>
      </c>
      <c r="AG11" s="5" t="s">
        <v>11</v>
      </c>
    </row>
    <row r="12" spans="1:33" x14ac:dyDescent="0.25">
      <c r="D12" s="4" t="s">
        <v>3</v>
      </c>
      <c r="G12" s="4" t="s">
        <v>3</v>
      </c>
      <c r="H12" s="2" t="s">
        <v>29</v>
      </c>
      <c r="I12" s="7" t="str">
        <f>'Pass-through'!H23</f>
        <v/>
      </c>
      <c r="K12" s="2" t="s">
        <v>30</v>
      </c>
      <c r="M12" s="4" t="s">
        <v>3</v>
      </c>
      <c r="P12" s="4" t="s">
        <v>3</v>
      </c>
      <c r="T12" s="4" t="s">
        <v>3</v>
      </c>
      <c r="W12" s="4" t="s">
        <v>3</v>
      </c>
      <c r="Y12" s="4" t="s">
        <v>3</v>
      </c>
      <c r="Z12" s="5" t="s">
        <v>34</v>
      </c>
      <c r="AA12" s="5" t="s">
        <v>38</v>
      </c>
      <c r="AB12" s="5" t="s">
        <v>23</v>
      </c>
      <c r="AC12" s="5" t="s">
        <v>23</v>
      </c>
      <c r="AD12" s="5" t="s">
        <v>40</v>
      </c>
      <c r="AE12" s="5" t="s">
        <v>40</v>
      </c>
      <c r="AF12" s="5" t="s">
        <v>39</v>
      </c>
      <c r="AG12" s="5" t="s">
        <v>39</v>
      </c>
    </row>
    <row r="13" spans="1:33" x14ac:dyDescent="0.25">
      <c r="D13" s="4" t="s">
        <v>3</v>
      </c>
      <c r="G13" s="4" t="s">
        <v>3</v>
      </c>
      <c r="H13" s="2" t="s">
        <v>41</v>
      </c>
      <c r="M13" s="4" t="s">
        <v>3</v>
      </c>
      <c r="O13" s="5" t="s">
        <v>42</v>
      </c>
      <c r="P13" s="4" t="s">
        <v>3</v>
      </c>
      <c r="Q13" s="5" t="s">
        <v>43</v>
      </c>
      <c r="R13" s="5" t="s">
        <v>43</v>
      </c>
      <c r="S13" s="5" t="s">
        <v>43</v>
      </c>
      <c r="T13" s="4" t="s">
        <v>3</v>
      </c>
      <c r="W13" s="4" t="s">
        <v>3</v>
      </c>
      <c r="Y13" s="4" t="s">
        <v>3</v>
      </c>
      <c r="Z13" s="5" t="s">
        <v>38</v>
      </c>
      <c r="AF13" s="5" t="s">
        <v>40</v>
      </c>
      <c r="AG13" s="5" t="s">
        <v>40</v>
      </c>
    </row>
    <row r="14" spans="1:33" x14ac:dyDescent="0.25">
      <c r="D14" s="4" t="s">
        <v>3</v>
      </c>
      <c r="E14" s="5" t="s">
        <v>44</v>
      </c>
      <c r="F14" s="5" t="s">
        <v>45</v>
      </c>
      <c r="G14" s="4" t="s">
        <v>3</v>
      </c>
      <c r="H14" s="5" t="s">
        <v>46</v>
      </c>
      <c r="I14" s="2" t="s">
        <v>47</v>
      </c>
      <c r="M14" s="4" t="s">
        <v>3</v>
      </c>
      <c r="O14" s="5" t="s">
        <v>48</v>
      </c>
      <c r="P14" s="4" t="s">
        <v>3</v>
      </c>
      <c r="Q14" s="5" t="s">
        <v>49</v>
      </c>
      <c r="R14" s="5" t="s">
        <v>49</v>
      </c>
      <c r="S14" s="5" t="s">
        <v>49</v>
      </c>
      <c r="T14" s="4" t="s">
        <v>3</v>
      </c>
      <c r="W14" s="4" t="s">
        <v>3</v>
      </c>
      <c r="Y14" s="4" t="s">
        <v>3</v>
      </c>
      <c r="AA14" s="5" t="s">
        <v>32</v>
      </c>
      <c r="AB14" s="5" t="s">
        <v>32</v>
      </c>
      <c r="AC14" s="5" t="s">
        <v>32</v>
      </c>
      <c r="AD14" s="5" t="s">
        <v>50</v>
      </c>
      <c r="AE14" s="5" t="s">
        <v>50</v>
      </c>
    </row>
    <row r="15" spans="1:33" x14ac:dyDescent="0.25">
      <c r="D15" s="4" t="s">
        <v>3</v>
      </c>
      <c r="E15" s="5" t="s">
        <v>51</v>
      </c>
      <c r="F15" s="5" t="s">
        <v>52</v>
      </c>
      <c r="G15" s="4" t="s">
        <v>3</v>
      </c>
      <c r="H15" s="5" t="s">
        <v>53</v>
      </c>
      <c r="I15" s="2" t="s">
        <v>54</v>
      </c>
      <c r="J15" s="8" t="str">
        <f>IF($I$11=0,"(B)"," ")</f>
        <v>(B)</v>
      </c>
      <c r="K15" s="2" t="s">
        <v>55</v>
      </c>
      <c r="M15" s="4" t="s">
        <v>3</v>
      </c>
      <c r="N15" s="5" t="s">
        <v>56</v>
      </c>
      <c r="O15" s="5" t="s">
        <v>57</v>
      </c>
      <c r="P15" s="4" t="s">
        <v>3</v>
      </c>
      <c r="Q15" s="5" t="s">
        <v>15</v>
      </c>
      <c r="R15" s="5" t="s">
        <v>15</v>
      </c>
      <c r="S15" s="5" t="s">
        <v>15</v>
      </c>
      <c r="T15" s="4" t="s">
        <v>3</v>
      </c>
      <c r="U15" s="5" t="s">
        <v>58</v>
      </c>
      <c r="V15" s="2" t="s">
        <v>59</v>
      </c>
      <c r="W15" s="4" t="s">
        <v>60</v>
      </c>
      <c r="X15" s="2" t="s">
        <v>59</v>
      </c>
      <c r="Y15" s="4" t="s">
        <v>3</v>
      </c>
      <c r="Z15" s="5" t="s">
        <v>50</v>
      </c>
      <c r="AA15" s="5" t="s">
        <v>61</v>
      </c>
      <c r="AB15" s="5" t="s">
        <v>62</v>
      </c>
      <c r="AC15" s="5" t="s">
        <v>61</v>
      </c>
      <c r="AD15" s="5" t="s">
        <v>63</v>
      </c>
      <c r="AE15" s="5" t="s">
        <v>63</v>
      </c>
      <c r="AF15" s="5" t="s">
        <v>32</v>
      </c>
      <c r="AG15" s="5" t="s">
        <v>32</v>
      </c>
    </row>
    <row r="16" spans="1:33" x14ac:dyDescent="0.25">
      <c r="A16" s="9" t="s">
        <v>64</v>
      </c>
      <c r="B16" s="9" t="s">
        <v>64</v>
      </c>
      <c r="C16" s="9" t="s">
        <v>64</v>
      </c>
      <c r="D16" s="9" t="s">
        <v>64</v>
      </c>
      <c r="E16" s="9" t="s">
        <v>64</v>
      </c>
      <c r="F16" s="9" t="s">
        <v>64</v>
      </c>
      <c r="G16" s="9" t="s">
        <v>64</v>
      </c>
      <c r="H16" s="9" t="s">
        <v>64</v>
      </c>
      <c r="I16" s="9" t="s">
        <v>64</v>
      </c>
      <c r="J16" s="9" t="s">
        <v>64</v>
      </c>
      <c r="K16" s="9" t="s">
        <v>64</v>
      </c>
      <c r="L16" s="9" t="s">
        <v>64</v>
      </c>
      <c r="M16" s="9" t="s">
        <v>64</v>
      </c>
      <c r="N16" s="9" t="s">
        <v>64</v>
      </c>
      <c r="O16" s="9" t="s">
        <v>64</v>
      </c>
      <c r="P16" s="9" t="s">
        <v>64</v>
      </c>
      <c r="Q16" s="9" t="s">
        <v>64</v>
      </c>
      <c r="R16" s="9" t="s">
        <v>64</v>
      </c>
      <c r="S16" s="9" t="s">
        <v>64</v>
      </c>
      <c r="T16" s="9" t="s">
        <v>64</v>
      </c>
      <c r="U16" s="9" t="s">
        <v>64</v>
      </c>
      <c r="V16" s="9" t="s">
        <v>64</v>
      </c>
      <c r="W16" s="9" t="s">
        <v>64</v>
      </c>
      <c r="X16" s="9" t="s">
        <v>64</v>
      </c>
      <c r="Y16" s="9" t="s">
        <v>64</v>
      </c>
      <c r="Z16" s="9" t="s">
        <v>64</v>
      </c>
      <c r="AA16" s="9" t="s">
        <v>64</v>
      </c>
      <c r="AB16" s="9" t="s">
        <v>64</v>
      </c>
      <c r="AC16" s="9" t="s">
        <v>64</v>
      </c>
      <c r="AD16" s="9" t="s">
        <v>64</v>
      </c>
      <c r="AE16" s="9" t="s">
        <v>64</v>
      </c>
      <c r="AF16" s="9" t="s">
        <v>64</v>
      </c>
      <c r="AG16" s="9" t="s">
        <v>64</v>
      </c>
    </row>
    <row r="17" spans="1:33" ht="17.25" customHeight="1" x14ac:dyDescent="0.3">
      <c r="A17" s="2" t="s">
        <v>65</v>
      </c>
      <c r="C17" s="2" t="s">
        <v>66</v>
      </c>
      <c r="D17" s="4" t="s">
        <v>3</v>
      </c>
      <c r="E17" s="10">
        <v>750</v>
      </c>
      <c r="F17" s="10">
        <v>87</v>
      </c>
      <c r="G17" s="4" t="s">
        <v>3</v>
      </c>
      <c r="H17" s="11">
        <v>0</v>
      </c>
      <c r="I17" s="10">
        <f t="shared" ref="I17:I31" si="0">MAX(IF($I$11=0,2*$E17,($E17*(0.01*$I$12*0.646*$I$11+$N$9)-$H17*0.01*$I$12*0.646*$I$11)/$N$9),0.00001)</f>
        <v>1500</v>
      </c>
      <c r="K17" s="10" t="e">
        <f t="shared" ref="K17:K31" si="1">MAX(IF($H17&gt;$F17,$H17,($F17*(0.01*$I$9*0.646*$I$8+$N$9)-$H17*0.01*$I$9*0.646*$I$8)/$N$9),0.00001)</f>
        <v>#VALUE!</v>
      </c>
      <c r="L17" s="8" t="str">
        <f t="shared" ref="L17:L29" si="2">IF(H17&gt;F17,"(C)"," ")</f>
        <v xml:space="preserve"> </v>
      </c>
      <c r="M17" s="4" t="s">
        <v>3</v>
      </c>
      <c r="N17" s="11">
        <v>0.6</v>
      </c>
      <c r="O17" s="11">
        <v>4</v>
      </c>
      <c r="P17" s="4" t="s">
        <v>3</v>
      </c>
      <c r="Q17" s="12">
        <f t="shared" ref="Q17:Q31" si="3">EXP(AA17+0.5*Z17*Z17)</f>
        <v>481.62482068571893</v>
      </c>
      <c r="R17" s="12" t="e">
        <f t="shared" ref="R17:R31" si="4">EXP(AC17+0.5*Z17*Z17)</f>
        <v>#VALUE!</v>
      </c>
      <c r="S17" s="12" t="e">
        <f t="shared" ref="S17:S31" si="5">IF(ISERR(Q17)=1,R17,IF(ISERR(R17)=1,Q17,IF(Q17&lt;R17,Q17,R17)))</f>
        <v>#VALUE!</v>
      </c>
      <c r="T17" s="4" t="s">
        <v>3</v>
      </c>
      <c r="U17" s="12" t="e">
        <f t="shared" ref="U17:U31" si="6">IF(I17*K17&lt;0,0,IF(ISERR(S17)=1,0,EXP(AF17+1.645*SQRT(AD17))))</f>
        <v>#VALUE!</v>
      </c>
      <c r="V17" s="12" t="e">
        <f t="shared" ref="V17:V31" si="7">IF(I17*K17&lt;0,0,IF(ISERR(S17)=1,0,EXP(AG17+1.645*SQRT(AE17))))</f>
        <v>#VALUE!</v>
      </c>
      <c r="W17" s="12" t="e">
        <f t="shared" ref="W17:W31" si="8">IF(I17*K17&lt;0,0,IF(ISERR(S17)=1,0,EXP(AF17+2.326*SQRT(AD17))))</f>
        <v>#VALUE!</v>
      </c>
      <c r="X17" s="12" t="e">
        <f t="shared" ref="X17:X31" si="9">IF(I17*K17&lt;0,0,IF(ISERR(S17)=1,0,EXP(AG17+2.326*SQRT(AE17))))</f>
        <v>#VALUE!</v>
      </c>
      <c r="Y17" s="4" t="s">
        <v>3</v>
      </c>
      <c r="Z17" s="12">
        <f t="shared" ref="Z17:Z31" si="10">SQRT(LN(N17*N17+1))</f>
        <v>0.55451302937619107</v>
      </c>
      <c r="AA17" s="12">
        <f t="shared" ref="AA17:AA31" si="11">LN(I17)-2.326*Z17</f>
        <v>6.0234230807612814</v>
      </c>
      <c r="AB17" s="12" t="e">
        <f t="shared" ref="AB17:AB31" si="12">LN(K17)-2.326*(SQRT(LN(1+((EXP(Z17*Z17)-1)/4))))</f>
        <v>#VALUE!</v>
      </c>
      <c r="AC17" s="12" t="e">
        <f t="shared" ref="AC17:AC31" si="13">AB17-0.5*Z17*Z17+0.5*LN(1+((EXP(Z17*Z17)-1)/4))</f>
        <v>#VALUE!</v>
      </c>
      <c r="AD17" s="12">
        <f t="shared" ref="AD17:AD31" si="14">LN(N17*N17+1)</f>
        <v>0.30748469974796055</v>
      </c>
      <c r="AE17" s="12">
        <f t="shared" ref="AE17:AE31" si="15">LN(1+((EXP(AD17)-1)/O17))</f>
        <v>8.6177696241052204E-2</v>
      </c>
      <c r="AF17" s="12" t="e">
        <f t="shared" ref="AF17:AF31" si="16">LN(S17)-0.5*AD17</f>
        <v>#VALUE!</v>
      </c>
      <c r="AG17" s="12" t="e">
        <f t="shared" ref="AG17:AG31" si="17">AF17+(AD17-AE17)/2</f>
        <v>#VALUE!</v>
      </c>
    </row>
    <row r="18" spans="1:33" ht="17.25" customHeight="1" x14ac:dyDescent="0.3">
      <c r="A18" s="2" t="s">
        <v>67</v>
      </c>
      <c r="C18" s="2" t="s">
        <v>66</v>
      </c>
      <c r="D18" s="4" t="s">
        <v>3</v>
      </c>
      <c r="E18" s="10">
        <v>360</v>
      </c>
      <c r="F18" s="10">
        <v>190</v>
      </c>
      <c r="G18" s="4" t="s">
        <v>3</v>
      </c>
      <c r="H18" s="11">
        <f>'Pass-through'!D7*1000</f>
        <v>0</v>
      </c>
      <c r="I18" s="10">
        <f t="shared" si="0"/>
        <v>720</v>
      </c>
      <c r="K18" s="10" t="e">
        <f t="shared" si="1"/>
        <v>#VALUE!</v>
      </c>
      <c r="L18" s="8" t="str">
        <f t="shared" si="2"/>
        <v xml:space="preserve"> </v>
      </c>
      <c r="M18" s="4" t="s">
        <v>3</v>
      </c>
      <c r="N18" s="11">
        <v>0.6</v>
      </c>
      <c r="O18" s="11">
        <v>4</v>
      </c>
      <c r="P18" s="4" t="s">
        <v>3</v>
      </c>
      <c r="Q18" s="12">
        <f t="shared" si="3"/>
        <v>231.17991392914493</v>
      </c>
      <c r="R18" s="12" t="e">
        <f t="shared" si="4"/>
        <v>#VALUE!</v>
      </c>
      <c r="S18" s="12" t="e">
        <f t="shared" si="5"/>
        <v>#VALUE!</v>
      </c>
      <c r="T18" s="4" t="s">
        <v>3</v>
      </c>
      <c r="U18" s="12" t="e">
        <f t="shared" si="6"/>
        <v>#VALUE!</v>
      </c>
      <c r="V18" s="12" t="e">
        <f t="shared" si="7"/>
        <v>#VALUE!</v>
      </c>
      <c r="W18" s="12" t="e">
        <f t="shared" si="8"/>
        <v>#VALUE!</v>
      </c>
      <c r="X18" s="12" t="e">
        <f t="shared" si="9"/>
        <v>#VALUE!</v>
      </c>
      <c r="Y18" s="4" t="s">
        <v>3</v>
      </c>
      <c r="Z18" s="12">
        <f t="shared" si="10"/>
        <v>0.55451302937619107</v>
      </c>
      <c r="AA18" s="12">
        <f t="shared" si="11"/>
        <v>5.2894539056810803</v>
      </c>
      <c r="AB18" s="12" t="e">
        <f t="shared" si="12"/>
        <v>#VALUE!</v>
      </c>
      <c r="AC18" s="12" t="e">
        <f t="shared" si="13"/>
        <v>#VALUE!</v>
      </c>
      <c r="AD18" s="12">
        <f t="shared" si="14"/>
        <v>0.30748469974796055</v>
      </c>
      <c r="AE18" s="12">
        <f t="shared" si="15"/>
        <v>8.6177696241052204E-2</v>
      </c>
      <c r="AF18" s="12" t="e">
        <f t="shared" si="16"/>
        <v>#VALUE!</v>
      </c>
      <c r="AG18" s="12" t="e">
        <f t="shared" si="17"/>
        <v>#VALUE!</v>
      </c>
    </row>
    <row r="19" spans="1:33" ht="17.25" customHeight="1" x14ac:dyDescent="0.3">
      <c r="A19" s="2" t="s">
        <v>68</v>
      </c>
      <c r="D19" s="4" t="s">
        <v>3</v>
      </c>
      <c r="E19" s="10" t="e">
        <f>EXP(1.128*LN($I$7)-3.828)</f>
        <v>#VALUE!</v>
      </c>
      <c r="F19" s="10" t="e">
        <f>EXP(0.7852*LN($I$6)-3.49)</f>
        <v>#VALUE!</v>
      </c>
      <c r="G19" s="4" t="s">
        <v>3</v>
      </c>
      <c r="H19" s="11">
        <f>'Pass-through'!D8*1000</f>
        <v>0</v>
      </c>
      <c r="I19" s="10" t="e">
        <f t="shared" si="0"/>
        <v>#VALUE!</v>
      </c>
      <c r="K19" s="10" t="e">
        <f t="shared" si="1"/>
        <v>#VALUE!</v>
      </c>
      <c r="L19" s="8" t="e">
        <f t="shared" si="2"/>
        <v>#VALUE!</v>
      </c>
      <c r="M19" s="4" t="s">
        <v>3</v>
      </c>
      <c r="N19" s="11">
        <v>0.6</v>
      </c>
      <c r="O19" s="11">
        <v>4</v>
      </c>
      <c r="P19" s="4" t="s">
        <v>3</v>
      </c>
      <c r="Q19" s="12" t="e">
        <f t="shared" si="3"/>
        <v>#VALUE!</v>
      </c>
      <c r="R19" s="12" t="e">
        <f t="shared" si="4"/>
        <v>#VALUE!</v>
      </c>
      <c r="S19" s="12" t="e">
        <f t="shared" si="5"/>
        <v>#VALUE!</v>
      </c>
      <c r="T19" s="4" t="s">
        <v>3</v>
      </c>
      <c r="U19" s="12" t="e">
        <f t="shared" si="6"/>
        <v>#VALUE!</v>
      </c>
      <c r="V19" s="12" t="e">
        <f t="shared" si="7"/>
        <v>#VALUE!</v>
      </c>
      <c r="W19" s="12" t="e">
        <f t="shared" si="8"/>
        <v>#VALUE!</v>
      </c>
      <c r="X19" s="12" t="e">
        <f t="shared" si="9"/>
        <v>#VALUE!</v>
      </c>
      <c r="Y19" s="4" t="s">
        <v>3</v>
      </c>
      <c r="Z19" s="12">
        <f t="shared" si="10"/>
        <v>0.55451302937619107</v>
      </c>
      <c r="AA19" s="12" t="e">
        <f t="shared" si="11"/>
        <v>#VALUE!</v>
      </c>
      <c r="AB19" s="12" t="e">
        <f t="shared" si="12"/>
        <v>#VALUE!</v>
      </c>
      <c r="AC19" s="12" t="e">
        <f t="shared" si="13"/>
        <v>#VALUE!</v>
      </c>
      <c r="AD19" s="12">
        <f t="shared" si="14"/>
        <v>0.30748469974796055</v>
      </c>
      <c r="AE19" s="12">
        <f t="shared" si="15"/>
        <v>8.6177696241052204E-2</v>
      </c>
      <c r="AF19" s="12" t="e">
        <f t="shared" si="16"/>
        <v>#VALUE!</v>
      </c>
      <c r="AG19" s="12" t="e">
        <f t="shared" si="17"/>
        <v>#VALUE!</v>
      </c>
    </row>
    <row r="20" spans="1:33" ht="15.6" x14ac:dyDescent="0.3">
      <c r="A20" s="2" t="s">
        <v>69</v>
      </c>
      <c r="D20" s="4" t="s">
        <v>3</v>
      </c>
      <c r="E20" s="10" t="e">
        <f>EXP(0.819*LN($I$7)+3.688)</f>
        <v>#VALUE!</v>
      </c>
      <c r="F20" s="10" t="e">
        <f>EXP(0.819*LN($I$6)+1.561)</f>
        <v>#VALUE!</v>
      </c>
      <c r="G20" s="4" t="s">
        <v>3</v>
      </c>
      <c r="H20" s="11">
        <v>0</v>
      </c>
      <c r="I20" s="10" t="e">
        <f t="shared" si="0"/>
        <v>#VALUE!</v>
      </c>
      <c r="K20" s="10" t="e">
        <f t="shared" si="1"/>
        <v>#VALUE!</v>
      </c>
      <c r="L20" s="8" t="e">
        <f t="shared" si="2"/>
        <v>#VALUE!</v>
      </c>
      <c r="M20" s="4" t="s">
        <v>3</v>
      </c>
      <c r="N20" s="11">
        <v>0.6</v>
      </c>
      <c r="O20" s="11">
        <v>4</v>
      </c>
      <c r="P20" s="4" t="s">
        <v>3</v>
      </c>
      <c r="Q20" s="12" t="e">
        <f t="shared" si="3"/>
        <v>#VALUE!</v>
      </c>
      <c r="R20" s="12" t="e">
        <f t="shared" si="4"/>
        <v>#VALUE!</v>
      </c>
      <c r="S20" s="12" t="e">
        <f t="shared" si="5"/>
        <v>#VALUE!</v>
      </c>
      <c r="T20" s="4" t="s">
        <v>3</v>
      </c>
      <c r="U20" s="12" t="e">
        <f t="shared" si="6"/>
        <v>#VALUE!</v>
      </c>
      <c r="V20" s="12" t="e">
        <f t="shared" si="7"/>
        <v>#VALUE!</v>
      </c>
      <c r="W20" s="12" t="e">
        <f t="shared" si="8"/>
        <v>#VALUE!</v>
      </c>
      <c r="X20" s="12" t="e">
        <f t="shared" si="9"/>
        <v>#VALUE!</v>
      </c>
      <c r="Y20" s="4" t="s">
        <v>3</v>
      </c>
      <c r="Z20" s="12">
        <f t="shared" si="10"/>
        <v>0.55451302937619107</v>
      </c>
      <c r="AA20" s="12" t="e">
        <f t="shared" si="11"/>
        <v>#VALUE!</v>
      </c>
      <c r="AB20" s="12" t="e">
        <f t="shared" si="12"/>
        <v>#VALUE!</v>
      </c>
      <c r="AC20" s="12" t="e">
        <f t="shared" si="13"/>
        <v>#VALUE!</v>
      </c>
      <c r="AD20" s="12">
        <f t="shared" si="14"/>
        <v>0.30748469974796055</v>
      </c>
      <c r="AE20" s="12">
        <f t="shared" si="15"/>
        <v>8.6177696241052204E-2</v>
      </c>
      <c r="AF20" s="12" t="e">
        <f t="shared" si="16"/>
        <v>#VALUE!</v>
      </c>
      <c r="AG20" s="12" t="e">
        <f t="shared" si="17"/>
        <v>#VALUE!</v>
      </c>
    </row>
    <row r="21" spans="1:33" ht="15.6" x14ac:dyDescent="0.3">
      <c r="A21" s="2" t="s">
        <v>70</v>
      </c>
      <c r="C21" s="2" t="s">
        <v>66</v>
      </c>
      <c r="D21" s="4" t="s">
        <v>3</v>
      </c>
      <c r="E21" s="10">
        <v>16</v>
      </c>
      <c r="F21" s="10">
        <v>11</v>
      </c>
      <c r="G21" s="4" t="s">
        <v>3</v>
      </c>
      <c r="H21" s="11">
        <v>0</v>
      </c>
      <c r="I21" s="10">
        <f t="shared" si="0"/>
        <v>32</v>
      </c>
      <c r="K21" s="10" t="e">
        <f t="shared" si="1"/>
        <v>#VALUE!</v>
      </c>
      <c r="L21" s="8" t="str">
        <f t="shared" si="2"/>
        <v xml:space="preserve"> </v>
      </c>
      <c r="M21" s="4" t="s">
        <v>3</v>
      </c>
      <c r="N21" s="11">
        <v>0.6</v>
      </c>
      <c r="O21" s="11">
        <v>4</v>
      </c>
      <c r="P21" s="4" t="s">
        <v>3</v>
      </c>
      <c r="Q21" s="12">
        <f t="shared" si="3"/>
        <v>10.274662841295337</v>
      </c>
      <c r="R21" s="12" t="e">
        <f t="shared" si="4"/>
        <v>#VALUE!</v>
      </c>
      <c r="S21" s="12" t="e">
        <f t="shared" si="5"/>
        <v>#VALUE!</v>
      </c>
      <c r="T21" s="4" t="s">
        <v>3</v>
      </c>
      <c r="U21" s="12" t="e">
        <f t="shared" si="6"/>
        <v>#VALUE!</v>
      </c>
      <c r="V21" s="12" t="e">
        <f t="shared" si="7"/>
        <v>#VALUE!</v>
      </c>
      <c r="W21" s="12" t="e">
        <f t="shared" si="8"/>
        <v>#VALUE!</v>
      </c>
      <c r="X21" s="12" t="e">
        <f t="shared" si="9"/>
        <v>#VALUE!</v>
      </c>
      <c r="Y21" s="4" t="s">
        <v>3</v>
      </c>
      <c r="Z21" s="12">
        <f t="shared" si="10"/>
        <v>0.55451302937619107</v>
      </c>
      <c r="AA21" s="12">
        <f t="shared" si="11"/>
        <v>2.1759385964707061</v>
      </c>
      <c r="AB21" s="12" t="e">
        <f t="shared" si="12"/>
        <v>#VALUE!</v>
      </c>
      <c r="AC21" s="12" t="e">
        <f t="shared" si="13"/>
        <v>#VALUE!</v>
      </c>
      <c r="AD21" s="12">
        <f t="shared" si="14"/>
        <v>0.30748469974796055</v>
      </c>
      <c r="AE21" s="12">
        <f t="shared" si="15"/>
        <v>8.6177696241052204E-2</v>
      </c>
      <c r="AF21" s="12" t="e">
        <f t="shared" si="16"/>
        <v>#VALUE!</v>
      </c>
      <c r="AG21" s="12" t="e">
        <f t="shared" si="17"/>
        <v>#VALUE!</v>
      </c>
    </row>
    <row r="22" spans="1:33" ht="15.6" x14ac:dyDescent="0.3">
      <c r="A22" s="2" t="s">
        <v>71</v>
      </c>
      <c r="D22" s="4" t="s">
        <v>3</v>
      </c>
      <c r="E22" s="10" t="e">
        <f>$E$20+$E$21</f>
        <v>#VALUE!</v>
      </c>
      <c r="F22" s="10" t="e">
        <f>$F$20+$F$21</f>
        <v>#VALUE!</v>
      </c>
      <c r="G22" s="4" t="s">
        <v>3</v>
      </c>
      <c r="H22" s="11">
        <f>'Pass-through'!D9*1000</f>
        <v>0</v>
      </c>
      <c r="I22" s="10" t="e">
        <f t="shared" si="0"/>
        <v>#VALUE!</v>
      </c>
      <c r="K22" s="10" t="e">
        <f t="shared" si="1"/>
        <v>#VALUE!</v>
      </c>
      <c r="L22" s="8" t="e">
        <f t="shared" si="2"/>
        <v>#VALUE!</v>
      </c>
      <c r="M22" s="4" t="s">
        <v>3</v>
      </c>
      <c r="N22" s="11">
        <v>0.6</v>
      </c>
      <c r="O22" s="11">
        <v>4</v>
      </c>
      <c r="P22" s="4" t="s">
        <v>3</v>
      </c>
      <c r="Q22" s="12" t="e">
        <f t="shared" si="3"/>
        <v>#VALUE!</v>
      </c>
      <c r="R22" s="12" t="e">
        <f t="shared" si="4"/>
        <v>#VALUE!</v>
      </c>
      <c r="S22" s="12" t="e">
        <f t="shared" si="5"/>
        <v>#VALUE!</v>
      </c>
      <c r="T22" s="4" t="s">
        <v>3</v>
      </c>
      <c r="U22" s="12" t="e">
        <f t="shared" si="6"/>
        <v>#VALUE!</v>
      </c>
      <c r="V22" s="12" t="e">
        <f t="shared" si="7"/>
        <v>#VALUE!</v>
      </c>
      <c r="W22" s="12" t="e">
        <f t="shared" si="8"/>
        <v>#VALUE!</v>
      </c>
      <c r="X22" s="12" t="e">
        <f t="shared" si="9"/>
        <v>#VALUE!</v>
      </c>
      <c r="Y22" s="4" t="s">
        <v>3</v>
      </c>
      <c r="Z22" s="12">
        <f t="shared" si="10"/>
        <v>0.55451302937619107</v>
      </c>
      <c r="AA22" s="12" t="e">
        <f t="shared" si="11"/>
        <v>#VALUE!</v>
      </c>
      <c r="AB22" s="12" t="e">
        <f t="shared" si="12"/>
        <v>#VALUE!</v>
      </c>
      <c r="AC22" s="12" t="e">
        <f t="shared" si="13"/>
        <v>#VALUE!</v>
      </c>
      <c r="AD22" s="12">
        <f t="shared" si="14"/>
        <v>0.30748469974796055</v>
      </c>
      <c r="AE22" s="12">
        <f t="shared" si="15"/>
        <v>8.6177696241052204E-2</v>
      </c>
      <c r="AF22" s="12" t="e">
        <f t="shared" si="16"/>
        <v>#VALUE!</v>
      </c>
      <c r="AG22" s="12" t="e">
        <f t="shared" si="17"/>
        <v>#VALUE!</v>
      </c>
    </row>
    <row r="23" spans="1:33" ht="15.6" x14ac:dyDescent="0.3">
      <c r="A23" s="2" t="s">
        <v>72</v>
      </c>
      <c r="D23" s="4" t="s">
        <v>3</v>
      </c>
      <c r="E23" s="10" t="e">
        <f>EXP(0.9422*LN($I$7)-1.464)</f>
        <v>#VALUE!</v>
      </c>
      <c r="F23" s="10" t="e">
        <f>EXP(0.8545*LN($I$6)-1.465)</f>
        <v>#VALUE!</v>
      </c>
      <c r="G23" s="4" t="s">
        <v>3</v>
      </c>
      <c r="H23" s="11">
        <f>'Pass-through'!D10*1000</f>
        <v>0</v>
      </c>
      <c r="I23" s="10" t="e">
        <f t="shared" si="0"/>
        <v>#VALUE!</v>
      </c>
      <c r="K23" s="10" t="e">
        <f t="shared" si="1"/>
        <v>#VALUE!</v>
      </c>
      <c r="L23" s="8" t="e">
        <f t="shared" si="2"/>
        <v>#VALUE!</v>
      </c>
      <c r="M23" s="4" t="s">
        <v>3</v>
      </c>
      <c r="N23" s="11">
        <v>0.6</v>
      </c>
      <c r="O23" s="11">
        <v>4</v>
      </c>
      <c r="P23" s="4" t="s">
        <v>3</v>
      </c>
      <c r="Q23" s="12" t="e">
        <f t="shared" si="3"/>
        <v>#VALUE!</v>
      </c>
      <c r="R23" s="12" t="e">
        <f t="shared" si="4"/>
        <v>#VALUE!</v>
      </c>
      <c r="S23" s="12" t="e">
        <f t="shared" si="5"/>
        <v>#VALUE!</v>
      </c>
      <c r="T23" s="4" t="s">
        <v>3</v>
      </c>
      <c r="U23" s="12" t="e">
        <f t="shared" si="6"/>
        <v>#VALUE!</v>
      </c>
      <c r="V23" s="12" t="e">
        <f t="shared" si="7"/>
        <v>#VALUE!</v>
      </c>
      <c r="W23" s="12" t="e">
        <f t="shared" si="8"/>
        <v>#VALUE!</v>
      </c>
      <c r="X23" s="12" t="e">
        <f t="shared" si="9"/>
        <v>#VALUE!</v>
      </c>
      <c r="Y23" s="4" t="s">
        <v>3</v>
      </c>
      <c r="Z23" s="12">
        <f t="shared" si="10"/>
        <v>0.55451302937619107</v>
      </c>
      <c r="AA23" s="12" t="e">
        <f t="shared" si="11"/>
        <v>#VALUE!</v>
      </c>
      <c r="AB23" s="12" t="e">
        <f t="shared" si="12"/>
        <v>#VALUE!</v>
      </c>
      <c r="AC23" s="12" t="e">
        <f t="shared" si="13"/>
        <v>#VALUE!</v>
      </c>
      <c r="AD23" s="12">
        <f t="shared" si="14"/>
        <v>0.30748469974796055</v>
      </c>
      <c r="AE23" s="12">
        <f t="shared" si="15"/>
        <v>8.6177696241052204E-2</v>
      </c>
      <c r="AF23" s="12" t="e">
        <f t="shared" si="16"/>
        <v>#VALUE!</v>
      </c>
      <c r="AG23" s="12" t="e">
        <f t="shared" si="17"/>
        <v>#VALUE!</v>
      </c>
    </row>
    <row r="24" spans="1:33" ht="15.6" x14ac:dyDescent="0.3">
      <c r="A24" s="2" t="s">
        <v>73</v>
      </c>
      <c r="C24" s="2" t="s">
        <v>66</v>
      </c>
      <c r="D24" s="4" t="s">
        <v>3</v>
      </c>
      <c r="E24" s="10">
        <v>22</v>
      </c>
      <c r="F24" s="10">
        <v>5.2</v>
      </c>
      <c r="G24" s="4" t="s">
        <v>3</v>
      </c>
      <c r="H24" s="11">
        <f>'Pass-through'!D11*1000</f>
        <v>0</v>
      </c>
      <c r="I24" s="10">
        <f t="shared" si="0"/>
        <v>44</v>
      </c>
      <c r="K24" s="10" t="e">
        <f t="shared" si="1"/>
        <v>#VALUE!</v>
      </c>
      <c r="L24" s="8" t="str">
        <f t="shared" si="2"/>
        <v xml:space="preserve"> </v>
      </c>
      <c r="M24" s="4" t="s">
        <v>3</v>
      </c>
      <c r="N24" s="11">
        <v>0.6</v>
      </c>
      <c r="O24" s="11">
        <v>4</v>
      </c>
      <c r="P24" s="4" t="s">
        <v>3</v>
      </c>
      <c r="Q24" s="12">
        <f t="shared" si="3"/>
        <v>14.127661406781087</v>
      </c>
      <c r="R24" s="12" t="e">
        <f t="shared" si="4"/>
        <v>#VALUE!</v>
      </c>
      <c r="S24" s="12" t="e">
        <f t="shared" si="5"/>
        <v>#VALUE!</v>
      </c>
      <c r="T24" s="4" t="s">
        <v>3</v>
      </c>
      <c r="U24" s="12" t="e">
        <f t="shared" si="6"/>
        <v>#VALUE!</v>
      </c>
      <c r="V24" s="12" t="e">
        <f t="shared" si="7"/>
        <v>#VALUE!</v>
      </c>
      <c r="W24" s="12" t="e">
        <f t="shared" si="8"/>
        <v>#VALUE!</v>
      </c>
      <c r="X24" s="12" t="e">
        <f t="shared" si="9"/>
        <v>#VALUE!</v>
      </c>
      <c r="Y24" s="4" t="s">
        <v>3</v>
      </c>
      <c r="Z24" s="12">
        <f t="shared" si="10"/>
        <v>0.55451302937619107</v>
      </c>
      <c r="AA24" s="12">
        <f t="shared" si="11"/>
        <v>2.4943923275892406</v>
      </c>
      <c r="AB24" s="12" t="e">
        <f t="shared" si="12"/>
        <v>#VALUE!</v>
      </c>
      <c r="AC24" s="12" t="e">
        <f t="shared" si="13"/>
        <v>#VALUE!</v>
      </c>
      <c r="AD24" s="12">
        <f t="shared" si="14"/>
        <v>0.30748469974796055</v>
      </c>
      <c r="AE24" s="12">
        <f t="shared" si="15"/>
        <v>8.6177696241052204E-2</v>
      </c>
      <c r="AF24" s="12" t="e">
        <f t="shared" si="16"/>
        <v>#VALUE!</v>
      </c>
      <c r="AG24" s="12" t="e">
        <f t="shared" si="17"/>
        <v>#VALUE!</v>
      </c>
    </row>
    <row r="25" spans="1:33" ht="15.6" x14ac:dyDescent="0.3">
      <c r="A25" s="2" t="s">
        <v>74</v>
      </c>
      <c r="C25" s="2" t="s">
        <v>66</v>
      </c>
      <c r="D25" s="4" t="s">
        <v>3</v>
      </c>
      <c r="E25" s="10">
        <v>2000</v>
      </c>
      <c r="F25" s="10">
        <v>1000</v>
      </c>
      <c r="G25" s="4" t="s">
        <v>3</v>
      </c>
      <c r="H25" s="11">
        <v>0</v>
      </c>
      <c r="I25" s="10">
        <f t="shared" si="0"/>
        <v>4000</v>
      </c>
      <c r="K25" s="10" t="e">
        <f t="shared" si="1"/>
        <v>#VALUE!</v>
      </c>
      <c r="L25" s="8" t="str">
        <f t="shared" si="2"/>
        <v xml:space="preserve"> </v>
      </c>
      <c r="M25" s="4" t="s">
        <v>3</v>
      </c>
      <c r="N25" s="11">
        <v>0.6</v>
      </c>
      <c r="O25" s="11">
        <v>4</v>
      </c>
      <c r="P25" s="4" t="s">
        <v>3</v>
      </c>
      <c r="Q25" s="12">
        <f t="shared" si="3"/>
        <v>1284.3328551619159</v>
      </c>
      <c r="R25" s="12" t="e">
        <f t="shared" si="4"/>
        <v>#VALUE!</v>
      </c>
      <c r="S25" s="12" t="e">
        <f t="shared" si="5"/>
        <v>#VALUE!</v>
      </c>
      <c r="T25" s="4" t="s">
        <v>3</v>
      </c>
      <c r="U25" s="12" t="e">
        <f t="shared" si="6"/>
        <v>#VALUE!</v>
      </c>
      <c r="V25" s="12" t="e">
        <f t="shared" si="7"/>
        <v>#VALUE!</v>
      </c>
      <c r="W25" s="12" t="e">
        <f t="shared" si="8"/>
        <v>#VALUE!</v>
      </c>
      <c r="X25" s="12" t="e">
        <f t="shared" si="9"/>
        <v>#VALUE!</v>
      </c>
      <c r="Y25" s="4" t="s">
        <v>3</v>
      </c>
      <c r="Z25" s="12">
        <f t="shared" si="10"/>
        <v>0.55451302937619107</v>
      </c>
      <c r="AA25" s="12">
        <f t="shared" si="11"/>
        <v>7.0042523337730067</v>
      </c>
      <c r="AB25" s="12" t="e">
        <f t="shared" si="12"/>
        <v>#VALUE!</v>
      </c>
      <c r="AC25" s="12" t="e">
        <f t="shared" si="13"/>
        <v>#VALUE!</v>
      </c>
      <c r="AD25" s="12">
        <f t="shared" si="14"/>
        <v>0.30748469974796055</v>
      </c>
      <c r="AE25" s="12">
        <f t="shared" si="15"/>
        <v>8.6177696241052204E-2</v>
      </c>
      <c r="AF25" s="12" t="e">
        <f t="shared" si="16"/>
        <v>#VALUE!</v>
      </c>
      <c r="AG25" s="12" t="e">
        <f t="shared" si="17"/>
        <v>#VALUE!</v>
      </c>
    </row>
    <row r="26" spans="1:33" ht="15.6" x14ac:dyDescent="0.3">
      <c r="A26" s="2" t="s">
        <v>75</v>
      </c>
      <c r="C26" s="2" t="s">
        <v>66</v>
      </c>
      <c r="D26" s="4" t="s">
        <v>3</v>
      </c>
      <c r="E26" s="10">
        <v>2000</v>
      </c>
      <c r="F26" s="10">
        <v>1000</v>
      </c>
      <c r="G26" s="4" t="s">
        <v>3</v>
      </c>
      <c r="H26" s="11">
        <v>0</v>
      </c>
      <c r="I26" s="10">
        <f t="shared" si="0"/>
        <v>4000</v>
      </c>
      <c r="K26" s="10" t="e">
        <f t="shared" si="1"/>
        <v>#VALUE!</v>
      </c>
      <c r="L26" s="8" t="str">
        <f t="shared" si="2"/>
        <v xml:space="preserve"> </v>
      </c>
      <c r="M26" s="4" t="s">
        <v>3</v>
      </c>
      <c r="N26" s="11">
        <v>0.6</v>
      </c>
      <c r="O26" s="11">
        <v>4</v>
      </c>
      <c r="P26" s="4" t="s">
        <v>3</v>
      </c>
      <c r="Q26" s="12">
        <f t="shared" si="3"/>
        <v>1284.3328551619159</v>
      </c>
      <c r="R26" s="12" t="e">
        <f t="shared" si="4"/>
        <v>#VALUE!</v>
      </c>
      <c r="S26" s="12" t="e">
        <f t="shared" si="5"/>
        <v>#VALUE!</v>
      </c>
      <c r="T26" s="4" t="s">
        <v>3</v>
      </c>
      <c r="U26" s="12" t="e">
        <f t="shared" si="6"/>
        <v>#VALUE!</v>
      </c>
      <c r="V26" s="12" t="e">
        <f t="shared" si="7"/>
        <v>#VALUE!</v>
      </c>
      <c r="W26" s="12" t="e">
        <f t="shared" si="8"/>
        <v>#VALUE!</v>
      </c>
      <c r="X26" s="12" t="e">
        <f t="shared" si="9"/>
        <v>#VALUE!</v>
      </c>
      <c r="Y26" s="4" t="s">
        <v>3</v>
      </c>
      <c r="Z26" s="12">
        <f t="shared" si="10"/>
        <v>0.55451302937619107</v>
      </c>
      <c r="AA26" s="12">
        <f t="shared" si="11"/>
        <v>7.0042523337730067</v>
      </c>
      <c r="AB26" s="12" t="e">
        <f t="shared" si="12"/>
        <v>#VALUE!</v>
      </c>
      <c r="AC26" s="12" t="e">
        <f t="shared" si="13"/>
        <v>#VALUE!</v>
      </c>
      <c r="AD26" s="12">
        <f t="shared" si="14"/>
        <v>0.30748469974796055</v>
      </c>
      <c r="AE26" s="12">
        <f t="shared" si="15"/>
        <v>8.6177696241052204E-2</v>
      </c>
      <c r="AF26" s="12" t="e">
        <f t="shared" si="16"/>
        <v>#VALUE!</v>
      </c>
      <c r="AG26" s="12" t="e">
        <f t="shared" si="17"/>
        <v>#VALUE!</v>
      </c>
    </row>
    <row r="27" spans="1:33" ht="15.6" x14ac:dyDescent="0.3">
      <c r="A27" s="2" t="s">
        <v>76</v>
      </c>
      <c r="D27" s="4" t="s">
        <v>3</v>
      </c>
      <c r="E27" s="10" t="e">
        <f>EXP(1.266*LN($I$7)-1.416)</f>
        <v>#VALUE!</v>
      </c>
      <c r="F27" s="10" t="e">
        <f>EXP(1.266*LN($I$6)-4.661)</f>
        <v>#VALUE!</v>
      </c>
      <c r="G27" s="4" t="s">
        <v>3</v>
      </c>
      <c r="H27" s="11">
        <f>'Pass-through'!D12*1000</f>
        <v>0</v>
      </c>
      <c r="I27" s="10" t="e">
        <f t="shared" si="0"/>
        <v>#VALUE!</v>
      </c>
      <c r="K27" s="10" t="e">
        <f t="shared" si="1"/>
        <v>#VALUE!</v>
      </c>
      <c r="L27" s="8" t="e">
        <f t="shared" si="2"/>
        <v>#VALUE!</v>
      </c>
      <c r="M27" s="4" t="s">
        <v>3</v>
      </c>
      <c r="N27" s="11">
        <v>0.6</v>
      </c>
      <c r="O27" s="11">
        <v>4</v>
      </c>
      <c r="P27" s="4" t="s">
        <v>3</v>
      </c>
      <c r="Q27" s="12" t="e">
        <f t="shared" si="3"/>
        <v>#VALUE!</v>
      </c>
      <c r="R27" s="12" t="e">
        <f t="shared" si="4"/>
        <v>#VALUE!</v>
      </c>
      <c r="S27" s="12" t="e">
        <f t="shared" si="5"/>
        <v>#VALUE!</v>
      </c>
      <c r="T27" s="4" t="s">
        <v>3</v>
      </c>
      <c r="U27" s="12" t="e">
        <f t="shared" si="6"/>
        <v>#VALUE!</v>
      </c>
      <c r="V27" s="12" t="e">
        <f t="shared" si="7"/>
        <v>#VALUE!</v>
      </c>
      <c r="W27" s="12" t="e">
        <f t="shared" si="8"/>
        <v>#VALUE!</v>
      </c>
      <c r="X27" s="12" t="e">
        <f t="shared" si="9"/>
        <v>#VALUE!</v>
      </c>
      <c r="Y27" s="4" t="s">
        <v>3</v>
      </c>
      <c r="Z27" s="12">
        <f t="shared" si="10"/>
        <v>0.55451302937619107</v>
      </c>
      <c r="AA27" s="12" t="e">
        <f t="shared" si="11"/>
        <v>#VALUE!</v>
      </c>
      <c r="AB27" s="12" t="e">
        <f t="shared" si="12"/>
        <v>#VALUE!</v>
      </c>
      <c r="AC27" s="12" t="e">
        <f t="shared" si="13"/>
        <v>#VALUE!</v>
      </c>
      <c r="AD27" s="12">
        <f t="shared" si="14"/>
        <v>0.30748469974796055</v>
      </c>
      <c r="AE27" s="12">
        <f t="shared" si="15"/>
        <v>8.6177696241052204E-2</v>
      </c>
      <c r="AF27" s="12" t="e">
        <f t="shared" si="16"/>
        <v>#VALUE!</v>
      </c>
      <c r="AG27" s="12" t="e">
        <f t="shared" si="17"/>
        <v>#VALUE!</v>
      </c>
    </row>
    <row r="28" spans="1:33" ht="15.6" x14ac:dyDescent="0.3">
      <c r="A28" s="2" t="s">
        <v>77</v>
      </c>
      <c r="C28" s="2" t="s">
        <v>66</v>
      </c>
      <c r="D28" s="4" t="s">
        <v>3</v>
      </c>
      <c r="E28" s="10">
        <v>2.4</v>
      </c>
      <c r="F28" s="12">
        <v>1.2E-2</v>
      </c>
      <c r="G28" s="4" t="s">
        <v>3</v>
      </c>
      <c r="H28" s="11">
        <f>'Pass-through'!D13*1000</f>
        <v>0</v>
      </c>
      <c r="I28" s="10">
        <f t="shared" si="0"/>
        <v>4.8</v>
      </c>
      <c r="K28" s="10" t="e">
        <f t="shared" si="1"/>
        <v>#VALUE!</v>
      </c>
      <c r="L28" s="8" t="str">
        <f t="shared" si="2"/>
        <v xml:space="preserve"> </v>
      </c>
      <c r="M28" s="4" t="s">
        <v>3</v>
      </c>
      <c r="N28" s="11">
        <v>0.6</v>
      </c>
      <c r="O28" s="11">
        <v>4</v>
      </c>
      <c r="P28" s="4" t="s">
        <v>3</v>
      </c>
      <c r="Q28" s="12">
        <f t="shared" si="3"/>
        <v>1.5411994261943005</v>
      </c>
      <c r="R28" s="12" t="e">
        <f t="shared" si="4"/>
        <v>#VALUE!</v>
      </c>
      <c r="S28" s="12" t="e">
        <f t="shared" si="5"/>
        <v>#VALUE!</v>
      </c>
      <c r="T28" s="4" t="s">
        <v>3</v>
      </c>
      <c r="U28" s="12" t="e">
        <f t="shared" si="6"/>
        <v>#VALUE!</v>
      </c>
      <c r="V28" s="12" t="e">
        <f t="shared" si="7"/>
        <v>#VALUE!</v>
      </c>
      <c r="W28" s="12" t="e">
        <f t="shared" si="8"/>
        <v>#VALUE!</v>
      </c>
      <c r="X28" s="12" t="e">
        <f t="shared" si="9"/>
        <v>#VALUE!</v>
      </c>
      <c r="Y28" s="4" t="s">
        <v>3</v>
      </c>
      <c r="Z28" s="12">
        <f t="shared" si="10"/>
        <v>0.55451302937619107</v>
      </c>
      <c r="AA28" s="12">
        <f t="shared" si="11"/>
        <v>0.27881861158482479</v>
      </c>
      <c r="AB28" s="12" t="e">
        <f t="shared" si="12"/>
        <v>#VALUE!</v>
      </c>
      <c r="AC28" s="12" t="e">
        <f t="shared" si="13"/>
        <v>#VALUE!</v>
      </c>
      <c r="AD28" s="12">
        <f t="shared" si="14"/>
        <v>0.30748469974796055</v>
      </c>
      <c r="AE28" s="12">
        <f t="shared" si="15"/>
        <v>8.6177696241052204E-2</v>
      </c>
      <c r="AF28" s="12" t="e">
        <f t="shared" si="16"/>
        <v>#VALUE!</v>
      </c>
      <c r="AG28" s="12" t="e">
        <f t="shared" si="17"/>
        <v>#VALUE!</v>
      </c>
    </row>
    <row r="29" spans="1:33" ht="15.6" x14ac:dyDescent="0.3">
      <c r="A29" s="2" t="s">
        <v>78</v>
      </c>
      <c r="D29" s="4" t="s">
        <v>3</v>
      </c>
      <c r="E29" s="10" t="e">
        <f>EXP(0.8464*LN($I$7)+3.3612)</f>
        <v>#VALUE!</v>
      </c>
      <c r="F29" s="10" t="e">
        <f>EXP(0.846*LN($I$6)+1.1645)</f>
        <v>#VALUE!</v>
      </c>
      <c r="G29" s="4" t="s">
        <v>3</v>
      </c>
      <c r="H29" s="11">
        <f>'Pass-through'!D15*1000</f>
        <v>0</v>
      </c>
      <c r="I29" s="10" t="e">
        <f t="shared" si="0"/>
        <v>#VALUE!</v>
      </c>
      <c r="K29" s="10" t="e">
        <f t="shared" si="1"/>
        <v>#VALUE!</v>
      </c>
      <c r="L29" s="8" t="e">
        <f t="shared" si="2"/>
        <v>#VALUE!</v>
      </c>
      <c r="M29" s="4" t="s">
        <v>3</v>
      </c>
      <c r="N29" s="11">
        <v>0.6</v>
      </c>
      <c r="O29" s="11">
        <v>4</v>
      </c>
      <c r="P29" s="4" t="s">
        <v>3</v>
      </c>
      <c r="Q29" s="12" t="e">
        <f t="shared" si="3"/>
        <v>#VALUE!</v>
      </c>
      <c r="R29" s="12" t="e">
        <f t="shared" si="4"/>
        <v>#VALUE!</v>
      </c>
      <c r="S29" s="12" t="e">
        <f t="shared" si="5"/>
        <v>#VALUE!</v>
      </c>
      <c r="T29" s="4" t="s">
        <v>3</v>
      </c>
      <c r="U29" s="12" t="e">
        <f t="shared" si="6"/>
        <v>#VALUE!</v>
      </c>
      <c r="V29" s="12" t="e">
        <f t="shared" si="7"/>
        <v>#VALUE!</v>
      </c>
      <c r="W29" s="12" t="e">
        <f t="shared" si="8"/>
        <v>#VALUE!</v>
      </c>
      <c r="X29" s="12" t="e">
        <f t="shared" si="9"/>
        <v>#VALUE!</v>
      </c>
      <c r="Y29" s="4" t="s">
        <v>3</v>
      </c>
      <c r="Z29" s="12">
        <f t="shared" si="10"/>
        <v>0.55451302937619107</v>
      </c>
      <c r="AA29" s="12" t="e">
        <f t="shared" si="11"/>
        <v>#VALUE!</v>
      </c>
      <c r="AB29" s="12" t="e">
        <f t="shared" si="12"/>
        <v>#VALUE!</v>
      </c>
      <c r="AC29" s="12" t="e">
        <f t="shared" si="13"/>
        <v>#VALUE!</v>
      </c>
      <c r="AD29" s="12">
        <f t="shared" si="14"/>
        <v>0.30748469974796055</v>
      </c>
      <c r="AE29" s="12">
        <f t="shared" si="15"/>
        <v>8.6177696241052204E-2</v>
      </c>
      <c r="AF29" s="12" t="e">
        <f t="shared" si="16"/>
        <v>#VALUE!</v>
      </c>
      <c r="AG29" s="12" t="e">
        <f t="shared" si="17"/>
        <v>#VALUE!</v>
      </c>
    </row>
    <row r="30" spans="1:33" ht="15.6" x14ac:dyDescent="0.3">
      <c r="A30" s="2" t="s">
        <v>79</v>
      </c>
      <c r="C30" s="2" t="s">
        <v>66</v>
      </c>
      <c r="D30" s="4" t="s">
        <v>3</v>
      </c>
      <c r="E30" s="10" t="e">
        <f>EXP(1.72*LN($I$7)-6.52)</f>
        <v>#VALUE!</v>
      </c>
      <c r="F30" s="10">
        <v>0.12</v>
      </c>
      <c r="G30" s="4" t="s">
        <v>3</v>
      </c>
      <c r="H30" s="11">
        <f>'Pass-through'!D17*1000</f>
        <v>0</v>
      </c>
      <c r="I30" s="10" t="e">
        <f t="shared" si="0"/>
        <v>#VALUE!</v>
      </c>
      <c r="K30" s="10" t="e">
        <f t="shared" si="1"/>
        <v>#VALUE!</v>
      </c>
      <c r="L30" s="8" t="e">
        <f>IF(H30&gt;E30,"(C)"," ")</f>
        <v>#VALUE!</v>
      </c>
      <c r="M30" s="4" t="s">
        <v>3</v>
      </c>
      <c r="N30" s="11">
        <v>0.6</v>
      </c>
      <c r="O30" s="11">
        <v>4</v>
      </c>
      <c r="P30" s="4" t="s">
        <v>3</v>
      </c>
      <c r="Q30" s="12" t="e">
        <f t="shared" si="3"/>
        <v>#VALUE!</v>
      </c>
      <c r="R30" s="12" t="e">
        <f t="shared" si="4"/>
        <v>#VALUE!</v>
      </c>
      <c r="S30" s="12" t="e">
        <f t="shared" si="5"/>
        <v>#VALUE!</v>
      </c>
      <c r="T30" s="4" t="s">
        <v>3</v>
      </c>
      <c r="U30" s="12" t="e">
        <f t="shared" si="6"/>
        <v>#VALUE!</v>
      </c>
      <c r="V30" s="12" t="e">
        <f t="shared" si="7"/>
        <v>#VALUE!</v>
      </c>
      <c r="W30" s="12" t="e">
        <f t="shared" si="8"/>
        <v>#VALUE!</v>
      </c>
      <c r="X30" s="12" t="e">
        <f t="shared" si="9"/>
        <v>#VALUE!</v>
      </c>
      <c r="Y30" s="4" t="s">
        <v>3</v>
      </c>
      <c r="Z30" s="12">
        <f t="shared" si="10"/>
        <v>0.55451302937619107</v>
      </c>
      <c r="AA30" s="12" t="e">
        <f t="shared" si="11"/>
        <v>#VALUE!</v>
      </c>
      <c r="AB30" s="12" t="e">
        <f t="shared" si="12"/>
        <v>#VALUE!</v>
      </c>
      <c r="AC30" s="12" t="e">
        <f t="shared" si="13"/>
        <v>#VALUE!</v>
      </c>
      <c r="AD30" s="12">
        <f t="shared" si="14"/>
        <v>0.30748469974796055</v>
      </c>
      <c r="AE30" s="12">
        <f t="shared" si="15"/>
        <v>8.6177696241052204E-2</v>
      </c>
      <c r="AF30" s="12" t="e">
        <f t="shared" si="16"/>
        <v>#VALUE!</v>
      </c>
      <c r="AG30" s="12" t="e">
        <f t="shared" si="17"/>
        <v>#VALUE!</v>
      </c>
    </row>
    <row r="31" spans="1:33" ht="15.6" x14ac:dyDescent="0.3">
      <c r="A31" s="2" t="s">
        <v>80</v>
      </c>
      <c r="D31" s="4" t="s">
        <v>3</v>
      </c>
      <c r="E31" s="10" t="e">
        <f>EXP(0.8473*LN($I$7)+0.8604)</f>
        <v>#VALUE!</v>
      </c>
      <c r="F31" s="10" t="e">
        <f>EXP(0.8473*LN($I$6)+0.7614)</f>
        <v>#VALUE!</v>
      </c>
      <c r="G31" s="4" t="s">
        <v>3</v>
      </c>
      <c r="H31" s="11">
        <f>'Pass-through'!D18*1000</f>
        <v>0</v>
      </c>
      <c r="I31" s="10" t="e">
        <f t="shared" si="0"/>
        <v>#VALUE!</v>
      </c>
      <c r="K31" s="10" t="e">
        <f t="shared" si="1"/>
        <v>#VALUE!</v>
      </c>
      <c r="L31" s="8" t="e">
        <f>IF(H31&gt;F31,"(C)"," ")</f>
        <v>#VALUE!</v>
      </c>
      <c r="M31" s="4" t="s">
        <v>3</v>
      </c>
      <c r="N31" s="11">
        <v>0.6</v>
      </c>
      <c r="O31" s="11">
        <v>4</v>
      </c>
      <c r="P31" s="4" t="s">
        <v>3</v>
      </c>
      <c r="Q31" s="12" t="e">
        <f t="shared" si="3"/>
        <v>#VALUE!</v>
      </c>
      <c r="R31" s="12" t="e">
        <f t="shared" si="4"/>
        <v>#VALUE!</v>
      </c>
      <c r="S31" s="12" t="e">
        <f t="shared" si="5"/>
        <v>#VALUE!</v>
      </c>
      <c r="T31" s="4" t="s">
        <v>3</v>
      </c>
      <c r="U31" s="12" t="e">
        <f t="shared" si="6"/>
        <v>#VALUE!</v>
      </c>
      <c r="V31" s="12" t="e">
        <f t="shared" si="7"/>
        <v>#VALUE!</v>
      </c>
      <c r="W31" s="12" t="e">
        <f t="shared" si="8"/>
        <v>#VALUE!</v>
      </c>
      <c r="X31" s="12" t="e">
        <f t="shared" si="9"/>
        <v>#VALUE!</v>
      </c>
      <c r="Y31" s="4" t="s">
        <v>3</v>
      </c>
      <c r="Z31" s="12">
        <f t="shared" si="10"/>
        <v>0.55451302937619107</v>
      </c>
      <c r="AA31" s="12" t="e">
        <f t="shared" si="11"/>
        <v>#VALUE!</v>
      </c>
      <c r="AB31" s="12" t="e">
        <f t="shared" si="12"/>
        <v>#VALUE!</v>
      </c>
      <c r="AC31" s="12" t="e">
        <f t="shared" si="13"/>
        <v>#VALUE!</v>
      </c>
      <c r="AD31" s="12">
        <f t="shared" si="14"/>
        <v>0.30748469974796055</v>
      </c>
      <c r="AE31" s="12">
        <f t="shared" si="15"/>
        <v>8.6177696241052204E-2</v>
      </c>
      <c r="AF31" s="12" t="e">
        <f t="shared" si="16"/>
        <v>#VALUE!</v>
      </c>
      <c r="AG31" s="12" t="e">
        <f t="shared" si="17"/>
        <v>#VALUE!</v>
      </c>
    </row>
    <row r="32" spans="1:33" x14ac:dyDescent="0.25">
      <c r="E32" s="12"/>
      <c r="F32" s="12"/>
      <c r="G32" s="12"/>
      <c r="H32" s="12"/>
      <c r="I32" s="12"/>
      <c r="J32" s="12"/>
      <c r="K32" s="12"/>
      <c r="L32" s="12"/>
      <c r="M32" s="12"/>
      <c r="N32" s="12"/>
      <c r="O32" s="12"/>
      <c r="P32" s="12"/>
      <c r="Q32" s="12"/>
      <c r="R32" s="12"/>
      <c r="S32" s="12"/>
      <c r="T32" s="12"/>
      <c r="U32" s="12"/>
      <c r="V32" s="12"/>
      <c r="W32" s="12"/>
      <c r="X32" s="12"/>
    </row>
    <row r="33" spans="1:11" x14ac:dyDescent="0.25">
      <c r="B33" s="2" t="s">
        <v>81</v>
      </c>
    </row>
    <row r="34" spans="1:11" x14ac:dyDescent="0.25">
      <c r="C34" s="2" t="s">
        <v>82</v>
      </c>
    </row>
    <row r="35" spans="1:11" x14ac:dyDescent="0.25">
      <c r="C35" s="2" t="s">
        <v>83</v>
      </c>
    </row>
    <row r="36" spans="1:11" x14ac:dyDescent="0.25">
      <c r="C36" s="2" t="s">
        <v>84</v>
      </c>
    </row>
    <row r="37" spans="1:11" x14ac:dyDescent="0.25">
      <c r="C37" s="2" t="s">
        <v>85</v>
      </c>
    </row>
    <row r="38" spans="1:11" x14ac:dyDescent="0.25">
      <c r="C38" s="2" t="s">
        <v>86</v>
      </c>
    </row>
    <row r="39" spans="1:11" x14ac:dyDescent="0.25">
      <c r="A39" s="2" t="s">
        <v>87</v>
      </c>
    </row>
    <row r="40" spans="1:11" x14ac:dyDescent="0.25">
      <c r="A40" s="2" t="s">
        <v>88</v>
      </c>
    </row>
    <row r="41" spans="1:11" x14ac:dyDescent="0.25">
      <c r="A41" s="2" t="s">
        <v>89</v>
      </c>
    </row>
    <row r="42" spans="1:11" x14ac:dyDescent="0.25">
      <c r="A42" s="2" t="s">
        <v>90</v>
      </c>
      <c r="K42" s="10"/>
    </row>
    <row r="43" spans="1:11" x14ac:dyDescent="0.25">
      <c r="A43" s="2" t="s">
        <v>91</v>
      </c>
    </row>
    <row r="44" spans="1:11" x14ac:dyDescent="0.25">
      <c r="A44" s="2" t="s">
        <v>92</v>
      </c>
    </row>
    <row r="45" spans="1:11" x14ac:dyDescent="0.25">
      <c r="A45" s="2" t="s">
        <v>93</v>
      </c>
    </row>
    <row r="46" spans="1:11" x14ac:dyDescent="0.25">
      <c r="A46" s="2" t="s">
        <v>94</v>
      </c>
    </row>
    <row r="47" spans="1:11" x14ac:dyDescent="0.25">
      <c r="A47" s="2" t="s">
        <v>95</v>
      </c>
    </row>
    <row r="48" spans="1:11" x14ac:dyDescent="0.25">
      <c r="A48" s="2" t="s">
        <v>96</v>
      </c>
    </row>
    <row r="49" spans="1:2" x14ac:dyDescent="0.25">
      <c r="A49" s="2" t="s">
        <v>97</v>
      </c>
    </row>
    <row r="50" spans="1:2" x14ac:dyDescent="0.25">
      <c r="A50" s="2" t="s">
        <v>98</v>
      </c>
    </row>
    <row r="51" spans="1:2" x14ac:dyDescent="0.25">
      <c r="A51" s="2" t="s">
        <v>99</v>
      </c>
    </row>
    <row r="52" spans="1:2" x14ac:dyDescent="0.25">
      <c r="A52" s="2" t="s">
        <v>100</v>
      </c>
    </row>
    <row r="53" spans="1:2" x14ac:dyDescent="0.25">
      <c r="A53" s="2" t="s">
        <v>101</v>
      </c>
    </row>
    <row r="54" spans="1:2" x14ac:dyDescent="0.25">
      <c r="A54" s="2" t="s">
        <v>102</v>
      </c>
    </row>
    <row r="55" spans="1:2" x14ac:dyDescent="0.25">
      <c r="A55" s="2" t="s">
        <v>103</v>
      </c>
    </row>
    <row r="56" spans="1:2" x14ac:dyDescent="0.25">
      <c r="A56" s="2" t="s">
        <v>104</v>
      </c>
    </row>
    <row r="57" spans="1:2" x14ac:dyDescent="0.25">
      <c r="A57" s="2" t="s">
        <v>105</v>
      </c>
    </row>
    <row r="58" spans="1:2" x14ac:dyDescent="0.25">
      <c r="A58" s="2" t="s">
        <v>106</v>
      </c>
      <c r="B58" s="2" t="s">
        <v>107</v>
      </c>
    </row>
    <row r="59" spans="1:2" x14ac:dyDescent="0.25">
      <c r="A59" s="2" t="s">
        <v>108</v>
      </c>
      <c r="B59" s="2" t="s">
        <v>109</v>
      </c>
    </row>
    <row r="60" spans="1:2" x14ac:dyDescent="0.25">
      <c r="A60" s="2" t="s">
        <v>110</v>
      </c>
      <c r="B60" s="2" t="s">
        <v>111</v>
      </c>
    </row>
    <row r="61" spans="1:2" x14ac:dyDescent="0.25">
      <c r="A61" s="2" t="s">
        <v>106</v>
      </c>
      <c r="B61" s="2" t="s">
        <v>107</v>
      </c>
    </row>
    <row r="62" spans="1:2" x14ac:dyDescent="0.25">
      <c r="A62" s="2" t="s">
        <v>108</v>
      </c>
      <c r="B62" s="2" t="s">
        <v>109</v>
      </c>
    </row>
    <row r="63" spans="1:2" x14ac:dyDescent="0.25">
      <c r="A63" s="2" t="s">
        <v>112</v>
      </c>
      <c r="B63" s="2" t="s">
        <v>113</v>
      </c>
    </row>
    <row r="64" spans="1:2" x14ac:dyDescent="0.25">
      <c r="A64" s="2" t="s">
        <v>107</v>
      </c>
      <c r="B64" s="2" t="s">
        <v>106</v>
      </c>
    </row>
    <row r="65" spans="1:2" x14ac:dyDescent="0.25">
      <c r="A65" s="2" t="s">
        <v>109</v>
      </c>
      <c r="B65" s="2" t="s">
        <v>108</v>
      </c>
    </row>
    <row r="66" spans="1:2" x14ac:dyDescent="0.25">
      <c r="A66" s="2" t="s">
        <v>114</v>
      </c>
      <c r="B66" s="2" t="s">
        <v>115</v>
      </c>
    </row>
    <row r="68" spans="1:2" x14ac:dyDescent="0.25">
      <c r="A68" s="2" t="s">
        <v>116</v>
      </c>
    </row>
    <row r="69" spans="1:2" x14ac:dyDescent="0.25">
      <c r="A69" s="2" t="s">
        <v>117</v>
      </c>
      <c r="B69" s="2" t="s">
        <v>118</v>
      </c>
    </row>
    <row r="70" spans="1:2" x14ac:dyDescent="0.25">
      <c r="A70" s="2" t="s">
        <v>119</v>
      </c>
      <c r="B70" s="2" t="s">
        <v>120</v>
      </c>
    </row>
    <row r="71" spans="1:2" x14ac:dyDescent="0.25">
      <c r="A71" s="2" t="s">
        <v>121</v>
      </c>
      <c r="B71" s="2" t="s">
        <v>122</v>
      </c>
    </row>
    <row r="72" spans="1:2" x14ac:dyDescent="0.25">
      <c r="A72" s="2" t="s">
        <v>123</v>
      </c>
      <c r="B72" s="2" t="s">
        <v>124</v>
      </c>
    </row>
    <row r="73" spans="1:2" x14ac:dyDescent="0.25">
      <c r="A73" s="2" t="s">
        <v>125</v>
      </c>
      <c r="B73" s="2" t="s">
        <v>126</v>
      </c>
    </row>
    <row r="74" spans="1:2" x14ac:dyDescent="0.25">
      <c r="A74" s="2" t="s">
        <v>127</v>
      </c>
      <c r="B74" s="2" t="s">
        <v>128</v>
      </c>
    </row>
    <row r="75" spans="1:2" x14ac:dyDescent="0.25">
      <c r="A75" s="2" t="s">
        <v>129</v>
      </c>
      <c r="B75" s="2" t="s">
        <v>130</v>
      </c>
    </row>
    <row r="76" spans="1:2" x14ac:dyDescent="0.25">
      <c r="A76" s="2" t="s">
        <v>131</v>
      </c>
      <c r="B76" s="2" t="s">
        <v>132</v>
      </c>
    </row>
    <row r="77" spans="1:2" x14ac:dyDescent="0.25">
      <c r="A77" s="2" t="s">
        <v>133</v>
      </c>
      <c r="B77" s="2" t="s">
        <v>134</v>
      </c>
    </row>
    <row r="78" spans="1:2" x14ac:dyDescent="0.25">
      <c r="A78" s="2" t="s">
        <v>135</v>
      </c>
      <c r="B78" s="2" t="s">
        <v>136</v>
      </c>
    </row>
    <row r="79" spans="1:2" x14ac:dyDescent="0.25">
      <c r="A79" s="2" t="s">
        <v>137</v>
      </c>
      <c r="B79" s="2" t="s">
        <v>138</v>
      </c>
    </row>
    <row r="80" spans="1:2" x14ac:dyDescent="0.25">
      <c r="A80" s="2" t="s">
        <v>139</v>
      </c>
      <c r="B80" s="2" t="s">
        <v>134</v>
      </c>
    </row>
  </sheetData>
  <sheetProtection password="FEA0" sheet="1" objects="1" scenarios="1"/>
  <phoneticPr fontId="8"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G1"/>
    </sheetView>
  </sheetViews>
  <sheetFormatPr defaultColWidth="9.33203125" defaultRowHeight="12.75" customHeight="1" x14ac:dyDescent="0.25"/>
  <cols>
    <col min="1" max="1" width="23.109375" style="8" bestFit="1" customWidth="1"/>
    <col min="2" max="2" width="12.6640625" style="8" bestFit="1" customWidth="1"/>
    <col min="3" max="3" width="13.88671875" style="8" customWidth="1"/>
    <col min="4" max="4" width="13.5546875" style="8" customWidth="1"/>
    <col min="5" max="5" width="16.33203125" style="8" customWidth="1"/>
    <col min="6" max="6" width="13.33203125" style="8" customWidth="1"/>
    <col min="7" max="7" width="24.88671875" style="8" bestFit="1" customWidth="1"/>
    <col min="8" max="8" width="5.6640625" style="8" customWidth="1"/>
    <col min="9" max="9" width="6.109375" style="8" customWidth="1"/>
    <col min="10" max="10" width="17.6640625" style="8" bestFit="1" customWidth="1"/>
    <col min="11" max="16384" width="9.33203125" style="8"/>
  </cols>
  <sheetData>
    <row r="1" spans="1:10" ht="17.399999999999999" x14ac:dyDescent="0.3">
      <c r="A1" s="194" t="s">
        <v>234</v>
      </c>
      <c r="B1" s="221"/>
      <c r="C1" s="221"/>
      <c r="D1" s="221"/>
      <c r="E1" s="221"/>
      <c r="F1" s="221"/>
      <c r="G1" s="221"/>
      <c r="H1" s="5"/>
    </row>
    <row r="2" spans="1:10" ht="18" thickBot="1" x14ac:dyDescent="0.35">
      <c r="B2" s="124"/>
      <c r="C2" s="124"/>
      <c r="D2" s="124"/>
      <c r="E2" s="124"/>
      <c r="F2" s="124"/>
      <c r="G2" s="124"/>
    </row>
    <row r="3" spans="1:10" ht="16.2" thickTop="1" x14ac:dyDescent="0.3">
      <c r="B3" s="125"/>
      <c r="C3" s="126" t="s">
        <v>173</v>
      </c>
      <c r="D3" s="126" t="s">
        <v>151</v>
      </c>
      <c r="E3" s="126" t="s">
        <v>241</v>
      </c>
      <c r="F3" s="127" t="s">
        <v>175</v>
      </c>
      <c r="G3" s="101"/>
    </row>
    <row r="4" spans="1:10" ht="12.75" customHeight="1" x14ac:dyDescent="0.25">
      <c r="B4" s="91"/>
      <c r="C4" s="93" t="s">
        <v>231</v>
      </c>
      <c r="D4" s="93" t="s">
        <v>152</v>
      </c>
      <c r="E4" s="93" t="s">
        <v>242</v>
      </c>
      <c r="F4" s="128" t="s">
        <v>199</v>
      </c>
      <c r="G4" s="109"/>
    </row>
    <row r="5" spans="1:10" ht="12.75" customHeight="1" x14ac:dyDescent="0.25">
      <c r="B5" s="98" t="s">
        <v>215</v>
      </c>
      <c r="C5" s="93" t="s">
        <v>174</v>
      </c>
      <c r="D5" s="93" t="s">
        <v>232</v>
      </c>
      <c r="E5" s="93" t="s">
        <v>243</v>
      </c>
      <c r="F5" s="128" t="s">
        <v>208</v>
      </c>
      <c r="G5" s="109"/>
    </row>
    <row r="6" spans="1:10" ht="12.75" customHeight="1" thickBot="1" x14ac:dyDescent="0.35">
      <c r="B6" s="129"/>
      <c r="C6" s="130" t="s">
        <v>169</v>
      </c>
      <c r="D6" s="130" t="s">
        <v>169</v>
      </c>
      <c r="E6" s="131" t="s">
        <v>274</v>
      </c>
      <c r="F6" s="132" t="s">
        <v>176</v>
      </c>
      <c r="G6" s="109"/>
    </row>
    <row r="7" spans="1:10" ht="12.75" customHeight="1" thickTop="1" x14ac:dyDescent="0.3">
      <c r="B7" s="133" t="s">
        <v>140</v>
      </c>
      <c r="C7" s="79"/>
      <c r="D7" s="50"/>
      <c r="E7" s="134" t="str">
        <f>IF(ISERROR(WQS!U18),"",WQS!U18)</f>
        <v/>
      </c>
      <c r="F7" s="135" t="str">
        <f>IF(MIN(General!$E$27,General!K7)=0,"",IF(C7&gt;0,8.34*C7*General!$E$27/(1-General!K7/100),8.34*E7/1000*General!$E$27/(1-General!K7/100)))</f>
        <v/>
      </c>
      <c r="I7" s="2"/>
      <c r="J7" s="136"/>
    </row>
    <row r="8" spans="1:10" ht="12.75" customHeight="1" x14ac:dyDescent="0.3">
      <c r="B8" s="110" t="s">
        <v>141</v>
      </c>
      <c r="C8" s="56"/>
      <c r="D8" s="51"/>
      <c r="E8" s="137" t="str">
        <f>IF(ISERROR(WQS!U19),"",WQS!U19)</f>
        <v/>
      </c>
      <c r="F8" s="135" t="str">
        <f>IF(MIN(General!$E$27,General!K8)=0,"",IF(C8&gt;0,8.34*C8*General!$E$27/(1-General!K8/100),8.34*E8/1000*General!$E$27/(1-General!K8/100)))</f>
        <v/>
      </c>
      <c r="I8" s="2"/>
      <c r="J8" s="136"/>
    </row>
    <row r="9" spans="1:10" ht="12.75" customHeight="1" x14ac:dyDescent="0.3">
      <c r="B9" s="110" t="s">
        <v>220</v>
      </c>
      <c r="C9" s="56"/>
      <c r="D9" s="51"/>
      <c r="E9" s="137" t="str">
        <f>IF(ISERROR(WQS!U22),"",WQS!U22)</f>
        <v/>
      </c>
      <c r="F9" s="135" t="str">
        <f>IF(MIN(General!$E$27,General!K9)=0,"",IF(C9&gt;0,8.34*C9*General!$E$27/(1-General!K9/100),8.34*E9/1000*General!$E$27/(1-General!K9/100)))</f>
        <v/>
      </c>
      <c r="I9" s="2"/>
      <c r="J9" s="136"/>
    </row>
    <row r="10" spans="1:10" ht="12.75" customHeight="1" x14ac:dyDescent="0.3">
      <c r="B10" s="110" t="s">
        <v>142</v>
      </c>
      <c r="C10" s="56"/>
      <c r="D10" s="51"/>
      <c r="E10" s="137" t="str">
        <f>IF(ISERROR(WQS!U23),"",WQS!U23)</f>
        <v/>
      </c>
      <c r="F10" s="135" t="str">
        <f>IF(MIN(General!$E$27,General!K10)=0,"",IF(C10&gt;0,8.34*C10*General!$E$27/(1-General!K10/100),8.34*E10/1000*General!$E$27/(1-General!K10/100)))</f>
        <v/>
      </c>
      <c r="I10" s="2"/>
      <c r="J10" s="136"/>
    </row>
    <row r="11" spans="1:10" ht="12.75" customHeight="1" x14ac:dyDescent="0.3">
      <c r="B11" s="110" t="s">
        <v>143</v>
      </c>
      <c r="C11" s="56"/>
      <c r="D11" s="51"/>
      <c r="E11" s="137" t="str">
        <f>IF(ISERROR(WQS!U24),"",WQS!U24)</f>
        <v/>
      </c>
      <c r="F11" s="135" t="str">
        <f>IF(MIN(General!$E$27,General!K11)=0,"",IF(C11&gt;0,8.34*C11*General!$E$27/(1-General!K11/100),8.34*E11/1000*General!$E$27/(1-General!K11/100)))</f>
        <v/>
      </c>
      <c r="I11" s="2"/>
      <c r="J11" s="136"/>
    </row>
    <row r="12" spans="1:10" ht="12.75" customHeight="1" x14ac:dyDescent="0.3">
      <c r="B12" s="110" t="s">
        <v>144</v>
      </c>
      <c r="C12" s="56"/>
      <c r="D12" s="51"/>
      <c r="E12" s="137" t="str">
        <f>IF(ISERROR(WQS!U27),"",WQS!U27)</f>
        <v/>
      </c>
      <c r="F12" s="135" t="str">
        <f>IF(MIN(General!$E$27,General!K12)=0,"",IF(C12&gt;0,8.34*C12*General!$E$27/(1-General!K12/100),8.34*E12/1000*General!$E$27/(1-General!K12/100)))</f>
        <v/>
      </c>
      <c r="I12" s="2"/>
      <c r="J12" s="136"/>
    </row>
    <row r="13" spans="1:10" ht="12.75" customHeight="1" x14ac:dyDescent="0.3">
      <c r="B13" s="110" t="s">
        <v>145</v>
      </c>
      <c r="C13" s="56"/>
      <c r="D13" s="51"/>
      <c r="E13" s="137" t="str">
        <f>IF(ISERROR(WQS!U28),"",WQS!U28)</f>
        <v/>
      </c>
      <c r="F13" s="135" t="str">
        <f>IF(MIN(General!$E$27,General!K13)=0,"",IF(C13&gt;0,8.34*C13*General!$E$27/(1-General!K13/100),8.34*E13/1000*General!$E$27/(1-General!K13/100)))</f>
        <v/>
      </c>
      <c r="I13" s="2"/>
      <c r="J13" s="136"/>
    </row>
    <row r="14" spans="1:10" ht="12.75" customHeight="1" x14ac:dyDescent="0.3">
      <c r="B14" s="110" t="s">
        <v>187</v>
      </c>
      <c r="C14" s="56"/>
      <c r="D14" s="51"/>
      <c r="E14" s="138" t="s">
        <v>267</v>
      </c>
      <c r="F14" s="139" t="str">
        <f>IF(MIN(General!$E$27,General!K14)=0,"",IF(C14&gt;0,8.34*C14*General!$E$27/(1-General!K14/100),"NA"))</f>
        <v/>
      </c>
      <c r="I14" s="2"/>
      <c r="J14" s="136"/>
    </row>
    <row r="15" spans="1:10" ht="12.75" customHeight="1" x14ac:dyDescent="0.3">
      <c r="B15" s="110" t="s">
        <v>146</v>
      </c>
      <c r="C15" s="56"/>
      <c r="D15" s="51"/>
      <c r="E15" s="137" t="str">
        <f>IF(ISERROR(WQS!U29),"",WQS!U29)</f>
        <v/>
      </c>
      <c r="F15" s="135" t="str">
        <f>IF(MIN(General!$E$27,General!K15)=0,"",IF(C15&gt;0,8.34*C15*General!$E$27/(1-General!K15/100),8.34*E15/1000*General!$E$27/(1-General!K15/100)))</f>
        <v/>
      </c>
      <c r="I15" s="2"/>
      <c r="J15" s="136"/>
    </row>
    <row r="16" spans="1:10" ht="12.75" customHeight="1" x14ac:dyDescent="0.3">
      <c r="B16" s="110" t="s">
        <v>188</v>
      </c>
      <c r="C16" s="56"/>
      <c r="D16" s="51"/>
      <c r="E16" s="138" t="s">
        <v>267</v>
      </c>
      <c r="F16" s="139" t="str">
        <f>IF(MIN(General!$E$27,General!K16)=0,"",IF(C16&gt;0,8.34*C16*General!$E$27/(1-General!K16/100),"NA"))</f>
        <v/>
      </c>
      <c r="I16" s="2"/>
      <c r="J16" s="136"/>
    </row>
    <row r="17" spans="1:10" ht="12.75" customHeight="1" x14ac:dyDescent="0.3">
      <c r="B17" s="110" t="s">
        <v>147</v>
      </c>
      <c r="C17" s="56"/>
      <c r="D17" s="51"/>
      <c r="E17" s="137" t="str">
        <f>IF(ISERROR(WQS!U30),"",WQS!U30)</f>
        <v/>
      </c>
      <c r="F17" s="135" t="str">
        <f>IF(MIN(General!$E$27,General!K17)=0,"",IF(C17&gt;0,8.34*C17*General!$E$27/(1-General!K17/100),8.34*E17/1000*General!$E$27/(1-General!K17/100)))</f>
        <v/>
      </c>
      <c r="I17" s="2"/>
      <c r="J17" s="136"/>
    </row>
    <row r="18" spans="1:10" ht="12.75" customHeight="1" thickBot="1" x14ac:dyDescent="0.35">
      <c r="B18" s="111" t="s">
        <v>148</v>
      </c>
      <c r="C18" s="80"/>
      <c r="D18" s="52"/>
      <c r="E18" s="140" t="str">
        <f>IF(ISERROR(WQS!U31),"",WQS!U31)</f>
        <v/>
      </c>
      <c r="F18" s="156" t="str">
        <f>IF(MIN(General!$E$27,General!K18)=0,"",IF(C18&gt;0,8.34*C18*General!$E$27/(1-General!K18/100),8.34*E18/1000*General!$E$27/(1-General!K18/100)))</f>
        <v/>
      </c>
      <c r="I18" s="2"/>
      <c r="J18" s="136"/>
    </row>
    <row r="19" spans="1:10" ht="12.75" customHeight="1" thickTop="1" x14ac:dyDescent="0.3">
      <c r="A19" s="8" t="str">
        <f>IF(General!A21="","",General!A21)</f>
        <v/>
      </c>
      <c r="E19" s="141" t="str">
        <f>IF(B19="","",8.34*B19*General!E28/(1-(General!J19/100)))</f>
        <v/>
      </c>
      <c r="I19" s="2"/>
      <c r="J19" s="136"/>
    </row>
    <row r="20" spans="1:10" ht="9" customHeight="1" thickBot="1" x14ac:dyDescent="0.35">
      <c r="I20" s="2"/>
      <c r="J20" s="136"/>
    </row>
    <row r="21" spans="1:10" ht="22.5" customHeight="1" thickTop="1" thickBot="1" x14ac:dyDescent="0.35">
      <c r="A21" s="225" t="s">
        <v>235</v>
      </c>
      <c r="B21" s="226"/>
      <c r="C21" s="222" t="s">
        <v>236</v>
      </c>
      <c r="D21" s="223"/>
      <c r="E21" s="223"/>
      <c r="F21" s="223"/>
      <c r="G21" s="223"/>
      <c r="H21" s="224"/>
      <c r="I21" s="2"/>
      <c r="J21" s="136"/>
    </row>
    <row r="22" spans="1:10" ht="12.75" customHeight="1" x14ac:dyDescent="0.3">
      <c r="A22" s="112" t="s">
        <v>237</v>
      </c>
      <c r="B22" s="51"/>
      <c r="C22" s="229" t="s">
        <v>303</v>
      </c>
      <c r="D22" s="230"/>
      <c r="E22" s="230"/>
      <c r="F22" s="51">
        <v>1</v>
      </c>
      <c r="G22" s="142" t="s">
        <v>304</v>
      </c>
      <c r="H22" s="143" t="str">
        <f>IF(B22&gt;0,F22*General!E27*100/(B22/1.547),"")</f>
        <v/>
      </c>
      <c r="I22" s="2"/>
      <c r="J22" s="136"/>
    </row>
    <row r="23" spans="1:10" ht="12.75" customHeight="1" x14ac:dyDescent="0.3">
      <c r="A23" s="144" t="s">
        <v>238</v>
      </c>
      <c r="B23" s="51"/>
      <c r="C23" s="231" t="s">
        <v>302</v>
      </c>
      <c r="D23" s="232"/>
      <c r="E23" s="232"/>
      <c r="F23" s="51">
        <v>2</v>
      </c>
      <c r="G23" s="145" t="s">
        <v>305</v>
      </c>
      <c r="H23" s="143" t="str">
        <f>IF(B23&gt;0,F23*General!E27*100/(B23/1.547),"")</f>
        <v/>
      </c>
      <c r="I23" s="2"/>
      <c r="J23" s="136"/>
    </row>
    <row r="24" spans="1:10" ht="12.75" customHeight="1" x14ac:dyDescent="0.25">
      <c r="A24" s="144" t="s">
        <v>301</v>
      </c>
      <c r="B24" s="51"/>
      <c r="C24" s="231" t="s">
        <v>298</v>
      </c>
      <c r="D24" s="235"/>
      <c r="E24" s="235"/>
      <c r="F24" s="51">
        <v>80</v>
      </c>
      <c r="G24" s="117" t="s">
        <v>163</v>
      </c>
      <c r="H24" s="146" t="str">
        <f>IF(General!E27&gt;0,General!E27,"")</f>
        <v/>
      </c>
    </row>
    <row r="25" spans="1:10" ht="12.75" customHeight="1" x14ac:dyDescent="0.25">
      <c r="A25" s="91"/>
      <c r="B25" s="147"/>
      <c r="C25" s="231" t="s">
        <v>299</v>
      </c>
      <c r="D25" s="232"/>
      <c r="E25" s="232"/>
      <c r="F25" s="148" t="str">
        <f>IF(AND(ISNUMBER(F22),ISNUMBER(F24),ISNUMBER(B24)),(F22*B24+F24)/(F22+1),IF(AND(F24="",ISNUMBER(F22),ISNUMBER(B24)),(F22*B24+100)/(F22+1),""))</f>
        <v/>
      </c>
      <c r="H25" s="149"/>
    </row>
    <row r="26" spans="1:10" ht="12.75" customHeight="1" thickBot="1" x14ac:dyDescent="0.3">
      <c r="A26" s="129"/>
      <c r="B26" s="150"/>
      <c r="C26" s="233" t="s">
        <v>300</v>
      </c>
      <c r="D26" s="234"/>
      <c r="E26" s="234"/>
      <c r="F26" s="151" t="str">
        <f>IF(AND(ISNUMBER(F23),ISNUMBER(F24),ISNUMBER(B24)),(F23*B24+F24)/(F23+1),IF(AND(F24="",ISNUMBER(F23),ISNUMBER(B24)),(F23*B24+100)/(F23+1),""))</f>
        <v/>
      </c>
      <c r="G26" s="152"/>
      <c r="H26" s="153"/>
    </row>
    <row r="27" spans="1:10" ht="12.75" customHeight="1" thickTop="1" x14ac:dyDescent="0.25">
      <c r="A27" s="154"/>
      <c r="B27" s="154"/>
      <c r="C27" s="155"/>
      <c r="D27" s="95"/>
      <c r="E27" s="95"/>
      <c r="F27" s="154"/>
      <c r="G27" s="154"/>
      <c r="H27" s="154"/>
    </row>
    <row r="28" spans="1:10" ht="48.75" customHeight="1" x14ac:dyDescent="0.25">
      <c r="A28" s="227" t="s">
        <v>239</v>
      </c>
      <c r="B28" s="228"/>
      <c r="C28" s="228"/>
      <c r="D28" s="228"/>
      <c r="E28" s="228"/>
      <c r="F28" s="228"/>
      <c r="G28" s="228"/>
    </row>
    <row r="29" spans="1:10" ht="65.25" customHeight="1" x14ac:dyDescent="0.25">
      <c r="A29" s="227" t="s">
        <v>240</v>
      </c>
      <c r="B29" s="228"/>
      <c r="C29" s="228"/>
      <c r="D29" s="228"/>
      <c r="E29" s="228"/>
      <c r="F29" s="228"/>
      <c r="G29" s="228"/>
    </row>
  </sheetData>
  <sheetProtection password="FEA0" sheet="1" objects="1" scenarios="1"/>
  <mergeCells count="10">
    <mergeCell ref="A1:G1"/>
    <mergeCell ref="C21:H21"/>
    <mergeCell ref="A21:B21"/>
    <mergeCell ref="A29:G29"/>
    <mergeCell ref="A28:G28"/>
    <mergeCell ref="C22:E22"/>
    <mergeCell ref="C23:E23"/>
    <mergeCell ref="C25:E25"/>
    <mergeCell ref="C26:E26"/>
    <mergeCell ref="C24:E24"/>
  </mergeCells>
  <phoneticPr fontId="8" type="noConversion"/>
  <printOptions horizontalCentered="1"/>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sqref="A1:L1"/>
    </sheetView>
  </sheetViews>
  <sheetFormatPr defaultColWidth="9.33203125" defaultRowHeight="13.2" x14ac:dyDescent="0.25"/>
  <cols>
    <col min="1" max="1" width="12.6640625" style="8" bestFit="1" customWidth="1"/>
    <col min="2" max="2" width="9.44140625" style="8" bestFit="1" customWidth="1"/>
    <col min="3" max="3" width="11" style="8" bestFit="1" customWidth="1"/>
    <col min="4" max="4" width="10.33203125" style="8" bestFit="1" customWidth="1"/>
    <col min="5" max="5" width="10.5546875" style="8" customWidth="1"/>
    <col min="6" max="6" width="8.5546875" style="8" customWidth="1"/>
    <col min="7" max="7" width="7.6640625" style="8" bestFit="1" customWidth="1"/>
    <col min="8" max="8" width="10.109375" style="8" bestFit="1" customWidth="1"/>
    <col min="9" max="9" width="10" style="8" bestFit="1" customWidth="1"/>
    <col min="10" max="10" width="9.6640625" style="8" customWidth="1"/>
    <col min="11" max="11" width="10.109375" style="8" bestFit="1" customWidth="1"/>
    <col min="12" max="12" width="10.88671875" style="8" customWidth="1"/>
    <col min="13" max="13" width="11.44140625" style="8" bestFit="1" customWidth="1"/>
    <col min="14" max="14" width="10.33203125" style="8" bestFit="1" customWidth="1"/>
    <col min="15" max="15" width="8.109375" style="8" bestFit="1" customWidth="1"/>
    <col min="16" max="16" width="10.6640625" style="8" bestFit="1" customWidth="1"/>
    <col min="17" max="17" width="6.6640625" style="8" bestFit="1" customWidth="1"/>
    <col min="18" max="16384" width="9.33203125" style="8"/>
  </cols>
  <sheetData>
    <row r="1" spans="1:17" ht="17.399999999999999" x14ac:dyDescent="0.3">
      <c r="A1" s="194" t="s">
        <v>230</v>
      </c>
      <c r="B1" s="221"/>
      <c r="C1" s="221"/>
      <c r="D1" s="221"/>
      <c r="E1" s="221"/>
      <c r="F1" s="221"/>
      <c r="G1" s="221"/>
      <c r="H1" s="221"/>
      <c r="I1" s="221"/>
      <c r="J1" s="221"/>
      <c r="K1" s="221"/>
      <c r="L1" s="221"/>
    </row>
    <row r="2" spans="1:17" ht="18" thickBot="1" x14ac:dyDescent="0.35">
      <c r="A2" s="87"/>
      <c r="B2" s="5"/>
      <c r="C2" s="5"/>
      <c r="D2" s="5"/>
      <c r="E2" s="5"/>
      <c r="F2" s="5"/>
      <c r="G2" s="5"/>
      <c r="H2" s="5"/>
      <c r="I2" s="5"/>
      <c r="J2" s="5"/>
      <c r="K2" s="5"/>
      <c r="L2" s="101"/>
    </row>
    <row r="3" spans="1:17" ht="16.2" thickTop="1" x14ac:dyDescent="0.3">
      <c r="A3" s="125"/>
      <c r="B3" s="206" t="s">
        <v>203</v>
      </c>
      <c r="C3" s="207"/>
      <c r="D3" s="207"/>
      <c r="E3" s="239"/>
      <c r="F3" s="206" t="s">
        <v>204</v>
      </c>
      <c r="G3" s="207"/>
      <c r="H3" s="239"/>
      <c r="I3" s="206" t="s">
        <v>190</v>
      </c>
      <c r="J3" s="237"/>
      <c r="K3" s="238"/>
      <c r="L3" s="157" t="s">
        <v>193</v>
      </c>
      <c r="M3" s="123"/>
      <c r="N3" s="123"/>
      <c r="O3" s="236"/>
      <c r="P3" s="236"/>
      <c r="Q3" s="236"/>
    </row>
    <row r="4" spans="1:17" x14ac:dyDescent="0.25">
      <c r="A4" s="98" t="s">
        <v>215</v>
      </c>
      <c r="B4" s="92" t="s">
        <v>157</v>
      </c>
      <c r="C4" s="154"/>
      <c r="D4" s="93" t="s">
        <v>189</v>
      </c>
      <c r="E4" s="94" t="s">
        <v>199</v>
      </c>
      <c r="F4" s="92" t="s">
        <v>192</v>
      </c>
      <c r="G4" s="93" t="s">
        <v>189</v>
      </c>
      <c r="H4" s="94" t="s">
        <v>199</v>
      </c>
      <c r="I4" s="92" t="s">
        <v>160</v>
      </c>
      <c r="J4" s="93" t="s">
        <v>189</v>
      </c>
      <c r="K4" s="94" t="s">
        <v>199</v>
      </c>
      <c r="L4" s="100" t="s">
        <v>199</v>
      </c>
      <c r="M4" s="109"/>
      <c r="N4" s="109"/>
      <c r="O4" s="109"/>
      <c r="P4" s="109"/>
      <c r="Q4" s="109"/>
    </row>
    <row r="5" spans="1:17" ht="13.8" thickBot="1" x14ac:dyDescent="0.3">
      <c r="A5" s="158"/>
      <c r="B5" s="103" t="s">
        <v>158</v>
      </c>
      <c r="C5" s="104" t="s">
        <v>159</v>
      </c>
      <c r="D5" s="104" t="s">
        <v>162</v>
      </c>
      <c r="E5" s="105" t="s">
        <v>208</v>
      </c>
      <c r="F5" s="103" t="s">
        <v>205</v>
      </c>
      <c r="G5" s="104" t="s">
        <v>192</v>
      </c>
      <c r="H5" s="105" t="s">
        <v>208</v>
      </c>
      <c r="I5" s="103" t="s">
        <v>154</v>
      </c>
      <c r="J5" s="104" t="s">
        <v>191</v>
      </c>
      <c r="K5" s="159" t="s">
        <v>208</v>
      </c>
      <c r="L5" s="107" t="s">
        <v>208</v>
      </c>
      <c r="M5" s="109"/>
      <c r="N5" s="109"/>
      <c r="O5" s="109"/>
      <c r="P5" s="109"/>
      <c r="Q5" s="109"/>
    </row>
    <row r="6" spans="1:17" x14ac:dyDescent="0.25">
      <c r="A6" s="108" t="s">
        <v>140</v>
      </c>
      <c r="B6" s="81"/>
      <c r="C6" s="50"/>
      <c r="D6" s="50"/>
      <c r="E6" s="160" t="str">
        <f>IF(AND(B6="",C6="",D6=""),"",(8.34*MIN(B6:D6)*General!$E$27)/(1-General!I7/100))</f>
        <v/>
      </c>
      <c r="F6" s="53"/>
      <c r="G6" s="50"/>
      <c r="H6" s="161" t="str">
        <f>IF(AND(F6="",G6=""),"",(8.34*MIN(F6,G6)*General!$E$27)/(1-General!K7/100))</f>
        <v/>
      </c>
      <c r="I6" s="53"/>
      <c r="J6" s="50"/>
      <c r="K6" s="160" t="str">
        <f>IF(AND(I6="",J6=""),"",(8.34*MIN(I6,J6)*General!$H$27)/(MAX(General!J7,General!K7)/100))</f>
        <v/>
      </c>
      <c r="L6" s="162" t="str">
        <f>IF(AND(E6="",H6="",K6=""),"",MIN(E6,H6,K6))</f>
        <v/>
      </c>
    </row>
    <row r="7" spans="1:17" x14ac:dyDescent="0.25">
      <c r="A7" s="110" t="s">
        <v>141</v>
      </c>
      <c r="B7" s="82"/>
      <c r="C7" s="51"/>
      <c r="D7" s="51"/>
      <c r="E7" s="160" t="str">
        <f>IF(AND(B7="",C7="",D7=""),"",(8.34*MIN(B7:D7)*General!$E$27)/(1-General!I8/100))</f>
        <v/>
      </c>
      <c r="F7" s="54"/>
      <c r="G7" s="51"/>
      <c r="H7" s="161" t="str">
        <f>IF(AND(F7="",G7=""),"",(8.34*MIN(F7,G7)*General!$E$27)/(1-General!K8/100))</f>
        <v/>
      </c>
      <c r="I7" s="54"/>
      <c r="J7" s="51"/>
      <c r="K7" s="160" t="str">
        <f>IF(AND(I7="",J7=""),"",(8.34*MIN(I7,J7)*General!$H$27)/(MAX(General!J8,General!K8)/100))</f>
        <v/>
      </c>
      <c r="L7" s="162" t="str">
        <f t="shared" ref="L7:L17" si="0">IF(AND(E7="",H7="",K7=""),"",MIN(E7,H7,K7))</f>
        <v/>
      </c>
    </row>
    <row r="8" spans="1:17" x14ac:dyDescent="0.25">
      <c r="A8" s="110" t="s">
        <v>220</v>
      </c>
      <c r="B8" s="82"/>
      <c r="C8" s="51"/>
      <c r="D8" s="51"/>
      <c r="E8" s="160" t="str">
        <f>IF(AND(B8="",C8="",D8=""),"",(8.34*MIN(B8:D8)*General!$E$27)/(1-General!I9/100))</f>
        <v/>
      </c>
      <c r="F8" s="54"/>
      <c r="G8" s="51"/>
      <c r="H8" s="161" t="str">
        <f>IF(AND(F8="",G8=""),"",(8.34*MIN(F8,G8)*General!$E$27)/(1-General!K9/100))</f>
        <v/>
      </c>
      <c r="I8" s="54"/>
      <c r="J8" s="51"/>
      <c r="K8" s="160" t="str">
        <f>IF(AND(I8="",J8=""),"",(8.34*MIN(I8,J8)*General!$H$27)/(MAX(General!J9,General!K9)/100))</f>
        <v/>
      </c>
      <c r="L8" s="162" t="str">
        <f t="shared" si="0"/>
        <v/>
      </c>
    </row>
    <row r="9" spans="1:17" x14ac:dyDescent="0.25">
      <c r="A9" s="110" t="s">
        <v>142</v>
      </c>
      <c r="B9" s="82"/>
      <c r="C9" s="51"/>
      <c r="D9" s="51"/>
      <c r="E9" s="160" t="str">
        <f>IF(AND(B9="",C9="",D9=""),"",(8.34*MIN(B9:D9)*General!$E$27)/(1-General!I10/100))</f>
        <v/>
      </c>
      <c r="F9" s="54"/>
      <c r="G9" s="51"/>
      <c r="H9" s="161" t="str">
        <f>IF(AND(F9="",G9=""),"",(8.34*MIN(F9,G9)*General!$E$27)/(1-General!K10/100))</f>
        <v/>
      </c>
      <c r="I9" s="54"/>
      <c r="J9" s="51"/>
      <c r="K9" s="160" t="str">
        <f>IF(AND(I9="",J9=""),"",(8.34*MIN(I9,J9)*General!$H$27)/(MAX(General!J10,General!K10)/100))</f>
        <v/>
      </c>
      <c r="L9" s="162" t="str">
        <f t="shared" si="0"/>
        <v/>
      </c>
    </row>
    <row r="10" spans="1:17" x14ac:dyDescent="0.25">
      <c r="A10" s="110" t="s">
        <v>143</v>
      </c>
      <c r="B10" s="82"/>
      <c r="C10" s="51"/>
      <c r="D10" s="51"/>
      <c r="E10" s="160" t="str">
        <f>IF(AND(B10="",C10="",D10=""),"",(8.34*MIN(B10:D10)*General!$E$27)/(1-General!I11/100))</f>
        <v/>
      </c>
      <c r="F10" s="54"/>
      <c r="G10" s="51"/>
      <c r="H10" s="161" t="str">
        <f>IF(AND(F10="",G10=""),"",(8.34*MIN(F10,G10)*General!$E$27)/(1-General!K11/100))</f>
        <v/>
      </c>
      <c r="I10" s="54"/>
      <c r="J10" s="51"/>
      <c r="K10" s="160" t="str">
        <f>IF(AND(I10="",J10=""),"",(8.34*General!B11*General!E27*Inhibition!I10/General!G11))</f>
        <v/>
      </c>
      <c r="L10" s="162" t="str">
        <f t="shared" si="0"/>
        <v/>
      </c>
    </row>
    <row r="11" spans="1:17" x14ac:dyDescent="0.25">
      <c r="A11" s="110" t="s">
        <v>144</v>
      </c>
      <c r="B11" s="82"/>
      <c r="C11" s="51"/>
      <c r="D11" s="51"/>
      <c r="E11" s="160" t="str">
        <f>IF(AND(B11="",C11="",D11=""),"",(8.34*MIN(B11:D11)*General!$E$27)/(1-General!I12/100))</f>
        <v/>
      </c>
      <c r="F11" s="54"/>
      <c r="G11" s="51"/>
      <c r="H11" s="161" t="str">
        <f>IF(AND(F11="",G11=""),"",(8.34*MIN(F11,G11)*General!$E$27)/(1-General!K12/100))</f>
        <v/>
      </c>
      <c r="I11" s="54"/>
      <c r="J11" s="51"/>
      <c r="K11" s="160" t="str">
        <f>IF(AND(I11="",J11=""),"",(8.34*MIN(I11,J11)*General!$H$27)/(MAX(General!J12,General!K12)/100))</f>
        <v/>
      </c>
      <c r="L11" s="162" t="str">
        <f t="shared" si="0"/>
        <v/>
      </c>
    </row>
    <row r="12" spans="1:17" x14ac:dyDescent="0.25">
      <c r="A12" s="110" t="s">
        <v>145</v>
      </c>
      <c r="B12" s="82"/>
      <c r="C12" s="51"/>
      <c r="D12" s="51"/>
      <c r="E12" s="160" t="str">
        <f>IF(AND(B12="",C12="",D12=""),"",(8.34*MIN(B12:D12)*General!$E$27)/(1-General!I13/100))</f>
        <v/>
      </c>
      <c r="F12" s="54"/>
      <c r="G12" s="51"/>
      <c r="H12" s="161" t="str">
        <f>IF(AND(F12="",G12=""),"",(8.34*MIN(F12,G12)*General!$E$27)/(1-General!K13/100))</f>
        <v/>
      </c>
      <c r="I12" s="54"/>
      <c r="J12" s="51"/>
      <c r="K12" s="160" t="str">
        <f>IF(AND(I12="",J12=""),"",(8.34*MIN(I12,J12)*General!$H$27)/(MAX(General!J13,General!K13)/100))</f>
        <v/>
      </c>
      <c r="L12" s="162" t="str">
        <f t="shared" si="0"/>
        <v/>
      </c>
    </row>
    <row r="13" spans="1:17" x14ac:dyDescent="0.25">
      <c r="A13" s="110" t="s">
        <v>187</v>
      </c>
      <c r="B13" s="82"/>
      <c r="C13" s="51"/>
      <c r="D13" s="51"/>
      <c r="E13" s="160" t="str">
        <f>IF(AND(B13="",C13="",D13=""),"",(8.34*MIN(B13:D13)*General!$E$27)/(1-General!I14/100))</f>
        <v/>
      </c>
      <c r="F13" s="54"/>
      <c r="G13" s="51"/>
      <c r="H13" s="161" t="str">
        <f>IF(AND(F13="",G13=""),"",(8.34*MIN(F13,G13)*General!$E$27)/(1-General!K14/100))</f>
        <v/>
      </c>
      <c r="I13" s="54"/>
      <c r="J13" s="51"/>
      <c r="K13" s="160" t="str">
        <f>IF(AND(I13="",J13=""),"",(8.34*MIN(I13,J13)*General!$H$27)/(MAX(General!J14,General!K14)/100))</f>
        <v/>
      </c>
      <c r="L13" s="162" t="str">
        <f t="shared" si="0"/>
        <v/>
      </c>
    </row>
    <row r="14" spans="1:17" x14ac:dyDescent="0.25">
      <c r="A14" s="110" t="s">
        <v>146</v>
      </c>
      <c r="B14" s="82"/>
      <c r="C14" s="51"/>
      <c r="D14" s="51"/>
      <c r="E14" s="160" t="str">
        <f>IF(AND(B14="",C14="",D14=""),"",(8.34*MIN(B14:D14)*General!$E$27)/(1-General!I15/100))</f>
        <v/>
      </c>
      <c r="F14" s="54"/>
      <c r="G14" s="51"/>
      <c r="H14" s="161" t="str">
        <f>IF(AND(F14="",G14=""),"",(8.34*MIN(F14,G14)*General!$E$27)/(1-General!K15/100))</f>
        <v/>
      </c>
      <c r="I14" s="54"/>
      <c r="J14" s="51"/>
      <c r="K14" s="160" t="str">
        <f>IF(AND(I14="",J14=""),"",(8.34*MIN(I14,J14)*General!$H$27)/(MAX(General!J15,General!K15)/100))</f>
        <v/>
      </c>
      <c r="L14" s="162" t="str">
        <f t="shared" si="0"/>
        <v/>
      </c>
    </row>
    <row r="15" spans="1:17" x14ac:dyDescent="0.25">
      <c r="A15" s="110" t="s">
        <v>188</v>
      </c>
      <c r="B15" s="82"/>
      <c r="C15" s="51"/>
      <c r="D15" s="51"/>
      <c r="E15" s="160" t="str">
        <f>IF(AND(B15="",C15="",D15=""),"",(8.34*MIN(B15:D15)*General!$E$27)/(1-General!I16/100))</f>
        <v/>
      </c>
      <c r="F15" s="54"/>
      <c r="G15" s="51"/>
      <c r="H15" s="161" t="str">
        <f>IF(AND(F15="",G15=""),"",(8.34*MIN(F15,G15)*General!$E$27)/(1-General!K16/100))</f>
        <v/>
      </c>
      <c r="I15" s="54"/>
      <c r="J15" s="51"/>
      <c r="K15" s="160" t="str">
        <f>IF(AND(I15="",J15=""),"",(8.34*MIN(I15,J15)*General!$H$27)/(MAX(General!J16,General!K16)/100))</f>
        <v/>
      </c>
      <c r="L15" s="162" t="str">
        <f t="shared" si="0"/>
        <v/>
      </c>
    </row>
    <row r="16" spans="1:17" x14ac:dyDescent="0.25">
      <c r="A16" s="110" t="s">
        <v>147</v>
      </c>
      <c r="B16" s="82"/>
      <c r="C16" s="51"/>
      <c r="D16" s="51"/>
      <c r="E16" s="160" t="str">
        <f>IF(AND(B16="",C16="",D16=""),"",(8.34*MIN(B16:D16)*General!$E$27)/(1-General!I17/100))</f>
        <v/>
      </c>
      <c r="F16" s="54"/>
      <c r="G16" s="51"/>
      <c r="H16" s="161" t="str">
        <f>IF(AND(F16="",G16=""),"",(8.34*MIN(F16,G16)*General!$E$27)/(1-General!K17/100))</f>
        <v/>
      </c>
      <c r="I16" s="54"/>
      <c r="J16" s="51"/>
      <c r="K16" s="160" t="str">
        <f>IF(AND(I16="",J16=""),"",(8.34*MIN(I16,J16)*General!$H$27)/(MAX(General!J17,General!K17)/100))</f>
        <v/>
      </c>
      <c r="L16" s="162" t="str">
        <f t="shared" si="0"/>
        <v/>
      </c>
    </row>
    <row r="17" spans="1:12" ht="13.8" thickBot="1" x14ac:dyDescent="0.3">
      <c r="A17" s="111" t="s">
        <v>148</v>
      </c>
      <c r="B17" s="86"/>
      <c r="C17" s="52"/>
      <c r="D17" s="52"/>
      <c r="E17" s="163" t="str">
        <f>IF(AND(B17="",C17="",D17=""),"",(8.34*MIN(B17:D17)*General!$E$27)/(1-General!I18/100))</f>
        <v/>
      </c>
      <c r="F17" s="55"/>
      <c r="G17" s="52"/>
      <c r="H17" s="164" t="str">
        <f>IF(AND(F17="",G17=""),"",(8.34*MIN(F17,G17)*General!$E$27)/(1-General!K18/100))</f>
        <v/>
      </c>
      <c r="I17" s="55"/>
      <c r="J17" s="52"/>
      <c r="K17" s="163" t="str">
        <f>IF(AND(I17="",J17=""),"",(8.34*MIN(I17,J17)*General!$H$27)/(MAX(General!J18,General!K18)/100))</f>
        <v/>
      </c>
      <c r="L17" s="165" t="str">
        <f t="shared" si="0"/>
        <v/>
      </c>
    </row>
    <row r="18" spans="1:12" ht="13.8" thickTop="1" x14ac:dyDescent="0.25">
      <c r="E18" s="166"/>
      <c r="H18" s="166"/>
    </row>
    <row r="19" spans="1:12" x14ac:dyDescent="0.25">
      <c r="A19" s="8" t="str">
        <f>IF(General!A22="","",General!A22)</f>
        <v/>
      </c>
      <c r="E19" s="166"/>
      <c r="H19" s="166"/>
    </row>
    <row r="20" spans="1:12" x14ac:dyDescent="0.25">
      <c r="A20" s="8" t="str">
        <f>IF(General!A23="","",General!A23)</f>
        <v/>
      </c>
      <c r="E20" s="166"/>
      <c r="H20" s="166"/>
    </row>
    <row r="21" spans="1:12" x14ac:dyDescent="0.25">
      <c r="A21" s="8" t="str">
        <f>IF(General!A24="","",General!A24)</f>
        <v/>
      </c>
      <c r="E21" s="166"/>
      <c r="H21" s="166"/>
    </row>
    <row r="22" spans="1:12" x14ac:dyDescent="0.25">
      <c r="A22" s="8" t="str">
        <f>IF(General!A25="","",General!A25)</f>
        <v/>
      </c>
      <c r="E22" s="166"/>
      <c r="H22" s="166"/>
    </row>
    <row r="25" spans="1:12" x14ac:dyDescent="0.25">
      <c r="E25" s="167" t="str">
        <f>IF(ISERROR(K10),"Please input cyanide concentration in sludge to digester on the 'General' tab!","")</f>
        <v/>
      </c>
    </row>
  </sheetData>
  <sheetProtection password="FEA0" sheet="1" objects="1" scenarios="1"/>
  <mergeCells count="5">
    <mergeCell ref="A1:L1"/>
    <mergeCell ref="O3:Q3"/>
    <mergeCell ref="I3:K3"/>
    <mergeCell ref="F3:H3"/>
    <mergeCell ref="B3:E3"/>
  </mergeCells>
  <phoneticPr fontId="8" type="noConversion"/>
  <printOptions horizontalCentered="1"/>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sqref="A1:H1"/>
    </sheetView>
  </sheetViews>
  <sheetFormatPr defaultColWidth="9.33203125" defaultRowHeight="13.2" x14ac:dyDescent="0.25"/>
  <cols>
    <col min="1" max="2" width="15.6640625" style="8" bestFit="1" customWidth="1"/>
    <col min="3" max="3" width="16.44140625" style="8" bestFit="1" customWidth="1"/>
    <col min="4" max="4" width="14.6640625" style="8" bestFit="1" customWidth="1"/>
    <col min="5" max="5" width="14.109375" style="8" bestFit="1" customWidth="1"/>
    <col min="6" max="6" width="10.88671875" style="8" customWidth="1"/>
    <col min="7" max="7" width="16.44140625" style="8" bestFit="1" customWidth="1"/>
    <col min="8" max="8" width="14.5546875" style="8" bestFit="1" customWidth="1"/>
    <col min="9" max="9" width="12" style="8" bestFit="1" customWidth="1"/>
    <col min="10" max="10" width="9.44140625" style="8" bestFit="1" customWidth="1"/>
    <col min="11" max="11" width="11.44140625" style="8" bestFit="1" customWidth="1"/>
    <col min="12" max="12" width="10.33203125" style="8" bestFit="1" customWidth="1"/>
    <col min="13" max="13" width="8.109375" style="8" bestFit="1" customWidth="1"/>
    <col min="14" max="14" width="10.6640625" style="8" bestFit="1" customWidth="1"/>
    <col min="15" max="15" width="6.6640625" style="8" bestFit="1" customWidth="1"/>
    <col min="16" max="16384" width="9.33203125" style="8"/>
  </cols>
  <sheetData>
    <row r="1" spans="1:15" ht="17.399999999999999" x14ac:dyDescent="0.3">
      <c r="A1" s="194" t="s">
        <v>206</v>
      </c>
      <c r="B1" s="221"/>
      <c r="C1" s="221"/>
      <c r="D1" s="221"/>
      <c r="E1" s="221"/>
      <c r="F1" s="221"/>
      <c r="G1" s="221"/>
      <c r="H1" s="221"/>
      <c r="I1" s="101"/>
      <c r="J1" s="123"/>
      <c r="K1" s="123"/>
      <c r="L1" s="123"/>
      <c r="M1" s="101"/>
      <c r="N1" s="101"/>
      <c r="O1" s="101"/>
    </row>
    <row r="2" spans="1:15" ht="18" thickBot="1" x14ac:dyDescent="0.35">
      <c r="A2" s="87"/>
      <c r="B2" s="5"/>
      <c r="C2" s="5"/>
      <c r="D2" s="5"/>
      <c r="E2" s="5"/>
      <c r="F2" s="5"/>
      <c r="G2" s="5"/>
      <c r="H2" s="168"/>
      <c r="I2" s="101"/>
      <c r="J2" s="123"/>
      <c r="K2" s="123"/>
      <c r="L2" s="123"/>
      <c r="M2" s="101"/>
      <c r="N2" s="101"/>
      <c r="O2" s="101"/>
    </row>
    <row r="3" spans="1:15" ht="16.2" thickTop="1" x14ac:dyDescent="0.3">
      <c r="A3" s="125"/>
      <c r="B3" s="169" t="s">
        <v>181</v>
      </c>
      <c r="C3" s="170" t="s">
        <v>177</v>
      </c>
      <c r="D3" s="171"/>
      <c r="E3" s="170" t="s">
        <v>180</v>
      </c>
      <c r="F3" s="171"/>
      <c r="G3" s="169"/>
      <c r="H3" s="172" t="s">
        <v>216</v>
      </c>
      <c r="I3" s="101"/>
      <c r="J3" s="123"/>
      <c r="K3" s="123"/>
      <c r="L3" s="123"/>
      <c r="M3" s="101"/>
      <c r="N3" s="101"/>
      <c r="O3" s="101"/>
    </row>
    <row r="4" spans="1:15" x14ac:dyDescent="0.25">
      <c r="A4" s="91"/>
      <c r="B4" s="99" t="s">
        <v>182</v>
      </c>
      <c r="C4" s="92" t="s">
        <v>178</v>
      </c>
      <c r="D4" s="94"/>
      <c r="E4" s="92" t="s">
        <v>178</v>
      </c>
      <c r="F4" s="94"/>
      <c r="G4" s="99"/>
      <c r="H4" s="100" t="s">
        <v>199</v>
      </c>
      <c r="I4" s="109"/>
      <c r="J4" s="109"/>
      <c r="K4" s="109"/>
      <c r="L4" s="109"/>
      <c r="M4" s="109"/>
      <c r="N4" s="109"/>
      <c r="O4" s="109"/>
    </row>
    <row r="5" spans="1:15" ht="15.6" x14ac:dyDescent="0.35">
      <c r="A5" s="98" t="s">
        <v>215</v>
      </c>
      <c r="B5" s="99" t="s">
        <v>244</v>
      </c>
      <c r="C5" s="92" t="s">
        <v>179</v>
      </c>
      <c r="D5" s="94" t="s">
        <v>183</v>
      </c>
      <c r="E5" s="92" t="s">
        <v>179</v>
      </c>
      <c r="F5" s="94" t="s">
        <v>184</v>
      </c>
      <c r="G5" s="99" t="s">
        <v>185</v>
      </c>
      <c r="H5" s="100" t="s">
        <v>208</v>
      </c>
      <c r="I5" s="109"/>
      <c r="J5" s="109"/>
      <c r="K5" s="109"/>
      <c r="L5" s="109"/>
      <c r="M5" s="109"/>
      <c r="N5" s="109"/>
      <c r="O5" s="109"/>
    </row>
    <row r="6" spans="1:15" ht="13.8" thickBot="1" x14ac:dyDescent="0.3">
      <c r="A6" s="158"/>
      <c r="B6" s="106" t="s">
        <v>172</v>
      </c>
      <c r="C6" s="103" t="s">
        <v>245</v>
      </c>
      <c r="D6" s="105" t="s">
        <v>172</v>
      </c>
      <c r="E6" s="103" t="s">
        <v>246</v>
      </c>
      <c r="F6" s="105" t="s">
        <v>172</v>
      </c>
      <c r="G6" s="106" t="s">
        <v>172</v>
      </c>
      <c r="H6" s="107" t="s">
        <v>176</v>
      </c>
      <c r="I6" s="109"/>
      <c r="J6" s="109"/>
      <c r="K6" s="109"/>
      <c r="L6" s="109"/>
      <c r="M6" s="109"/>
      <c r="N6" s="109"/>
      <c r="O6" s="109"/>
    </row>
    <row r="7" spans="1:15" x14ac:dyDescent="0.25">
      <c r="A7" s="108" t="s">
        <v>140</v>
      </c>
      <c r="B7" s="50"/>
      <c r="C7" s="50"/>
      <c r="D7" s="173" t="str">
        <f>IF(C7="","",0.8907*C7*General!$K$28/(General!$H$28*(General!$H$29/100)*3046))</f>
        <v/>
      </c>
      <c r="E7" s="50"/>
      <c r="F7" s="174" t="str">
        <f>IF(E7="","",0.8907*E7*General!$K$28/General!$K$27*(General!$H$28*(General!$H$29/100)*3046))</f>
        <v/>
      </c>
      <c r="G7" s="175" t="str">
        <f>IF(AND(B7="",D7="",F7=""),"",IF(General!$K$29="Y",MIN(B7,D7,F7),MIN(B7,F7)))</f>
        <v/>
      </c>
      <c r="H7" s="162" t="str">
        <f>IF(G7="","",8.34*G7*(General!$H$29/100)*General!$H$28/(General!K7/100))</f>
        <v/>
      </c>
    </row>
    <row r="8" spans="1:15" x14ac:dyDescent="0.25">
      <c r="A8" s="110" t="s">
        <v>141</v>
      </c>
      <c r="B8" s="51"/>
      <c r="C8" s="51"/>
      <c r="D8" s="173" t="str">
        <f>IF(C8="","",0.8907*C8*General!$K$28/(General!$H$28*(General!$H$29/100)*3046))</f>
        <v/>
      </c>
      <c r="E8" s="51"/>
      <c r="F8" s="174" t="str">
        <f>IF(E8="","",0.8907*E8*General!$K$28/General!$K$27*(General!$H$28*(General!$H$29/100)*3046))</f>
        <v/>
      </c>
      <c r="G8" s="175" t="str">
        <f>IF(AND(B8="",D8="",F8=""),"",IF(General!$K$29="Y",MIN(B8,D8,F8),MIN(B8,F8)))</f>
        <v/>
      </c>
      <c r="H8" s="162" t="str">
        <f>IF(G8="","",8.34*G8*(General!$H$29/100)*General!$H$28/(General!K8/100))</f>
        <v/>
      </c>
    </row>
    <row r="9" spans="1:15" x14ac:dyDescent="0.25">
      <c r="A9" s="110" t="s">
        <v>220</v>
      </c>
      <c r="B9" s="51"/>
      <c r="C9" s="51"/>
      <c r="D9" s="173" t="str">
        <f>IF(C9="","",0.8907*C9*General!$K$28/(General!$H$28*(General!$H$29/100)*3046))</f>
        <v/>
      </c>
      <c r="E9" s="51"/>
      <c r="F9" s="174" t="str">
        <f>IF(E9="","",0.8907*E9*General!$K$28/General!$K$27*(General!$H$28*(General!$H$29/100)*3046))</f>
        <v/>
      </c>
      <c r="G9" s="175" t="str">
        <f>IF(AND(B9="",D9="",F9=""),"",IF(General!$K$29="Y",MIN(B9,D9,F9),MIN(B9,F9)))</f>
        <v/>
      </c>
      <c r="H9" s="162" t="str">
        <f>IF(G9="","",8.34*G9*(General!$H$29/100)*General!$H$28/(General!K9/100))</f>
        <v/>
      </c>
    </row>
    <row r="10" spans="1:15" x14ac:dyDescent="0.25">
      <c r="A10" s="110" t="s">
        <v>142</v>
      </c>
      <c r="B10" s="51"/>
      <c r="C10" s="51"/>
      <c r="D10" s="173" t="str">
        <f>IF(C10="","",0.8907*C10*General!$K$28/(General!$H$28*(General!$H$29/100)*3046))</f>
        <v/>
      </c>
      <c r="E10" s="51"/>
      <c r="F10" s="174" t="str">
        <f>IF(E10="","",0.8907*E10*General!$K$28/General!$K$27*(General!$H$28*(General!$H$29/100)*3046))</f>
        <v/>
      </c>
      <c r="G10" s="175" t="str">
        <f>IF(AND(B10="",D10="",F10=""),"",IF(General!$K$29="Y",MIN(B10,D10,F10),MIN(B10,F10)))</f>
        <v/>
      </c>
      <c r="H10" s="162" t="str">
        <f>IF(G10="","",8.34*G10*(General!$H$29/100)*General!$H$28/(General!K10/100))</f>
        <v/>
      </c>
    </row>
    <row r="11" spans="1:15" x14ac:dyDescent="0.25">
      <c r="A11" s="110" t="s">
        <v>143</v>
      </c>
      <c r="B11" s="51"/>
      <c r="C11" s="51"/>
      <c r="D11" s="173" t="str">
        <f>IF(C11="","",0.8907*C11*General!$K$28/(General!$H$28*(General!$H$29/100)*3046))</f>
        <v/>
      </c>
      <c r="E11" s="51"/>
      <c r="F11" s="174" t="str">
        <f>IF(E11="","",0.8907*E11*General!$K$28/General!$K$27*(General!$H$28*(General!$H$29/100)*3046))</f>
        <v/>
      </c>
      <c r="G11" s="175" t="str">
        <f>IF(AND(B11="",D11="",F11=""),"",IF(General!$K$29="Y",MIN(B11,D11,F11),MIN(B11,F11)))</f>
        <v/>
      </c>
      <c r="H11" s="162" t="str">
        <f>IF(G11="","",8.34*G11*(General!$H$29/100)*General!$H$28/(General!K11/100))</f>
        <v/>
      </c>
    </row>
    <row r="12" spans="1:15" x14ac:dyDescent="0.25">
      <c r="A12" s="110" t="s">
        <v>144</v>
      </c>
      <c r="B12" s="51"/>
      <c r="C12" s="51"/>
      <c r="D12" s="173" t="str">
        <f>IF(C12="","",0.8907*C12*General!$K$28/(General!$H$28*(General!$H$29/100)*3046))</f>
        <v/>
      </c>
      <c r="E12" s="51"/>
      <c r="F12" s="174" t="str">
        <f>IF(E12="","",0.8907*E12*General!$K$28/General!$K$27*(General!$H$28*(General!$H$29/100)*3046))</f>
        <v/>
      </c>
      <c r="G12" s="175" t="str">
        <f>IF(AND(B12="",D12="",F12=""),"",IF(General!$K$29="Y",MIN(B12,D12,F12),MIN(B12,F12)))</f>
        <v/>
      </c>
      <c r="H12" s="162" t="str">
        <f>IF(G12="","",8.34*G12*(General!$H$29/100)*General!$H$28/(General!K12/100))</f>
        <v/>
      </c>
    </row>
    <row r="13" spans="1:15" x14ac:dyDescent="0.25">
      <c r="A13" s="110" t="s">
        <v>145</v>
      </c>
      <c r="B13" s="51"/>
      <c r="C13" s="51"/>
      <c r="D13" s="173" t="str">
        <f>IF(C13="","",0.8907*C13*General!$K$28/(General!$H$28*(General!$H$29/100)*3046))</f>
        <v/>
      </c>
      <c r="E13" s="51"/>
      <c r="F13" s="174" t="str">
        <f>IF(E13="","",0.8907*E13*General!$K$28/General!$K$27*(General!$H$28*(General!$H$29/100)*3046))</f>
        <v/>
      </c>
      <c r="G13" s="175" t="str">
        <f>IF(AND(B13="",D13="",F13=""),"",IF(General!$K$29="Y",MIN(B13,D13,F13),MIN(B13,F13)))</f>
        <v/>
      </c>
      <c r="H13" s="162" t="str">
        <f>IF(G13="","",8.34*G13*(General!$H$29/100)*General!$H$28/(General!K13/100))</f>
        <v/>
      </c>
    </row>
    <row r="14" spans="1:15" x14ac:dyDescent="0.25">
      <c r="A14" s="110" t="s">
        <v>187</v>
      </c>
      <c r="B14" s="51"/>
      <c r="C14" s="51"/>
      <c r="D14" s="173" t="str">
        <f>IF(C14="","",0.8907*C14*General!$K$28/(General!$H$28*(General!$H$29/100)*3046))</f>
        <v/>
      </c>
      <c r="E14" s="51"/>
      <c r="F14" s="174" t="str">
        <f>IF(E14="","",0.8907*E14*General!$K$28/General!$K$27*(General!$H$28*(General!$H$29/100)*3046))</f>
        <v/>
      </c>
      <c r="G14" s="175" t="str">
        <f>IF(AND(B14="",D14="",F14=""),"",IF(General!$K$29="Y",MIN(B14,D14,F14),MIN(B14,F14)))</f>
        <v/>
      </c>
      <c r="H14" s="162" t="str">
        <f>IF(G14="","",8.34*G14*(General!$H$29/100)*General!$H$28/(General!K14/100))</f>
        <v/>
      </c>
    </row>
    <row r="15" spans="1:15" x14ac:dyDescent="0.25">
      <c r="A15" s="110" t="s">
        <v>146</v>
      </c>
      <c r="B15" s="51"/>
      <c r="C15" s="51"/>
      <c r="D15" s="173" t="str">
        <f>IF(C15="","",0.8907*C15*General!$K$28/(General!$H$28*(General!$H$29/100)*3046))</f>
        <v/>
      </c>
      <c r="E15" s="51"/>
      <c r="F15" s="174" t="str">
        <f>IF(E15="","",0.8907*E15*General!$K$28/General!$K$27*(General!$H$28*(General!$H$29/100)*3046))</f>
        <v/>
      </c>
      <c r="G15" s="175" t="str">
        <f>IF(AND(B15="",D15="",F15=""),"",IF(General!$K$29="Y",MIN(B15,D15,F15),MIN(B15,F15)))</f>
        <v/>
      </c>
      <c r="H15" s="162" t="str">
        <f>IF(G15="","",8.34*G15*(General!$H$29/100)*General!$H$28/(General!K15/100))</f>
        <v/>
      </c>
    </row>
    <row r="16" spans="1:15" x14ac:dyDescent="0.25">
      <c r="A16" s="110" t="s">
        <v>188</v>
      </c>
      <c r="B16" s="51"/>
      <c r="C16" s="51"/>
      <c r="D16" s="173" t="str">
        <f>IF(C16="","",0.8907*C16*General!$K$28/(General!$H$28*(General!$H$29/100)*3046))</f>
        <v/>
      </c>
      <c r="E16" s="51"/>
      <c r="F16" s="174" t="str">
        <f>IF(E16="","",0.8907*E16*General!$K$28/General!$K$27*(General!$H$28*(General!$H$29/100)*3046))</f>
        <v/>
      </c>
      <c r="G16" s="175" t="str">
        <f>IF(AND(B16="",D16="",F16=""),"",IF(General!$K$29="Y",MIN(B16,D16,F16),MIN(B16,F16)))</f>
        <v/>
      </c>
      <c r="H16" s="162" t="str">
        <f>IF(G16="","",8.34*G16*(General!$H$29/100)*General!$H$28/(General!K16/100))</f>
        <v/>
      </c>
    </row>
    <row r="17" spans="1:8" x14ac:dyDescent="0.25">
      <c r="A17" s="110" t="s">
        <v>147</v>
      </c>
      <c r="B17" s="51"/>
      <c r="C17" s="51"/>
      <c r="D17" s="173" t="str">
        <f>IF(C17="","",0.8907*C17*General!$K$28/(General!$H$28*(General!$H$29/100)*3046))</f>
        <v/>
      </c>
      <c r="E17" s="51"/>
      <c r="F17" s="174" t="str">
        <f>IF(E17="","",0.8907*E17*General!$K$28/General!$K$27*(General!$H$28*(General!$H$29/100)*3046))</f>
        <v/>
      </c>
      <c r="G17" s="175" t="str">
        <f>IF(AND(B17="",D17="",F17=""),"",IF(General!$K$29="Y",MIN(B17,D17,F17),MIN(B17,F17)))</f>
        <v/>
      </c>
      <c r="H17" s="162" t="str">
        <f>IF(G17="","",8.34*G17*(General!$H$29/100)*General!$H$28/(General!K17/100))</f>
        <v/>
      </c>
    </row>
    <row r="18" spans="1:8" ht="13.8" thickBot="1" x14ac:dyDescent="0.3">
      <c r="A18" s="111" t="s">
        <v>148</v>
      </c>
      <c r="B18" s="52"/>
      <c r="C18" s="52"/>
      <c r="D18" s="122" t="str">
        <f>IF(C18="","",0.8907*C18*General!$K$28/(General!$H$28*(General!$H$29/100)*3046))</f>
        <v/>
      </c>
      <c r="E18" s="52"/>
      <c r="F18" s="176" t="str">
        <f>IF(E18="","",0.8907*E18*General!$K$28/General!$K$27*(General!$H$28*(General!$H$29/100)*3046))</f>
        <v/>
      </c>
      <c r="G18" s="164" t="str">
        <f>IF(AND(B18="",D18="",F18=""),"",IF(General!$K$29="Y",MIN(B18,D18,F18),MIN(B18,F18)))</f>
        <v/>
      </c>
      <c r="H18" s="165" t="str">
        <f>IF(G18="","",8.34*G18*(General!$H$29/100)*General!$H$28/(General!K18/100))</f>
        <v/>
      </c>
    </row>
    <row r="19" spans="1:8" ht="13.8" thickTop="1" x14ac:dyDescent="0.25"/>
    <row r="20" spans="1:8" ht="11.25" customHeight="1" thickBot="1" x14ac:dyDescent="0.3">
      <c r="C20" s="93"/>
      <c r="D20" s="93"/>
      <c r="E20" s="93"/>
    </row>
    <row r="21" spans="1:8" ht="13.8" thickTop="1" x14ac:dyDescent="0.25">
      <c r="C21" s="125"/>
      <c r="D21" s="126" t="s">
        <v>258</v>
      </c>
      <c r="E21" s="126" t="s">
        <v>259</v>
      </c>
      <c r="F21" s="126" t="s">
        <v>260</v>
      </c>
      <c r="G21" s="127" t="s">
        <v>261</v>
      </c>
    </row>
    <row r="22" spans="1:8" x14ac:dyDescent="0.25">
      <c r="C22" s="91"/>
      <c r="D22" s="93" t="s">
        <v>263</v>
      </c>
      <c r="E22" s="93" t="s">
        <v>180</v>
      </c>
      <c r="F22" s="93" t="s">
        <v>266</v>
      </c>
      <c r="G22" s="128" t="s">
        <v>177</v>
      </c>
    </row>
    <row r="23" spans="1:8" x14ac:dyDescent="0.25">
      <c r="C23" s="98" t="s">
        <v>215</v>
      </c>
      <c r="D23" s="93" t="s">
        <v>264</v>
      </c>
      <c r="E23" s="93" t="s">
        <v>265</v>
      </c>
      <c r="F23" s="93" t="s">
        <v>158</v>
      </c>
      <c r="G23" s="128" t="s">
        <v>265</v>
      </c>
    </row>
    <row r="24" spans="1:8" ht="12.75" customHeight="1" thickBot="1" x14ac:dyDescent="0.3">
      <c r="A24" s="109" t="s">
        <v>268</v>
      </c>
      <c r="C24" s="129"/>
      <c r="D24" s="130" t="s">
        <v>172</v>
      </c>
      <c r="E24" s="130" t="s">
        <v>246</v>
      </c>
      <c r="F24" s="130" t="s">
        <v>172</v>
      </c>
      <c r="G24" s="132" t="s">
        <v>245</v>
      </c>
    </row>
    <row r="25" spans="1:8" ht="13.8" thickTop="1" x14ac:dyDescent="0.25">
      <c r="A25" s="109"/>
      <c r="C25" s="108" t="s">
        <v>140</v>
      </c>
      <c r="D25" s="177">
        <v>75</v>
      </c>
      <c r="E25" s="177">
        <v>41</v>
      </c>
      <c r="F25" s="177">
        <v>41</v>
      </c>
      <c r="G25" s="178">
        <v>2</v>
      </c>
    </row>
    <row r="26" spans="1:8" x14ac:dyDescent="0.25">
      <c r="A26" s="109" t="s">
        <v>272</v>
      </c>
      <c r="C26" s="110" t="s">
        <v>141</v>
      </c>
      <c r="D26" s="179">
        <v>85</v>
      </c>
      <c r="E26" s="179">
        <v>39</v>
      </c>
      <c r="F26" s="179">
        <v>39</v>
      </c>
      <c r="G26" s="180">
        <v>1.9</v>
      </c>
    </row>
    <row r="27" spans="1:8" x14ac:dyDescent="0.25">
      <c r="A27" s="109"/>
      <c r="B27" s="181" t="s">
        <v>270</v>
      </c>
      <c r="C27" s="110" t="s">
        <v>220</v>
      </c>
      <c r="D27" s="182" t="s">
        <v>267</v>
      </c>
      <c r="E27" s="182" t="s">
        <v>267</v>
      </c>
      <c r="F27" s="182" t="s">
        <v>267</v>
      </c>
      <c r="G27" s="183" t="s">
        <v>267</v>
      </c>
    </row>
    <row r="28" spans="1:8" x14ac:dyDescent="0.25">
      <c r="A28" s="109" t="s">
        <v>271</v>
      </c>
      <c r="C28" s="110" t="s">
        <v>142</v>
      </c>
      <c r="D28" s="179">
        <v>4300</v>
      </c>
      <c r="E28" s="179">
        <v>1500</v>
      </c>
      <c r="F28" s="179">
        <v>1500</v>
      </c>
      <c r="G28" s="180">
        <v>75</v>
      </c>
    </row>
    <row r="29" spans="1:8" x14ac:dyDescent="0.25">
      <c r="A29" s="109"/>
      <c r="C29" s="110" t="s">
        <v>143</v>
      </c>
      <c r="D29" s="182" t="s">
        <v>267</v>
      </c>
      <c r="E29" s="182" t="s">
        <v>267</v>
      </c>
      <c r="F29" s="182" t="s">
        <v>267</v>
      </c>
      <c r="G29" s="183" t="s">
        <v>267</v>
      </c>
    </row>
    <row r="30" spans="1:8" x14ac:dyDescent="0.25">
      <c r="A30" s="109" t="s">
        <v>269</v>
      </c>
      <c r="C30" s="110" t="s">
        <v>144</v>
      </c>
      <c r="D30" s="179">
        <v>840</v>
      </c>
      <c r="E30" s="179">
        <v>300</v>
      </c>
      <c r="F30" s="179">
        <v>300</v>
      </c>
      <c r="G30" s="180">
        <v>15</v>
      </c>
    </row>
    <row r="31" spans="1:8" x14ac:dyDescent="0.25">
      <c r="C31" s="110" t="s">
        <v>145</v>
      </c>
      <c r="D31" s="179">
        <v>57</v>
      </c>
      <c r="E31" s="179">
        <v>17</v>
      </c>
      <c r="F31" s="179">
        <v>17</v>
      </c>
      <c r="G31" s="180">
        <v>0.85</v>
      </c>
    </row>
    <row r="32" spans="1:8" x14ac:dyDescent="0.25">
      <c r="C32" s="110" t="s">
        <v>187</v>
      </c>
      <c r="D32" s="179">
        <v>75</v>
      </c>
      <c r="E32" s="182" t="s">
        <v>267</v>
      </c>
      <c r="F32" s="182" t="s">
        <v>267</v>
      </c>
      <c r="G32" s="183" t="s">
        <v>267</v>
      </c>
    </row>
    <row r="33" spans="3:7" x14ac:dyDescent="0.25">
      <c r="C33" s="110" t="s">
        <v>146</v>
      </c>
      <c r="D33" s="179">
        <v>420</v>
      </c>
      <c r="E33" s="179">
        <v>420</v>
      </c>
      <c r="F33" s="179">
        <v>420</v>
      </c>
      <c r="G33" s="180">
        <v>21</v>
      </c>
    </row>
    <row r="34" spans="3:7" x14ac:dyDescent="0.25">
      <c r="C34" s="110" t="s">
        <v>188</v>
      </c>
      <c r="D34" s="179">
        <v>100</v>
      </c>
      <c r="E34" s="179">
        <v>100</v>
      </c>
      <c r="F34" s="179">
        <v>100</v>
      </c>
      <c r="G34" s="184">
        <v>5</v>
      </c>
    </row>
    <row r="35" spans="3:7" x14ac:dyDescent="0.25">
      <c r="C35" s="110" t="s">
        <v>147</v>
      </c>
      <c r="D35" s="182" t="s">
        <v>267</v>
      </c>
      <c r="E35" s="182" t="s">
        <v>267</v>
      </c>
      <c r="F35" s="182" t="s">
        <v>267</v>
      </c>
      <c r="G35" s="183" t="s">
        <v>267</v>
      </c>
    </row>
    <row r="36" spans="3:7" ht="13.8" thickBot="1" x14ac:dyDescent="0.3">
      <c r="C36" s="111" t="s">
        <v>148</v>
      </c>
      <c r="D36" s="185">
        <v>7500</v>
      </c>
      <c r="E36" s="185">
        <v>2800</v>
      </c>
      <c r="F36" s="185">
        <v>2800</v>
      </c>
      <c r="G36" s="186">
        <v>140</v>
      </c>
    </row>
    <row r="37" spans="3:7" ht="13.8" thickTop="1" x14ac:dyDescent="0.25"/>
  </sheetData>
  <sheetProtection password="FEA0" sheet="1" objects="1" scenarios="1"/>
  <mergeCells count="1">
    <mergeCell ref="A1:H1"/>
  </mergeCells>
  <phoneticPr fontId="8" type="noConversion"/>
  <printOptions horizontalCentered="1"/>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G1"/>
    </sheetView>
  </sheetViews>
  <sheetFormatPr defaultRowHeight="13.2" x14ac:dyDescent="0.25"/>
  <cols>
    <col min="1" max="1" width="12.6640625" bestFit="1" customWidth="1"/>
    <col min="2" max="2" width="11.6640625" customWidth="1"/>
    <col min="3" max="3" width="10.88671875" customWidth="1"/>
    <col min="4" max="4" width="15.44140625" customWidth="1"/>
    <col min="5" max="5" width="11.33203125" customWidth="1"/>
    <col min="6" max="6" width="12.44140625" customWidth="1"/>
    <col min="7" max="7" width="15.109375" bestFit="1" customWidth="1"/>
  </cols>
  <sheetData>
    <row r="1" spans="1:7" ht="17.399999999999999" x14ac:dyDescent="0.3">
      <c r="A1" s="191" t="s">
        <v>209</v>
      </c>
      <c r="B1" s="242"/>
      <c r="C1" s="242"/>
      <c r="D1" s="242"/>
      <c r="E1" s="242"/>
      <c r="F1" s="242"/>
      <c r="G1" s="190"/>
    </row>
    <row r="2" spans="1:7" ht="18" thickBot="1" x14ac:dyDescent="0.35">
      <c r="A2" s="16"/>
      <c r="B2" s="15"/>
      <c r="C2" s="15"/>
      <c r="D2" s="15"/>
      <c r="E2" s="15"/>
      <c r="F2" s="15"/>
      <c r="G2" s="1"/>
    </row>
    <row r="3" spans="1:7" ht="16.8" thickTop="1" thickBot="1" x14ac:dyDescent="0.35">
      <c r="F3" s="240" t="s">
        <v>226</v>
      </c>
      <c r="G3" s="241"/>
    </row>
    <row r="4" spans="1:7" x14ac:dyDescent="0.25">
      <c r="A4" s="18"/>
      <c r="B4" s="22" t="s">
        <v>199</v>
      </c>
      <c r="C4" s="22" t="s">
        <v>196</v>
      </c>
      <c r="D4" s="22" t="s">
        <v>201</v>
      </c>
      <c r="E4" s="22" t="s">
        <v>199</v>
      </c>
      <c r="F4" s="44" t="s">
        <v>227</v>
      </c>
      <c r="G4" s="24" t="s">
        <v>228</v>
      </c>
    </row>
    <row r="5" spans="1:7" x14ac:dyDescent="0.25">
      <c r="A5" s="21" t="s">
        <v>215</v>
      </c>
      <c r="B5" s="17" t="s">
        <v>198</v>
      </c>
      <c r="C5" s="17" t="s">
        <v>200</v>
      </c>
      <c r="D5" s="17" t="s">
        <v>202</v>
      </c>
      <c r="E5" s="17" t="s">
        <v>171</v>
      </c>
      <c r="F5" s="45" t="s">
        <v>171</v>
      </c>
      <c r="G5" s="25" t="s">
        <v>225</v>
      </c>
    </row>
    <row r="6" spans="1:7" ht="13.8" thickBot="1" x14ac:dyDescent="0.3">
      <c r="A6" s="19"/>
      <c r="B6" s="20" t="s">
        <v>197</v>
      </c>
      <c r="C6" s="20" t="s">
        <v>197</v>
      </c>
      <c r="D6" s="20" t="s">
        <v>197</v>
      </c>
      <c r="E6" s="20" t="s">
        <v>197</v>
      </c>
      <c r="F6" s="46" t="s">
        <v>223</v>
      </c>
      <c r="G6" s="26" t="s">
        <v>223</v>
      </c>
    </row>
    <row r="7" spans="1:7" x14ac:dyDescent="0.25">
      <c r="A7" s="36" t="str">
        <f>General!A7</f>
        <v>Arsenic</v>
      </c>
      <c r="B7" s="31">
        <f>MIN('Pass-through'!F7,Inhibition!L6,'Sludge Quality'!H7)</f>
        <v>0</v>
      </c>
      <c r="C7" s="31">
        <f>B7*General!M7/100</f>
        <v>0</v>
      </c>
      <c r="D7" s="29">
        <f>IF(General!L7&gt;0,8.34*General!F7*(General!$E$27-General!L7),8.34*General!F7*General!$E$29)</f>
        <v>0</v>
      </c>
      <c r="E7" s="37">
        <f>B7-C7-D7</f>
        <v>0</v>
      </c>
      <c r="F7" s="38" t="str">
        <f>IF(OR(ISERROR(E7),General!$E$28=0),"",IF(E7&lt;0,"MAIL &lt; 0!",E7/(8.34*General!$E$28)))</f>
        <v/>
      </c>
      <c r="G7" s="41" t="str">
        <f>IF(OR(ISERROR(E7),General!L7=0),"",IF(E7&lt;0,"MAIL &lt; 0!",E7/(8.34*General!$L7)))</f>
        <v/>
      </c>
    </row>
    <row r="8" spans="1:7" x14ac:dyDescent="0.25">
      <c r="A8" s="32" t="str">
        <f>General!A8</f>
        <v>Cadmium</v>
      </c>
      <c r="B8" s="29">
        <f>MIN('Pass-through'!F8,Inhibition!L7,'Sludge Quality'!H8)</f>
        <v>0</v>
      </c>
      <c r="C8" s="29">
        <f>B8*General!M8/100</f>
        <v>0</v>
      </c>
      <c r="D8" s="29">
        <f>IF(General!L8&gt;0,8.34*General!F8*(General!$E$27-General!L8),8.34*General!F8*General!$E$29)</f>
        <v>0</v>
      </c>
      <c r="E8" s="34">
        <f t="shared" ref="E8:E18" si="0">B8-C8-D8</f>
        <v>0</v>
      </c>
      <c r="F8" s="39" t="str">
        <f>IF(OR(ISERROR(E8),General!$E$28=0),"",IF(E8&lt;0,"MAIL &lt; 0!",E8/(8.34*General!$E$28)))</f>
        <v/>
      </c>
      <c r="G8" s="42" t="str">
        <f>IF(OR(ISERROR(E8),General!L8=0),"",IF(E8&lt;0,"MAIL &lt; 0!",E8/(8.34*General!$L8)))</f>
        <v/>
      </c>
    </row>
    <row r="9" spans="1:7" x14ac:dyDescent="0.25">
      <c r="A9" s="32" t="str">
        <f>General!A9</f>
        <v>Chromium</v>
      </c>
      <c r="B9" s="29">
        <f>MIN('Pass-through'!F9,Inhibition!L8,'Sludge Quality'!H9)</f>
        <v>0</v>
      </c>
      <c r="C9" s="29">
        <f>B9*General!M9/100</f>
        <v>0</v>
      </c>
      <c r="D9" s="29">
        <f>IF(General!L9&gt;0,8.34*General!F9*(General!$E$27-General!L9),8.34*General!F9*General!$E$29)</f>
        <v>0</v>
      </c>
      <c r="E9" s="34">
        <f t="shared" si="0"/>
        <v>0</v>
      </c>
      <c r="F9" s="39" t="str">
        <f>IF(OR(ISERROR(E9),General!$E$28=0),"",IF(E9&lt;0,"MAIL &lt; 0!",E9/(8.34*General!$E$28)))</f>
        <v/>
      </c>
      <c r="G9" s="42" t="str">
        <f>IF(OR(ISERROR(E9),General!L9=0),"",IF(E9&lt;0,"MAIL &lt; 0!",E9/(8.34*General!$L9)))</f>
        <v/>
      </c>
    </row>
    <row r="10" spans="1:7" x14ac:dyDescent="0.25">
      <c r="A10" s="32" t="str">
        <f>General!A10</f>
        <v>Copper</v>
      </c>
      <c r="B10" s="29">
        <f>MIN('Pass-through'!F10,Inhibition!L9,'Sludge Quality'!H10)</f>
        <v>0</v>
      </c>
      <c r="C10" s="29">
        <f>B10*General!M10/100</f>
        <v>0</v>
      </c>
      <c r="D10" s="29">
        <f>IF(General!L10&gt;0,8.34*General!F10*(General!$E$27-General!L10),8.34*General!F10*General!$E$29)</f>
        <v>0</v>
      </c>
      <c r="E10" s="34">
        <f t="shared" si="0"/>
        <v>0</v>
      </c>
      <c r="F10" s="39" t="str">
        <f>IF(OR(ISERROR(E10),General!$E$28=0),"",IF(E10&lt;0,"MAIL &lt; 0!",E10/(8.34*General!$E$28)))</f>
        <v/>
      </c>
      <c r="G10" s="42" t="str">
        <f>IF(OR(ISERROR(E10),General!L10=0),"",IF(E10&lt;0,"MAIL &lt; 0!",E10/(8.34*General!$L10)))</f>
        <v/>
      </c>
    </row>
    <row r="11" spans="1:7" x14ac:dyDescent="0.25">
      <c r="A11" s="32" t="str">
        <f>General!A11</f>
        <v>Cyanide</v>
      </c>
      <c r="B11" s="29">
        <f>MIN('Pass-through'!F11,Inhibition!L10,'Sludge Quality'!H11)</f>
        <v>0</v>
      </c>
      <c r="C11" s="29">
        <f>B11*General!M11/100</f>
        <v>0</v>
      </c>
      <c r="D11" s="29">
        <f>IF(General!L11&gt;0,8.34*General!F11*(General!$E$27-General!L11),8.34*General!F11*General!$E$29)</f>
        <v>0</v>
      </c>
      <c r="E11" s="34">
        <f t="shared" si="0"/>
        <v>0</v>
      </c>
      <c r="F11" s="39" t="str">
        <f>IF(OR(ISERROR(E11),General!$E$28=0),"",IF(E11&lt;0,"MAIL &lt; 0!",E11/(8.34*General!$E$28)))</f>
        <v/>
      </c>
      <c r="G11" s="42" t="str">
        <f>IF(OR(ISERROR(E11),General!L11=0),"",IF(E11&lt;0,"MAIL &lt; 0!",E11/(8.34*General!$L11)))</f>
        <v/>
      </c>
    </row>
    <row r="12" spans="1:7" x14ac:dyDescent="0.25">
      <c r="A12" s="32" t="str">
        <f>General!A12</f>
        <v>Lead</v>
      </c>
      <c r="B12" s="29">
        <f>MIN('Pass-through'!F12,Inhibition!L11,'Sludge Quality'!H12)</f>
        <v>0</v>
      </c>
      <c r="C12" s="29">
        <f>B12*General!M12/100</f>
        <v>0</v>
      </c>
      <c r="D12" s="29">
        <f>IF(General!L12&gt;0,8.34*General!F12*(General!$E$27-General!L12),8.34*General!F12*General!$E$29)</f>
        <v>0</v>
      </c>
      <c r="E12" s="34">
        <f t="shared" si="0"/>
        <v>0</v>
      </c>
      <c r="F12" s="39" t="str">
        <f>IF(OR(ISERROR(E12),General!$E$28=0),"",IF(E12&lt;0,"MAIL &lt; 0!",E12/(8.34*General!$E$28)))</f>
        <v/>
      </c>
      <c r="G12" s="42" t="str">
        <f>IF(OR(ISERROR(E12),General!L12=0),"",IF(E12&lt;0,"MAIL &lt; 0!",E12/(8.34*General!$L12)))</f>
        <v/>
      </c>
    </row>
    <row r="13" spans="1:7" x14ac:dyDescent="0.25">
      <c r="A13" s="32" t="str">
        <f>General!A13</f>
        <v>Mercury</v>
      </c>
      <c r="B13" s="29">
        <f>MIN('Pass-through'!F13,Inhibition!L12,'Sludge Quality'!H13)</f>
        <v>0</v>
      </c>
      <c r="C13" s="29">
        <f>B13*General!M13/100</f>
        <v>0</v>
      </c>
      <c r="D13" s="29">
        <f>IF(General!L13&gt;0,8.34*General!F13*(General!$E$27-General!L13),8.34*General!F13*General!$E$29)</f>
        <v>0</v>
      </c>
      <c r="E13" s="34">
        <f t="shared" si="0"/>
        <v>0</v>
      </c>
      <c r="F13" s="39" t="str">
        <f>IF(OR(ISERROR(E13),General!$E$28=0),"",IF(E13&lt;0,"MAIL &lt; 0!",E13/(8.34*General!$E$28)))</f>
        <v/>
      </c>
      <c r="G13" s="42" t="str">
        <f>IF(OR(ISERROR(E13),General!L13=0),"",IF(E13&lt;0,"MAIL &lt; 0!",E13/(8.34*General!$L13)))</f>
        <v/>
      </c>
    </row>
    <row r="14" spans="1:7" x14ac:dyDescent="0.25">
      <c r="A14" s="32" t="str">
        <f>General!A14</f>
        <v>Molybdenum</v>
      </c>
      <c r="B14" s="29">
        <f>MIN('Pass-through'!F14,Inhibition!L13,'Sludge Quality'!H14)</f>
        <v>0</v>
      </c>
      <c r="C14" s="29">
        <f>B14*General!M14/100</f>
        <v>0</v>
      </c>
      <c r="D14" s="29">
        <f>IF(General!L14&gt;0,8.34*General!F14*(General!$E$27-General!L14),8.34*General!F14*General!$E$29)</f>
        <v>0</v>
      </c>
      <c r="E14" s="34">
        <f t="shared" si="0"/>
        <v>0</v>
      </c>
      <c r="F14" s="39" t="str">
        <f>IF(OR(ISERROR(E14),General!$E$28=0),"",IF(E14&lt;0,"MAIL &lt; 0!",E14/(8.34*General!$E$28)))</f>
        <v/>
      </c>
      <c r="G14" s="42" t="str">
        <f>IF(OR(ISERROR(E14),General!L14=0),"",IF(E14&lt;0,"MAIL &lt; 0!",E14/(8.34*General!$L14)))</f>
        <v/>
      </c>
    </row>
    <row r="15" spans="1:7" x14ac:dyDescent="0.25">
      <c r="A15" s="32" t="str">
        <f>General!A15</f>
        <v>Nickel</v>
      </c>
      <c r="B15" s="29">
        <f>MIN('Pass-through'!F15,Inhibition!L14,'Sludge Quality'!H15)</f>
        <v>0</v>
      </c>
      <c r="C15" s="29">
        <f>B15*General!M15/100</f>
        <v>0</v>
      </c>
      <c r="D15" s="29">
        <f>IF(General!L15&gt;0,8.34*General!F15*(General!$E$27-General!L15),8.34*General!F15*General!$E$29)</f>
        <v>0</v>
      </c>
      <c r="E15" s="34">
        <f t="shared" si="0"/>
        <v>0</v>
      </c>
      <c r="F15" s="39" t="str">
        <f>IF(OR(ISERROR(E15),General!$E$28=0),"",IF(E15&lt;0,"MAIL &lt; 0!",E15/(8.34*General!$E$28)))</f>
        <v/>
      </c>
      <c r="G15" s="42" t="str">
        <f>IF(OR(ISERROR(E15),General!L15=0),"",IF(E15&lt;0,"MAIL &lt; 0!",E15/(8.34*General!$L15)))</f>
        <v/>
      </c>
    </row>
    <row r="16" spans="1:7" x14ac:dyDescent="0.25">
      <c r="A16" s="32" t="str">
        <f>General!A16</f>
        <v>Selenium</v>
      </c>
      <c r="B16" s="29">
        <f>MIN('Pass-through'!F16,Inhibition!L15,'Sludge Quality'!H16)</f>
        <v>0</v>
      </c>
      <c r="C16" s="29">
        <f>B16*General!M16/100</f>
        <v>0</v>
      </c>
      <c r="D16" s="29">
        <f>IF(General!L16&gt;0,8.34*General!F16*(General!$E$27-General!L16),8.34*General!F16*General!$E$29)</f>
        <v>0</v>
      </c>
      <c r="E16" s="34">
        <f t="shared" si="0"/>
        <v>0</v>
      </c>
      <c r="F16" s="39" t="str">
        <f>IF(OR(ISERROR(E16),General!$E$28=0),"",IF(E16&lt;0,"MAIL &lt; 0!",E16/(8.34*General!$E$28)))</f>
        <v/>
      </c>
      <c r="G16" s="42" t="str">
        <f>IF(OR(ISERROR(E16),General!L16=0),"",IF(E16&lt;0,"MAIL &lt; 0!",E16/(8.34*General!$L16)))</f>
        <v/>
      </c>
    </row>
    <row r="17" spans="1:7" x14ac:dyDescent="0.25">
      <c r="A17" s="32" t="str">
        <f>General!A17</f>
        <v>Silver</v>
      </c>
      <c r="B17" s="29">
        <f>MIN('Pass-through'!F17,Inhibition!L16,'Sludge Quality'!H17)</f>
        <v>0</v>
      </c>
      <c r="C17" s="29">
        <f>B17*General!M17/100</f>
        <v>0</v>
      </c>
      <c r="D17" s="29">
        <f>IF(General!L17&gt;0,8.34*General!F17*(General!$E$27-General!L17),8.34*General!F17*General!$E$29)</f>
        <v>0</v>
      </c>
      <c r="E17" s="34">
        <f t="shared" si="0"/>
        <v>0</v>
      </c>
      <c r="F17" s="39" t="str">
        <f>IF(OR(ISERROR(E17),General!$E$28=0),"",IF(E17&lt;0,"MAIL &lt; 0!",E17/(8.34*General!$E$28)))</f>
        <v/>
      </c>
      <c r="G17" s="42" t="str">
        <f>IF(OR(ISERROR(E17),General!L17=0),"",IF(E17&lt;0,"MAIL &lt; 0!",E17/(8.34*General!$L17)))</f>
        <v/>
      </c>
    </row>
    <row r="18" spans="1:7" ht="13.8" thickBot="1" x14ac:dyDescent="0.3">
      <c r="A18" s="33" t="str">
        <f>General!A18</f>
        <v>Zinc</v>
      </c>
      <c r="B18" s="30">
        <f>MIN('Pass-through'!F18,Inhibition!L17,'Sludge Quality'!H18)</f>
        <v>0</v>
      </c>
      <c r="C18" s="30">
        <f>B18*General!M18/100</f>
        <v>0</v>
      </c>
      <c r="D18" s="30">
        <f>IF(General!L18&gt;0,8.34*General!F18*(General!$E$27-General!L18),8.34*General!F18*General!$E$29)</f>
        <v>0</v>
      </c>
      <c r="E18" s="35">
        <f t="shared" si="0"/>
        <v>0</v>
      </c>
      <c r="F18" s="40" t="str">
        <f>IF(OR(ISERROR(E18),General!$E$28=0),"",IF(E18&lt;0,"MAIL &lt; 0!",E18/(8.34*General!$E$28)))</f>
        <v/>
      </c>
      <c r="G18" s="43" t="str">
        <f>IF(OR(ISERROR(E18),General!L18=0),"",IF(E18&lt;0,"MAIL &lt; 0!",E18/(8.34*General!$L18)))</f>
        <v/>
      </c>
    </row>
    <row r="19" spans="1:7" x14ac:dyDescent="0.25">
      <c r="A19" s="13"/>
      <c r="C19" s="14"/>
      <c r="F19" s="28"/>
      <c r="G19" s="27" t="str">
        <f>IF(E19&gt;0,E19/(8.34*General!L19),"")</f>
        <v/>
      </c>
    </row>
    <row r="20" spans="1:7" x14ac:dyDescent="0.25">
      <c r="A20" s="13"/>
      <c r="C20" s="14"/>
      <c r="F20" s="28"/>
      <c r="G20" s="27" t="str">
        <f>IF(E20&gt;0,E20/(8.34*General!L20),"")</f>
        <v/>
      </c>
    </row>
    <row r="21" spans="1:7" x14ac:dyDescent="0.25">
      <c r="A21" s="13"/>
      <c r="C21" s="14"/>
      <c r="F21" s="28"/>
      <c r="G21" s="27" t="str">
        <f>IF(E21&gt;0,E21/(8.34*General!L21),"")</f>
        <v/>
      </c>
    </row>
    <row r="22" spans="1:7" x14ac:dyDescent="0.25">
      <c r="A22" s="13"/>
      <c r="C22" s="14"/>
      <c r="F22" s="28"/>
      <c r="G22" s="27" t="str">
        <f>IF(E22&gt;0,E22/(8.34*General!L22),"")</f>
        <v/>
      </c>
    </row>
    <row r="23" spans="1:7" x14ac:dyDescent="0.25">
      <c r="A23" s="13"/>
      <c r="C23" s="14"/>
      <c r="F23" s="28"/>
      <c r="G23" s="27" t="str">
        <f>IF(E23&gt;0,E23/(8.34*General!L23),"")</f>
        <v/>
      </c>
    </row>
    <row r="24" spans="1:7" x14ac:dyDescent="0.25">
      <c r="A24" s="13"/>
    </row>
    <row r="25" spans="1:7" x14ac:dyDescent="0.25">
      <c r="A25" s="13"/>
    </row>
    <row r="26" spans="1:7" x14ac:dyDescent="0.25">
      <c r="A26" s="13"/>
    </row>
  </sheetData>
  <sheetProtection password="FEA0" sheet="1" objects="1" scenarios="1"/>
  <mergeCells count="2">
    <mergeCell ref="F3:G3"/>
    <mergeCell ref="A1:G1"/>
  </mergeCells>
  <phoneticPr fontId="8" type="noConversion"/>
  <printOptions horizontalCentered="1"/>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election activeCell="D4" sqref="D4:F4"/>
    </sheetView>
  </sheetViews>
  <sheetFormatPr defaultRowHeight="13.2" x14ac:dyDescent="0.25"/>
  <cols>
    <col min="1" max="1" width="12.6640625" bestFit="1" customWidth="1"/>
    <col min="2" max="2" width="12.109375" customWidth="1"/>
    <col min="3" max="3" width="15.33203125" customWidth="1"/>
    <col min="4" max="4" width="13.5546875" bestFit="1" customWidth="1"/>
    <col min="5" max="6" width="18.33203125" customWidth="1"/>
  </cols>
  <sheetData>
    <row r="2" spans="2:9" ht="56.25" customHeight="1" x14ac:dyDescent="0.25">
      <c r="B2" s="192" t="s">
        <v>297</v>
      </c>
      <c r="C2" s="192"/>
      <c r="D2" s="192"/>
      <c r="E2" s="192"/>
      <c r="F2" s="192"/>
      <c r="G2" s="192"/>
      <c r="H2" s="192"/>
      <c r="I2" s="192"/>
    </row>
    <row r="3" spans="2:9" ht="28.5" customHeight="1" thickBot="1" x14ac:dyDescent="0.3"/>
    <row r="4" spans="2:9" ht="26.25" customHeight="1" thickTop="1" x14ac:dyDescent="0.3">
      <c r="D4" s="243" t="s">
        <v>262</v>
      </c>
      <c r="E4" s="244"/>
      <c r="F4" s="245"/>
    </row>
    <row r="5" spans="2:9" ht="21" customHeight="1" x14ac:dyDescent="0.25">
      <c r="D5" s="23" t="s">
        <v>215</v>
      </c>
      <c r="E5" s="17" t="s">
        <v>256</v>
      </c>
      <c r="F5" s="68" t="s">
        <v>257</v>
      </c>
    </row>
    <row r="6" spans="2:9" ht="16.2" thickBot="1" x14ac:dyDescent="0.35">
      <c r="D6" s="69"/>
      <c r="E6" s="70" t="s">
        <v>273</v>
      </c>
      <c r="F6" s="71" t="s">
        <v>273</v>
      </c>
    </row>
    <row r="7" spans="2:9" ht="13.8" thickTop="1" x14ac:dyDescent="0.25">
      <c r="D7" s="49" t="s">
        <v>140</v>
      </c>
      <c r="E7" s="72">
        <v>360</v>
      </c>
      <c r="F7" s="73">
        <v>190</v>
      </c>
    </row>
    <row r="8" spans="2:9" ht="15.6" x14ac:dyDescent="0.25">
      <c r="D8" s="47" t="s">
        <v>282</v>
      </c>
      <c r="E8" s="74">
        <v>3.9</v>
      </c>
      <c r="F8" s="75">
        <v>1.1000000000000001</v>
      </c>
    </row>
    <row r="9" spans="2:9" ht="15.6" x14ac:dyDescent="0.25">
      <c r="D9" s="47" t="s">
        <v>283</v>
      </c>
      <c r="E9" s="74">
        <v>1700</v>
      </c>
      <c r="F9" s="75">
        <v>210</v>
      </c>
    </row>
    <row r="10" spans="2:9" ht="15.6" x14ac:dyDescent="0.25">
      <c r="D10" s="47" t="s">
        <v>284</v>
      </c>
      <c r="E10" s="74">
        <v>18</v>
      </c>
      <c r="F10" s="75">
        <v>12</v>
      </c>
    </row>
    <row r="11" spans="2:9" x14ac:dyDescent="0.25">
      <c r="D11" s="47" t="s">
        <v>143</v>
      </c>
      <c r="E11" s="74">
        <v>22</v>
      </c>
      <c r="F11" s="75">
        <v>5.2</v>
      </c>
    </row>
    <row r="12" spans="2:9" ht="15.6" x14ac:dyDescent="0.25">
      <c r="D12" s="47" t="s">
        <v>285</v>
      </c>
      <c r="E12" s="74">
        <v>82</v>
      </c>
      <c r="F12" s="75">
        <v>3.2</v>
      </c>
    </row>
    <row r="13" spans="2:9" x14ac:dyDescent="0.25">
      <c r="D13" s="47" t="s">
        <v>145</v>
      </c>
      <c r="E13" s="74">
        <v>2.4</v>
      </c>
      <c r="F13" s="75">
        <v>1.2E-2</v>
      </c>
    </row>
    <row r="14" spans="2:9" ht="15.6" x14ac:dyDescent="0.25">
      <c r="D14" s="47" t="s">
        <v>286</v>
      </c>
      <c r="E14" s="74" t="s">
        <v>267</v>
      </c>
      <c r="F14" s="75" t="s">
        <v>267</v>
      </c>
    </row>
    <row r="15" spans="2:9" ht="15.6" x14ac:dyDescent="0.25">
      <c r="D15" s="47" t="s">
        <v>287</v>
      </c>
      <c r="E15" s="74">
        <v>1400</v>
      </c>
      <c r="F15" s="75">
        <v>160</v>
      </c>
    </row>
    <row r="16" spans="2:9" ht="15.6" x14ac:dyDescent="0.25">
      <c r="D16" s="47" t="s">
        <v>288</v>
      </c>
      <c r="E16" s="74">
        <v>260</v>
      </c>
      <c r="F16" s="75">
        <v>35</v>
      </c>
    </row>
    <row r="17" spans="1:9" ht="15.6" x14ac:dyDescent="0.25">
      <c r="D17" s="47" t="s">
        <v>289</v>
      </c>
      <c r="E17" s="74">
        <v>4.0999999999999996</v>
      </c>
      <c r="F17" s="75">
        <v>0.12</v>
      </c>
    </row>
    <row r="18" spans="1:9" ht="16.2" thickBot="1" x14ac:dyDescent="0.3">
      <c r="D18" s="48" t="s">
        <v>290</v>
      </c>
      <c r="E18" s="76">
        <v>120</v>
      </c>
      <c r="F18" s="77">
        <v>110</v>
      </c>
    </row>
    <row r="19" spans="1:9" ht="13.8" thickTop="1" x14ac:dyDescent="0.25"/>
    <row r="21" spans="1:9" ht="25.5" customHeight="1" x14ac:dyDescent="0.25">
      <c r="A21" s="78">
        <v>1</v>
      </c>
      <c r="B21" s="246" t="s">
        <v>291</v>
      </c>
      <c r="C21" s="246"/>
      <c r="D21" s="246"/>
      <c r="E21" s="246"/>
      <c r="F21" s="246"/>
      <c r="G21" s="246"/>
      <c r="H21" s="246"/>
      <c r="I21" s="246"/>
    </row>
    <row r="22" spans="1:9" ht="15.6" x14ac:dyDescent="0.25">
      <c r="A22" s="78">
        <v>2</v>
      </c>
      <c r="B22" s="190" t="s">
        <v>292</v>
      </c>
      <c r="C22" s="190"/>
      <c r="D22" s="190"/>
      <c r="E22" s="190"/>
      <c r="F22" s="190"/>
      <c r="G22" s="190"/>
      <c r="H22" s="190"/>
      <c r="I22" s="190"/>
    </row>
    <row r="23" spans="1:9" ht="52.5" customHeight="1" x14ac:dyDescent="0.25">
      <c r="A23" s="78">
        <v>3</v>
      </c>
      <c r="B23" s="192" t="s">
        <v>296</v>
      </c>
      <c r="C23" s="192"/>
      <c r="D23" s="192"/>
      <c r="E23" s="192"/>
      <c r="F23" s="192"/>
      <c r="G23" s="192"/>
      <c r="H23" s="192"/>
      <c r="I23" s="192"/>
    </row>
  </sheetData>
  <sheetProtection password="FEA0" sheet="1" objects="1" scenarios="1"/>
  <mergeCells count="5">
    <mergeCell ref="B23:I23"/>
    <mergeCell ref="B2:I2"/>
    <mergeCell ref="D4:F4"/>
    <mergeCell ref="B21:I21"/>
    <mergeCell ref="B22:I22"/>
  </mergeCells>
  <phoneticPr fontId="8"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Revisions</vt:lpstr>
      <vt:lpstr>Instructions</vt:lpstr>
      <vt:lpstr>General</vt:lpstr>
      <vt:lpstr>WQS</vt:lpstr>
      <vt:lpstr>Pass-through</vt:lpstr>
      <vt:lpstr>Inhibition</vt:lpstr>
      <vt:lpstr>Sludge Quality</vt:lpstr>
      <vt:lpstr>Limits</vt:lpstr>
      <vt:lpstr>WQ Criteria</vt:lpstr>
    </vt:vector>
  </TitlesOfParts>
  <Company>Clean Water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andersos</dc:creator>
  <cp:lastModifiedBy>Aniket Gupta</cp:lastModifiedBy>
  <cp:lastPrinted>2003-01-08T21:58:03Z</cp:lastPrinted>
  <dcterms:created xsi:type="dcterms:W3CDTF">2002-08-26T20:09:09Z</dcterms:created>
  <dcterms:modified xsi:type="dcterms:W3CDTF">2024-02-03T22:31:55Z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1679021200</vt:i4>
  </property>
  <property fmtid="{D5CDD505-2E9C-101B-9397-08002B2CF9AE}" pid="3" name="_EmailSubject">
    <vt:lpwstr>Local Limits Spreadsheet</vt:lpwstr>
  </property>
  <property fmtid="{D5CDD505-2E9C-101B-9397-08002B2CF9AE}" pid="4" name="_AuthorEmail">
    <vt:lpwstr>AndersonS@CleanWaterServices.org</vt:lpwstr>
  </property>
  <property fmtid="{D5CDD505-2E9C-101B-9397-08002B2CF9AE}" pid="5" name="_AuthorEmailDisplayName">
    <vt:lpwstr>Steve Anderson</vt:lpwstr>
  </property>
  <property fmtid="{D5CDD505-2E9C-101B-9397-08002B2CF9AE}" pid="6" name="_PreviousAdHocReviewCycleID">
    <vt:i4>753573630</vt:i4>
  </property>
  <property fmtid="{D5CDD505-2E9C-101B-9397-08002B2CF9AE}" pid="7" name="_ReviewingToolsShownOnce">
    <vt:lpwstr/>
  </property>
</Properties>
</file>