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7552279B-CF4B-4460-B395-1035BA519605}" xr6:coauthVersionLast="47" xr6:coauthVersionMax="47" xr10:uidLastSave="{00000000-0000-0000-0000-000000000000}"/>
  <bookViews>
    <workbookView xWindow="768" yWindow="768" windowWidth="17280" windowHeight="8880" activeTab="1"/>
  </bookViews>
  <sheets>
    <sheet name="Profit Model based on model" sheetId="5" r:id="rId1"/>
    <sheet name="Cost Summ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O6" i="1" s="1"/>
  <c r="K6" i="1"/>
  <c r="K52" i="1" s="1"/>
  <c r="L6" i="1"/>
  <c r="L52" i="1" s="1"/>
  <c r="M6" i="1"/>
  <c r="M48" i="1" s="1"/>
  <c r="N6" i="1"/>
  <c r="O8" i="1"/>
  <c r="O9" i="1"/>
  <c r="O10" i="1"/>
  <c r="O12" i="1"/>
  <c r="O13" i="1"/>
  <c r="O14" i="1"/>
  <c r="K18" i="1"/>
  <c r="L18" i="1"/>
  <c r="L16" i="1" s="1"/>
  <c r="M18" i="1"/>
  <c r="M16" i="1" s="1"/>
  <c r="N18" i="1"/>
  <c r="N16" i="1" s="1"/>
  <c r="J19" i="1"/>
  <c r="J20" i="1"/>
  <c r="J21" i="1"/>
  <c r="J22" i="1"/>
  <c r="J18" i="1" s="1"/>
  <c r="J24" i="1"/>
  <c r="O24" i="1" s="1"/>
  <c r="K24" i="1"/>
  <c r="J26" i="1"/>
  <c r="O26" i="1"/>
  <c r="J28" i="1"/>
  <c r="J30" i="1"/>
  <c r="J31" i="1"/>
  <c r="J32" i="1"/>
  <c r="J33" i="1"/>
  <c r="J34" i="1"/>
  <c r="K36" i="1"/>
  <c r="K37" i="1"/>
  <c r="K28" i="1" s="1"/>
  <c r="O28" i="1" s="1"/>
  <c r="K38" i="1"/>
  <c r="J40" i="1"/>
  <c r="K40" i="1"/>
  <c r="L40" i="1"/>
  <c r="M40" i="1"/>
  <c r="N40" i="1"/>
  <c r="O40" i="1"/>
  <c r="K48" i="1"/>
  <c r="L48" i="1"/>
  <c r="N48" i="1"/>
  <c r="N46" i="1" s="1"/>
  <c r="N50" i="1"/>
  <c r="N52" i="1"/>
  <c r="J53" i="1"/>
  <c r="J46" i="1" s="1"/>
  <c r="K53" i="1"/>
  <c r="L53" i="1"/>
  <c r="N53" i="1"/>
  <c r="E56" i="1"/>
  <c r="G56" i="1" s="1"/>
  <c r="E59" i="1"/>
  <c r="G59" i="1" s="1"/>
  <c r="J64" i="1"/>
  <c r="K64" i="1"/>
  <c r="L64" i="1"/>
  <c r="M64" i="1"/>
  <c r="N64" i="1"/>
  <c r="G65" i="1"/>
  <c r="H65" i="1"/>
  <c r="K65" i="1" s="1"/>
  <c r="I65" i="1"/>
  <c r="J65" i="1"/>
  <c r="G67" i="1"/>
  <c r="H67" i="1"/>
  <c r="J67" i="1" s="1"/>
  <c r="I67" i="1"/>
  <c r="G68" i="1"/>
  <c r="H68" i="1"/>
  <c r="N68" i="1" s="1"/>
  <c r="I68" i="1"/>
  <c r="G70" i="1"/>
  <c r="H70" i="1"/>
  <c r="J70" i="1" s="1"/>
  <c r="I70" i="1"/>
  <c r="M70" i="1"/>
  <c r="N70" i="1"/>
  <c r="G71" i="1"/>
  <c r="H71" i="1"/>
  <c r="J71" i="1" s="1"/>
  <c r="O71" i="1" s="1"/>
  <c r="I71" i="1"/>
  <c r="K71" i="1"/>
  <c r="L71" i="1"/>
  <c r="M71" i="1"/>
  <c r="N71" i="1"/>
  <c r="G72" i="1"/>
  <c r="H72" i="1"/>
  <c r="I72" i="1"/>
  <c r="J72" i="1"/>
  <c r="O72" i="1" s="1"/>
  <c r="K72" i="1"/>
  <c r="L72" i="1"/>
  <c r="M72" i="1"/>
  <c r="N72" i="1"/>
  <c r="G73" i="1"/>
  <c r="H73" i="1"/>
  <c r="I73" i="1"/>
  <c r="J73" i="1"/>
  <c r="O73" i="1" s="1"/>
  <c r="K73" i="1"/>
  <c r="L73" i="1"/>
  <c r="M73" i="1"/>
  <c r="N73" i="1"/>
  <c r="G77" i="1"/>
  <c r="H77" i="1"/>
  <c r="J77" i="1" s="1"/>
  <c r="I77" i="1"/>
  <c r="L77" i="1"/>
  <c r="M77" i="1"/>
  <c r="N77" i="1"/>
  <c r="G80" i="1"/>
  <c r="H80" i="1"/>
  <c r="K80" i="1" s="1"/>
  <c r="I80" i="1"/>
  <c r="J81" i="1"/>
  <c r="J79" i="1" s="1"/>
  <c r="O82" i="1"/>
  <c r="G83" i="1"/>
  <c r="H83" i="1"/>
  <c r="J83" i="1" s="1"/>
  <c r="O83" i="1" s="1"/>
  <c r="I83" i="1"/>
  <c r="K83" i="1"/>
  <c r="L83" i="1"/>
  <c r="M83" i="1"/>
  <c r="N83" i="1"/>
  <c r="G84" i="1"/>
  <c r="H84" i="1"/>
  <c r="I84" i="1"/>
  <c r="J84" i="1"/>
  <c r="O84" i="1" s="1"/>
  <c r="K84" i="1"/>
  <c r="L84" i="1"/>
  <c r="M84" i="1"/>
  <c r="N84" i="1"/>
  <c r="O85" i="1"/>
  <c r="B1" i="5"/>
  <c r="E10" i="5" s="1"/>
  <c r="E9" i="5" s="1"/>
  <c r="E11" i="5"/>
  <c r="F11" i="5"/>
  <c r="G11" i="5"/>
  <c r="H11" i="5"/>
  <c r="I11" i="5"/>
  <c r="E12" i="5"/>
  <c r="F12" i="5"/>
  <c r="G12" i="5"/>
  <c r="G10" i="5" s="1"/>
  <c r="H12" i="5"/>
  <c r="H10" i="5" s="1"/>
  <c r="I12" i="5"/>
  <c r="I10" i="5" s="1"/>
  <c r="E13" i="5"/>
  <c r="F13" i="5"/>
  <c r="G13" i="5"/>
  <c r="H13" i="5"/>
  <c r="I13" i="5"/>
  <c r="F15" i="5"/>
  <c r="G15" i="5"/>
  <c r="H15" i="5"/>
  <c r="E16" i="5"/>
  <c r="F16" i="5"/>
  <c r="G16" i="5"/>
  <c r="H16" i="5"/>
  <c r="I16" i="5"/>
  <c r="E17" i="5"/>
  <c r="E15" i="5" s="1"/>
  <c r="F17" i="5"/>
  <c r="G17" i="5"/>
  <c r="H17" i="5"/>
  <c r="I17" i="5"/>
  <c r="I15" i="5" s="1"/>
  <c r="E18" i="5"/>
  <c r="F18" i="5"/>
  <c r="G18" i="5"/>
  <c r="H18" i="5"/>
  <c r="I18" i="5"/>
  <c r="I28" i="5" l="1"/>
  <c r="G20" i="5"/>
  <c r="G9" i="5"/>
  <c r="O77" i="1"/>
  <c r="G28" i="5"/>
  <c r="K16" i="1"/>
  <c r="J16" i="1"/>
  <c r="O18" i="1"/>
  <c r="H28" i="5"/>
  <c r="K79" i="1"/>
  <c r="O79" i="1" s="1"/>
  <c r="I9" i="5"/>
  <c r="I20" i="5"/>
  <c r="J63" i="1"/>
  <c r="H20" i="5"/>
  <c r="H9" i="5"/>
  <c r="M50" i="1"/>
  <c r="M46" i="1" s="1"/>
  <c r="N80" i="1"/>
  <c r="N79" i="1" s="1"/>
  <c r="L70" i="1"/>
  <c r="M68" i="1"/>
  <c r="N67" i="1"/>
  <c r="I59" i="1"/>
  <c r="I56" i="1"/>
  <c r="L50" i="1"/>
  <c r="L46" i="1" s="1"/>
  <c r="M80" i="1"/>
  <c r="M79" i="1" s="1"/>
  <c r="K77" i="1"/>
  <c r="K70" i="1"/>
  <c r="O70" i="1" s="1"/>
  <c r="L68" i="1"/>
  <c r="M67" i="1"/>
  <c r="N65" i="1"/>
  <c r="N63" i="1" s="1"/>
  <c r="H59" i="1"/>
  <c r="H56" i="1"/>
  <c r="K50" i="1"/>
  <c r="O50" i="1" s="1"/>
  <c r="F10" i="5"/>
  <c r="L80" i="1"/>
  <c r="L79" i="1" s="1"/>
  <c r="K68" i="1"/>
  <c r="L67" i="1"/>
  <c r="M65" i="1"/>
  <c r="M63" i="1" s="1"/>
  <c r="O53" i="1"/>
  <c r="M52" i="1"/>
  <c r="O52" i="1" s="1"/>
  <c r="O48" i="1"/>
  <c r="J68" i="1"/>
  <c r="K67" i="1"/>
  <c r="K63" i="1" s="1"/>
  <c r="L65" i="1"/>
  <c r="M53" i="1"/>
  <c r="K76" i="1" l="1"/>
  <c r="K75" i="1" s="1"/>
  <c r="K61" i="1" s="1"/>
  <c r="F29" i="5" s="1"/>
  <c r="E28" i="5"/>
  <c r="O16" i="1"/>
  <c r="M56" i="1"/>
  <c r="M55" i="1" s="1"/>
  <c r="N56" i="1"/>
  <c r="N55" i="1" s="1"/>
  <c r="L56" i="1"/>
  <c r="L55" i="1" s="1"/>
  <c r="L42" i="1" s="1"/>
  <c r="J56" i="1"/>
  <c r="K56" i="1"/>
  <c r="K55" i="1" s="1"/>
  <c r="O80" i="1"/>
  <c r="F28" i="5"/>
  <c r="N61" i="1"/>
  <c r="I29" i="5" s="1"/>
  <c r="N76" i="1"/>
  <c r="N75" i="1" s="1"/>
  <c r="M59" i="1"/>
  <c r="M58" i="1" s="1"/>
  <c r="J59" i="1"/>
  <c r="N59" i="1"/>
  <c r="N58" i="1" s="1"/>
  <c r="K59" i="1"/>
  <c r="K58" i="1" s="1"/>
  <c r="L59" i="1"/>
  <c r="L58" i="1" s="1"/>
  <c r="I31" i="5"/>
  <c r="J76" i="1"/>
  <c r="O63" i="1"/>
  <c r="M76" i="1"/>
  <c r="M75" i="1" s="1"/>
  <c r="M61" i="1" s="1"/>
  <c r="H29" i="5" s="1"/>
  <c r="H31" i="5" s="1"/>
  <c r="O67" i="1"/>
  <c r="O65" i="1"/>
  <c r="L63" i="1"/>
  <c r="K46" i="1"/>
  <c r="O68" i="1"/>
  <c r="F20" i="5"/>
  <c r="F9" i="5"/>
  <c r="F21" i="5" l="1"/>
  <c r="G21" i="5" s="1"/>
  <c r="H21" i="5" s="1"/>
  <c r="I21" i="5" s="1"/>
  <c r="O59" i="1"/>
  <c r="J58" i="1"/>
  <c r="O58" i="1" s="1"/>
  <c r="K44" i="1"/>
  <c r="F22" i="5" s="1"/>
  <c r="F24" i="5" s="1"/>
  <c r="F25" i="5" s="1"/>
  <c r="O56" i="1"/>
  <c r="J55" i="1"/>
  <c r="M44" i="1"/>
  <c r="H22" i="5" s="1"/>
  <c r="H24" i="5" s="1"/>
  <c r="H25" i="5" s="1"/>
  <c r="F31" i="5"/>
  <c r="K42" i="1"/>
  <c r="K4" i="1" s="1"/>
  <c r="O46" i="1"/>
  <c r="L61" i="1"/>
  <c r="G29" i="5" s="1"/>
  <c r="G31" i="5" s="1"/>
  <c r="L76" i="1"/>
  <c r="L75" i="1" s="1"/>
  <c r="O76" i="1"/>
  <c r="J75" i="1"/>
  <c r="L44" i="1"/>
  <c r="G22" i="5" s="1"/>
  <c r="G24" i="5" s="1"/>
  <c r="G25" i="5" s="1"/>
  <c r="N44" i="1"/>
  <c r="I22" i="5" s="1"/>
  <c r="I24" i="5" s="1"/>
  <c r="I25" i="5" s="1"/>
  <c r="N42" i="1"/>
  <c r="N4" i="1" s="1"/>
  <c r="M42" i="1"/>
  <c r="M4" i="1" s="1"/>
  <c r="F32" i="5" l="1"/>
  <c r="F26" i="5"/>
  <c r="O55" i="1"/>
  <c r="J42" i="1"/>
  <c r="G32" i="5"/>
  <c r="G26" i="5"/>
  <c r="I26" i="5"/>
  <c r="I32" i="5"/>
  <c r="O75" i="1"/>
  <c r="J61" i="1"/>
  <c r="H32" i="5"/>
  <c r="H26" i="5"/>
  <c r="L4" i="1"/>
  <c r="I33" i="5" l="1"/>
  <c r="I34" i="5"/>
  <c r="G34" i="5"/>
  <c r="G33" i="5"/>
  <c r="O42" i="1"/>
  <c r="J4" i="1"/>
  <c r="O4" i="1" s="1"/>
  <c r="H34" i="5"/>
  <c r="H33" i="5"/>
  <c r="O61" i="1"/>
  <c r="E29" i="5"/>
  <c r="E31" i="5" s="1"/>
  <c r="E32" i="5" s="1"/>
  <c r="E34" i="5" s="1"/>
  <c r="F34" i="5"/>
  <c r="F33" i="5"/>
</calcChain>
</file>

<file path=xl/comments1.xml><?xml version="1.0" encoding="utf-8"?>
<comments xmlns="http://schemas.openxmlformats.org/spreadsheetml/2006/main">
  <authors>
    <author>Bonnie Elgamil</author>
  </authors>
  <commentList>
    <comment ref="E3" authorId="0" shapeId="0">
      <text>
        <r>
          <rPr>
            <b/>
            <sz val="8"/>
            <color indexed="81"/>
            <rFont val="Tahoma"/>
            <family val="2"/>
          </rPr>
          <t>Bonnie Elgamil:</t>
        </r>
        <r>
          <rPr>
            <sz val="8"/>
            <color indexed="81"/>
            <rFont val="Tahoma"/>
            <family val="2"/>
          </rPr>
          <t xml:space="preserve">
Establishing the business - no sales</t>
        </r>
        <r>
          <rPr>
            <sz val="8"/>
            <color indexed="81"/>
            <rFont val="Tahoma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First year of sales</t>
        </r>
      </text>
    </comment>
    <comment ref="H3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Hire and set up operations to sell to large vineyars - land large contracts with Gallor, sutter home etc.</t>
        </r>
      </text>
    </comment>
    <comment ref="I3" authorId="0" shapeId="0">
      <text>
        <r>
          <rPr>
            <b/>
            <sz val="8"/>
            <color indexed="81"/>
            <rFont val="Tahoma"/>
          </rPr>
          <t xml:space="preserve">Bonnie Elgamil:
</t>
        </r>
        <r>
          <rPr>
            <sz val="8"/>
            <color indexed="81"/>
            <rFont val="Tahoma"/>
            <family val="2"/>
          </rPr>
          <t xml:space="preserve">Supporting large customers and home wine customers
</t>
        </r>
      </text>
    </comment>
  </commentList>
</comments>
</file>

<file path=xl/comments2.xml><?xml version="1.0" encoding="utf-8"?>
<comments xmlns="http://schemas.openxmlformats.org/spreadsheetml/2006/main">
  <authors>
    <author>Bonnie Elgamil</author>
  </authors>
  <commentList>
    <comment ref="J3" authorId="0" shapeId="0">
      <text>
        <r>
          <rPr>
            <b/>
            <sz val="8"/>
            <color indexed="81"/>
            <rFont val="Tahoma"/>
            <family val="2"/>
          </rPr>
          <t>Bonnie Elgamil:</t>
        </r>
        <r>
          <rPr>
            <sz val="8"/>
            <color indexed="81"/>
            <rFont val="Tahoma"/>
            <family val="2"/>
          </rPr>
          <t xml:space="preserve">
Establishing the business - no sales</t>
        </r>
        <r>
          <rPr>
            <sz val="8"/>
            <color indexed="81"/>
            <rFont val="Tahoma"/>
          </rPr>
          <t xml:space="preserve">
</t>
        </r>
      </text>
    </comment>
    <comment ref="K3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First year of sales</t>
        </r>
      </text>
    </comment>
    <comment ref="M3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Hire and set up operations to sell to large vineyars - land large contracts with Gallor, sutter home etc.</t>
        </r>
      </text>
    </comment>
    <comment ref="N3" authorId="0" shapeId="0">
      <text>
        <r>
          <rPr>
            <b/>
            <sz val="8"/>
            <color indexed="81"/>
            <rFont val="Tahoma"/>
          </rPr>
          <t xml:space="preserve">Bonnie Elgamil:
</t>
        </r>
        <r>
          <rPr>
            <sz val="8"/>
            <color indexed="81"/>
            <rFont val="Tahoma"/>
            <family val="2"/>
          </rPr>
          <t xml:space="preserve">Supporting large customers and home wine customers
</t>
        </r>
      </text>
    </comment>
    <comment ref="B16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Note Labor included below</t>
        </r>
      </text>
    </comment>
    <comment ref="D24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rental
</t>
        </r>
      </text>
    </comment>
    <comment ref="D56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includes programing the mote
</t>
        </r>
      </text>
    </comment>
    <comment ref="E56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% of one hour
</t>
        </r>
      </text>
    </comment>
    <comment ref="D59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Outsource</t>
        </r>
      </text>
    </comment>
    <comment ref="D67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Maintain Web site, design advertsing campaigns, developing new products etc</t>
        </r>
      </text>
    </comment>
    <comment ref="F68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Including Commission
</t>
        </r>
      </text>
    </comment>
    <comment ref="C75" authorId="0" shapeId="0">
      <text>
        <r>
          <rPr>
            <b/>
            <sz val="8"/>
            <color indexed="81"/>
            <rFont val="Tahoma"/>
          </rPr>
          <t>Bonnie Elgamil:</t>
        </r>
        <r>
          <rPr>
            <sz val="8"/>
            <color indexed="81"/>
            <rFont val="Tahoma"/>
          </rPr>
          <t xml:space="preserve">
Includes computer, health coverage, 401 K etc.)
</t>
        </r>
      </text>
    </comment>
  </commentList>
</comments>
</file>

<file path=xl/sharedStrings.xml><?xml version="1.0" encoding="utf-8"?>
<sst xmlns="http://schemas.openxmlformats.org/spreadsheetml/2006/main" count="112" uniqueCount="86">
  <si>
    <t>Mass Production</t>
  </si>
  <si>
    <t>Materials</t>
  </si>
  <si>
    <t>Labor</t>
  </si>
  <si>
    <t>Office Space</t>
  </si>
  <si>
    <t>Unit Cost</t>
  </si>
  <si>
    <t>Worst</t>
  </si>
  <si>
    <t>ML</t>
  </si>
  <si>
    <t>CAD license</t>
  </si>
  <si>
    <t>Marketing</t>
  </si>
  <si>
    <t>Legal</t>
  </si>
  <si>
    <t>Production</t>
  </si>
  <si>
    <t>Advertising</t>
  </si>
  <si>
    <t>Benefits</t>
  </si>
  <si>
    <t>Accounting</t>
  </si>
  <si>
    <t>Payroll</t>
  </si>
  <si>
    <t>Office Supplies</t>
  </si>
  <si>
    <t>market to large vineyars</t>
  </si>
  <si>
    <t>Sales</t>
  </si>
  <si>
    <t>Web Services</t>
  </si>
  <si>
    <t>Staff Ramping % - Variable Functions</t>
  </si>
  <si>
    <t>Staff Ramping % - Fixed Functions</t>
  </si>
  <si>
    <t xml:space="preserve"> </t>
  </si>
  <si>
    <t>4 Year Plan to market to Large Wineries</t>
  </si>
  <si>
    <t>CEO</t>
  </si>
  <si>
    <t>Wine Making Expert</t>
  </si>
  <si>
    <t>Total Staff</t>
  </si>
  <si>
    <t>Patents</t>
  </si>
  <si>
    <t>Coverages</t>
  </si>
  <si>
    <t>Equipment</t>
  </si>
  <si>
    <t>Management and Administrative Costs</t>
  </si>
  <si>
    <t>Tooling</t>
  </si>
  <si>
    <t xml:space="preserve">Housing </t>
  </si>
  <si>
    <t>Lid</t>
  </si>
  <si>
    <t>Window</t>
  </si>
  <si>
    <t>Setup Costs</t>
  </si>
  <si>
    <t>Shoot 150 parts</t>
  </si>
  <si>
    <t>Mote</t>
  </si>
  <si>
    <t>Fuse Deposition Modeling</t>
  </si>
  <si>
    <t>Steel</t>
  </si>
  <si>
    <t>Alumnium</t>
  </si>
  <si>
    <t>Assembly</t>
  </si>
  <si>
    <t>Base Station</t>
  </si>
  <si>
    <t>Other</t>
  </si>
  <si>
    <t>Number of Units Sold</t>
  </si>
  <si>
    <t>Additional Sensor Package</t>
  </si>
  <si>
    <t>Housing</t>
  </si>
  <si>
    <t>2003</t>
  </si>
  <si>
    <t>2004</t>
  </si>
  <si>
    <t>2005</t>
  </si>
  <si>
    <t>2006</t>
  </si>
  <si>
    <t>2007</t>
  </si>
  <si>
    <t>Base Station Unit Cost</t>
  </si>
  <si>
    <t>Base Station Total Cost</t>
  </si>
  <si>
    <t>Mote Unit Cost</t>
  </si>
  <si>
    <t>Mote Total Cost</t>
  </si>
  <si>
    <t>Sensor Unit Package Cost</t>
  </si>
  <si>
    <t>Sensor Total Cost</t>
  </si>
  <si>
    <t>Best</t>
  </si>
  <si>
    <t>Bateries</t>
  </si>
  <si>
    <t>Molded Casings</t>
  </si>
  <si>
    <t>Most Likely</t>
  </si>
  <si>
    <t>TOTAL COSTS</t>
  </si>
  <si>
    <t>TOTAL</t>
  </si>
  <si>
    <t>Sales Price</t>
  </si>
  <si>
    <t>Net Sales</t>
  </si>
  <si>
    <t>Cummulative Net Sales</t>
  </si>
  <si>
    <t>Cost of Product Sold</t>
  </si>
  <si>
    <t>Variable Unit Cost</t>
  </si>
  <si>
    <t>Gross Margin</t>
  </si>
  <si>
    <t>% Gross Margin</t>
  </si>
  <si>
    <t>Development Costs</t>
  </si>
  <si>
    <t>Ongoing Development</t>
  </si>
  <si>
    <t>Prototype and Development Costs</t>
  </si>
  <si>
    <t>Marketing and Other Costs</t>
  </si>
  <si>
    <t>Total Operating Expense</t>
  </si>
  <si>
    <t>Pre-Tax Profit</t>
  </si>
  <si>
    <t>% Profit</t>
  </si>
  <si>
    <t>Cummulative Profit</t>
  </si>
  <si>
    <t>Home Users</t>
  </si>
  <si>
    <t>Coporate User</t>
  </si>
  <si>
    <t>Home</t>
  </si>
  <si>
    <t>Corporate</t>
  </si>
  <si>
    <t>Scenario</t>
  </si>
  <si>
    <t>Assump./ Unit Amounts</t>
  </si>
  <si>
    <t>Batteries</t>
  </si>
  <si>
    <t>Labor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</si>
</sst>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70" formatCode="_(* #,##0_);_(* \(#,##0\);_(* &quot;-&quot;??_);_(@_)"/>
    <numFmt numFmtId="171" formatCode="0%;[Red]\(0%\)"/>
    <numFmt numFmtId="172" formatCode="_(&quot;$&quot;* #,##0_);[Red]_(&quot;$&quot;* \(#,##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44" fontId="0" fillId="0" borderId="0" xfId="2" applyFont="1"/>
    <xf numFmtId="0" fontId="2" fillId="0" borderId="0" xfId="0" applyFont="1"/>
    <xf numFmtId="43" fontId="0" fillId="0" borderId="0" xfId="1" applyFont="1"/>
    <xf numFmtId="0" fontId="4" fillId="0" borderId="0" xfId="0" applyFont="1"/>
    <xf numFmtId="9" fontId="0" fillId="0" borderId="0" xfId="3" applyFont="1"/>
    <xf numFmtId="164" fontId="0" fillId="0" borderId="0" xfId="2" applyNumberFormat="1" applyFont="1"/>
    <xf numFmtId="164" fontId="0" fillId="0" borderId="0" xfId="2" applyNumberFormat="1" applyFont="1" applyBorder="1"/>
    <xf numFmtId="165" fontId="0" fillId="0" borderId="0" xfId="2" applyNumberFormat="1" applyFont="1"/>
    <xf numFmtId="165" fontId="0" fillId="0" borderId="0" xfId="2" applyNumberFormat="1" applyFont="1" applyBorder="1"/>
    <xf numFmtId="9" fontId="0" fillId="0" borderId="0" xfId="3" applyFont="1" applyBorder="1"/>
    <xf numFmtId="9" fontId="7" fillId="0" borderId="0" xfId="3" applyFont="1" applyBorder="1"/>
    <xf numFmtId="0" fontId="0" fillId="0" borderId="0" xfId="0" applyAlignment="1">
      <alignment wrapText="1"/>
    </xf>
    <xf numFmtId="0" fontId="10" fillId="0" borderId="0" xfId="0" applyFont="1"/>
    <xf numFmtId="165" fontId="2" fillId="0" borderId="0" xfId="2" applyNumberFormat="1" applyFont="1" applyBorder="1"/>
    <xf numFmtId="165" fontId="12" fillId="0" borderId="0" xfId="2" applyNumberFormat="1" applyFont="1" applyBorder="1"/>
    <xf numFmtId="165" fontId="10" fillId="0" borderId="0" xfId="2" applyNumberFormat="1" applyFont="1" applyBorder="1"/>
    <xf numFmtId="43" fontId="10" fillId="0" borderId="0" xfId="1" applyFont="1" applyBorder="1"/>
    <xf numFmtId="0" fontId="0" fillId="2" borderId="1" xfId="0" applyFill="1" applyBorder="1"/>
    <xf numFmtId="43" fontId="0" fillId="2" borderId="1" xfId="1" applyFont="1" applyFill="1" applyBorder="1"/>
    <xf numFmtId="165" fontId="0" fillId="2" borderId="1" xfId="2" applyNumberFormat="1" applyFont="1" applyFill="1" applyBorder="1"/>
    <xf numFmtId="165" fontId="0" fillId="0" borderId="2" xfId="2" applyNumberFormat="1" applyFont="1" applyBorder="1"/>
    <xf numFmtId="165" fontId="2" fillId="0" borderId="2" xfId="2" applyNumberFormat="1" applyFont="1" applyBorder="1"/>
    <xf numFmtId="43" fontId="10" fillId="0" borderId="2" xfId="1" applyFont="1" applyBorder="1"/>
    <xf numFmtId="9" fontId="7" fillId="0" borderId="2" xfId="3" applyFont="1" applyBorder="1"/>
    <xf numFmtId="165" fontId="2" fillId="2" borderId="3" xfId="2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43" fontId="0" fillId="0" borderId="0" xfId="1" applyFont="1" applyFill="1" applyBorder="1"/>
    <xf numFmtId="165" fontId="0" fillId="0" borderId="0" xfId="2" applyNumberFormat="1" applyFont="1" applyFill="1" applyBorder="1"/>
    <xf numFmtId="165" fontId="2" fillId="0" borderId="2" xfId="2" applyNumberFormat="1" applyFont="1" applyFill="1" applyBorder="1"/>
    <xf numFmtId="165" fontId="2" fillId="0" borderId="0" xfId="2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2" fillId="0" borderId="2" xfId="0" applyFont="1" applyFill="1" applyBorder="1"/>
    <xf numFmtId="0" fontId="3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165" fontId="12" fillId="0" borderId="2" xfId="2" applyNumberFormat="1" applyFont="1" applyBorder="1"/>
    <xf numFmtId="0" fontId="2" fillId="2" borderId="3" xfId="0" applyFont="1" applyFill="1" applyBorder="1"/>
    <xf numFmtId="0" fontId="0" fillId="0" borderId="2" xfId="0" applyBorder="1"/>
    <xf numFmtId="0" fontId="2" fillId="0" borderId="2" xfId="0" applyFont="1" applyBorder="1"/>
    <xf numFmtId="0" fontId="12" fillId="0" borderId="2" xfId="0" applyFont="1" applyBorder="1"/>
    <xf numFmtId="165" fontId="2" fillId="2" borderId="1" xfId="2" applyNumberFormat="1" applyFont="1" applyFill="1" applyBorder="1"/>
    <xf numFmtId="164" fontId="0" fillId="2" borderId="1" xfId="2" applyNumberFormat="1" applyFont="1" applyFill="1" applyBorder="1"/>
    <xf numFmtId="164" fontId="0" fillId="0" borderId="0" xfId="2" applyNumberFormat="1" applyFont="1" applyFill="1" applyBorder="1"/>
    <xf numFmtId="0" fontId="0" fillId="0" borderId="0" xfId="0" applyBorder="1"/>
    <xf numFmtId="165" fontId="0" fillId="0" borderId="4" xfId="2" applyNumberFormat="1" applyFont="1" applyBorder="1"/>
    <xf numFmtId="9" fontId="0" fillId="2" borderId="1" xfId="3" applyFont="1" applyFill="1" applyBorder="1"/>
    <xf numFmtId="9" fontId="10" fillId="3" borderId="0" xfId="3" applyFont="1" applyFill="1" applyBorder="1" applyAlignment="1">
      <alignment horizontal="center"/>
    </xf>
    <xf numFmtId="165" fontId="10" fillId="0" borderId="2" xfId="2" applyNumberFormat="1" applyFont="1" applyBorder="1"/>
    <xf numFmtId="0" fontId="2" fillId="0" borderId="0" xfId="0" applyFont="1" applyBorder="1"/>
    <xf numFmtId="170" fontId="10" fillId="0" borderId="0" xfId="1" applyNumberFormat="1" applyFont="1" applyBorder="1"/>
    <xf numFmtId="0" fontId="10" fillId="0" borderId="2" xfId="0" applyFont="1" applyFill="1" applyBorder="1"/>
    <xf numFmtId="0" fontId="11" fillId="0" borderId="2" xfId="0" applyFont="1" applyFill="1" applyBorder="1"/>
    <xf numFmtId="43" fontId="11" fillId="0" borderId="0" xfId="1" applyFont="1" applyBorder="1"/>
    <xf numFmtId="170" fontId="11" fillId="0" borderId="0" xfId="1" applyNumberFormat="1" applyFont="1" applyBorder="1"/>
    <xf numFmtId="43" fontId="14" fillId="0" borderId="0" xfId="1" applyFont="1" applyBorder="1"/>
    <xf numFmtId="170" fontId="14" fillId="0" borderId="0" xfId="1" applyNumberFormat="1" applyFont="1" applyBorder="1"/>
    <xf numFmtId="165" fontId="1" fillId="0" borderId="0" xfId="2" applyNumberFormat="1" applyBorder="1"/>
    <xf numFmtId="165" fontId="1" fillId="0" borderId="0" xfId="2" applyNumberFormat="1" applyFont="1" applyBorder="1"/>
    <xf numFmtId="0" fontId="15" fillId="0" borderId="2" xfId="0" applyFont="1" applyFill="1" applyBorder="1"/>
    <xf numFmtId="0" fontId="15" fillId="0" borderId="0" xfId="0" applyFont="1"/>
    <xf numFmtId="170" fontId="15" fillId="0" borderId="0" xfId="1" applyNumberFormat="1" applyFont="1" applyBorder="1"/>
    <xf numFmtId="0" fontId="14" fillId="0" borderId="2" xfId="0" applyFont="1" applyFill="1" applyBorder="1"/>
    <xf numFmtId="0" fontId="14" fillId="0" borderId="0" xfId="0" applyFont="1"/>
    <xf numFmtId="165" fontId="14" fillId="0" borderId="0" xfId="2" applyNumberFormat="1" applyFont="1" applyBorder="1"/>
    <xf numFmtId="0" fontId="10" fillId="0" borderId="0" xfId="0" applyFont="1" applyFill="1" applyBorder="1"/>
    <xf numFmtId="0" fontId="10" fillId="0" borderId="2" xfId="0" applyFont="1" applyBorder="1"/>
    <xf numFmtId="9" fontId="2" fillId="0" borderId="0" xfId="3" applyFont="1" applyBorder="1"/>
    <xf numFmtId="171" fontId="2" fillId="0" borderId="0" xfId="3" applyNumberFormat="1" applyFont="1" applyBorder="1"/>
    <xf numFmtId="172" fontId="2" fillId="0" borderId="0" xfId="2" applyNumberFormat="1" applyFont="1" applyBorder="1"/>
    <xf numFmtId="165" fontId="11" fillId="0" borderId="0" xfId="2" applyNumberFormat="1" applyFont="1" applyBorder="1"/>
    <xf numFmtId="165" fontId="0" fillId="0" borderId="0" xfId="0" applyNumberFormat="1"/>
    <xf numFmtId="43" fontId="13" fillId="4" borderId="5" xfId="1" quotePrefix="1" applyFont="1" applyFill="1" applyBorder="1" applyAlignment="1">
      <alignment horizontal="center" vertical="center" wrapText="1"/>
    </xf>
    <xf numFmtId="43" fontId="13" fillId="4" borderId="6" xfId="1" quotePrefix="1" applyFont="1" applyFill="1" applyBorder="1" applyAlignment="1">
      <alignment horizontal="center" vertical="center" wrapText="1"/>
    </xf>
    <xf numFmtId="165" fontId="1" fillId="0" borderId="7" xfId="2" applyNumberFormat="1" applyBorder="1"/>
    <xf numFmtId="0" fontId="14" fillId="0" borderId="0" xfId="0" applyFont="1" applyBorder="1"/>
    <xf numFmtId="0" fontId="14" fillId="0" borderId="7" xfId="0" applyFont="1" applyBorder="1"/>
    <xf numFmtId="0" fontId="11" fillId="0" borderId="0" xfId="0" applyFont="1" applyBorder="1"/>
    <xf numFmtId="165" fontId="14" fillId="0" borderId="7" xfId="2" applyNumberFormat="1" applyFont="1" applyBorder="1"/>
    <xf numFmtId="0" fontId="15" fillId="0" borderId="0" xfId="0" applyFont="1" applyBorder="1"/>
    <xf numFmtId="170" fontId="15" fillId="0" borderId="7" xfId="1" applyNumberFormat="1" applyFont="1" applyBorder="1"/>
    <xf numFmtId="170" fontId="14" fillId="0" borderId="7" xfId="1" applyNumberFormat="1" applyFont="1" applyBorder="1"/>
    <xf numFmtId="0" fontId="12" fillId="0" borderId="0" xfId="0" applyFont="1" applyBorder="1"/>
    <xf numFmtId="165" fontId="2" fillId="0" borderId="7" xfId="2" applyNumberFormat="1" applyFont="1" applyBorder="1"/>
    <xf numFmtId="9" fontId="2" fillId="0" borderId="7" xfId="3" applyFont="1" applyBorder="1"/>
    <xf numFmtId="172" fontId="2" fillId="0" borderId="7" xfId="2" applyNumberFormat="1" applyFont="1" applyBorder="1"/>
    <xf numFmtId="171" fontId="2" fillId="0" borderId="7" xfId="3" applyNumberFormat="1" applyFont="1" applyBorder="1"/>
    <xf numFmtId="0" fontId="2" fillId="0" borderId="8" xfId="0" applyFont="1" applyBorder="1"/>
    <xf numFmtId="0" fontId="0" fillId="0" borderId="9" xfId="0" applyBorder="1"/>
    <xf numFmtId="172" fontId="2" fillId="0" borderId="9" xfId="2" applyNumberFormat="1" applyFont="1" applyBorder="1"/>
    <xf numFmtId="172" fontId="2" fillId="0" borderId="10" xfId="2" applyNumberFormat="1" applyFont="1" applyBorder="1"/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16" fillId="0" borderId="0" xfId="0" applyFont="1" applyFill="1" applyBorder="1"/>
    <xf numFmtId="0" fontId="16" fillId="5" borderId="0" xfId="0" applyFont="1" applyFill="1" applyBorder="1" applyAlignment="1">
      <alignment horizontal="center"/>
    </xf>
    <xf numFmtId="43" fontId="13" fillId="4" borderId="4" xfId="1" quotePrefix="1" applyFont="1" applyFill="1" applyBorder="1" applyAlignment="1">
      <alignment horizontal="center" vertical="center" wrapText="1"/>
    </xf>
    <xf numFmtId="165" fontId="1" fillId="0" borderId="2" xfId="2" applyNumberFormat="1" applyBorder="1"/>
    <xf numFmtId="165" fontId="14" fillId="0" borderId="2" xfId="2" applyNumberFormat="1" applyFont="1" applyBorder="1"/>
    <xf numFmtId="170" fontId="15" fillId="0" borderId="2" xfId="1" applyNumberFormat="1" applyFont="1" applyBorder="1"/>
    <xf numFmtId="170" fontId="14" fillId="0" borderId="2" xfId="1" applyNumberFormat="1" applyFont="1" applyBorder="1"/>
    <xf numFmtId="172" fontId="2" fillId="0" borderId="2" xfId="2" applyNumberFormat="1" applyFont="1" applyBorder="1"/>
    <xf numFmtId="171" fontId="2" fillId="0" borderId="2" xfId="3" applyNumberFormat="1" applyFont="1" applyBorder="1"/>
    <xf numFmtId="172" fontId="2" fillId="0" borderId="8" xfId="2" applyNumberFormat="1" applyFont="1" applyBorder="1"/>
    <xf numFmtId="43" fontId="14" fillId="0" borderId="2" xfId="1" applyFont="1" applyBorder="1"/>
    <xf numFmtId="43" fontId="14" fillId="0" borderId="7" xfId="1" applyFont="1" applyBorder="1"/>
    <xf numFmtId="43" fontId="0" fillId="0" borderId="0" xfId="1" applyFont="1" applyBorder="1"/>
    <xf numFmtId="43" fontId="2" fillId="0" borderId="0" xfId="1" applyFont="1" applyBorder="1"/>
    <xf numFmtId="164" fontId="2" fillId="0" borderId="0" xfId="2" applyNumberFormat="1" applyFont="1" applyBorder="1"/>
    <xf numFmtId="0" fontId="12" fillId="0" borderId="0" xfId="0" applyFont="1" applyBorder="1" applyAlignment="1">
      <alignment horizontal="left" indent="1"/>
    </xf>
    <xf numFmtId="165" fontId="0" fillId="0" borderId="7" xfId="2" applyNumberFormat="1" applyFont="1" applyBorder="1"/>
    <xf numFmtId="3" fontId="12" fillId="0" borderId="0" xfId="0" applyNumberFormat="1" applyFont="1" applyBorder="1"/>
    <xf numFmtId="0" fontId="10" fillId="0" borderId="0" xfId="0" applyFont="1" applyBorder="1"/>
    <xf numFmtId="164" fontId="10" fillId="0" borderId="0" xfId="2" applyNumberFormat="1" applyFont="1" applyBorder="1"/>
    <xf numFmtId="9" fontId="12" fillId="0" borderId="0" xfId="3" applyFont="1" applyBorder="1"/>
    <xf numFmtId="164" fontId="12" fillId="0" borderId="0" xfId="2" applyNumberFormat="1" applyFont="1" applyBorder="1"/>
    <xf numFmtId="0" fontId="0" fillId="0" borderId="8" xfId="0" applyBorder="1"/>
    <xf numFmtId="9" fontId="0" fillId="0" borderId="9" xfId="3" applyFont="1" applyBorder="1"/>
    <xf numFmtId="164" fontId="0" fillId="0" borderId="9" xfId="2" applyNumberFormat="1" applyFont="1" applyBorder="1"/>
    <xf numFmtId="165" fontId="0" fillId="0" borderId="9" xfId="2" applyNumberFormat="1" applyFont="1" applyBorder="1"/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43" fontId="2" fillId="3" borderId="5" xfId="1" applyFont="1" applyFill="1" applyBorder="1" applyAlignment="1">
      <alignment horizontal="center" wrapText="1"/>
    </xf>
    <xf numFmtId="164" fontId="2" fillId="3" borderId="5" xfId="2" applyNumberFormat="1" applyFont="1" applyFill="1" applyBorder="1" applyAlignment="1">
      <alignment horizontal="center" wrapText="1"/>
    </xf>
    <xf numFmtId="165" fontId="2" fillId="3" borderId="5" xfId="2" applyNumberFormat="1" applyFont="1" applyFill="1" applyBorder="1" applyAlignment="1">
      <alignment horizontal="center" wrapText="1"/>
    </xf>
    <xf numFmtId="43" fontId="11" fillId="0" borderId="2" xfId="1" applyFont="1" applyBorder="1"/>
    <xf numFmtId="165" fontId="0" fillId="0" borderId="8" xfId="2" applyNumberFormat="1" applyFont="1" applyBorder="1"/>
    <xf numFmtId="165" fontId="0" fillId="2" borderId="11" xfId="2" applyNumberFormat="1" applyFont="1" applyFill="1" applyBorder="1"/>
    <xf numFmtId="165" fontId="10" fillId="0" borderId="7" xfId="2" applyNumberFormat="1" applyFont="1" applyBorder="1"/>
    <xf numFmtId="9" fontId="0" fillId="0" borderId="7" xfId="3" applyFont="1" applyBorder="1"/>
    <xf numFmtId="165" fontId="0" fillId="0" borderId="7" xfId="2" applyNumberFormat="1" applyFont="1" applyFill="1" applyBorder="1"/>
    <xf numFmtId="165" fontId="12" fillId="0" borderId="7" xfId="2" applyNumberFormat="1" applyFont="1" applyBorder="1"/>
    <xf numFmtId="165" fontId="0" fillId="0" borderId="10" xfId="2" applyNumberFormat="1" applyFont="1" applyBorder="1"/>
    <xf numFmtId="164" fontId="11" fillId="0" borderId="0" xfId="2" applyNumberFormat="1" applyFont="1" applyBorder="1"/>
    <xf numFmtId="0" fontId="10" fillId="0" borderId="0" xfId="0" applyFont="1" applyBorder="1" applyAlignment="1">
      <alignment horizontal="left" indent="1"/>
    </xf>
    <xf numFmtId="43" fontId="13" fillId="4" borderId="12" xfId="1" applyFont="1" applyFill="1" applyBorder="1" applyAlignment="1">
      <alignment horizontal="center" vertical="center" wrapText="1"/>
    </xf>
    <xf numFmtId="165" fontId="2" fillId="2" borderId="13" xfId="2" applyNumberFormat="1" applyFont="1" applyFill="1" applyBorder="1"/>
    <xf numFmtId="44" fontId="0" fillId="2" borderId="14" xfId="2" applyFont="1" applyFill="1" applyBorder="1"/>
    <xf numFmtId="44" fontId="2" fillId="2" borderId="14" xfId="2" applyFont="1" applyFill="1" applyBorder="1"/>
    <xf numFmtId="44" fontId="10" fillId="2" borderId="14" xfId="2" applyFont="1" applyFill="1" applyBorder="1"/>
    <xf numFmtId="44" fontId="12" fillId="2" borderId="14" xfId="2" applyFont="1" applyFill="1" applyBorder="1"/>
    <xf numFmtId="165" fontId="2" fillId="2" borderId="14" xfId="2" applyNumberFormat="1" applyFont="1" applyFill="1" applyBorder="1"/>
    <xf numFmtId="165" fontId="2" fillId="2" borderId="15" xfId="2" applyNumberFormat="1" applyFont="1" applyFill="1" applyBorder="1"/>
    <xf numFmtId="170" fontId="2" fillId="2" borderId="14" xfId="2" applyNumberFormat="1" applyFont="1" applyFill="1" applyBorder="1"/>
    <xf numFmtId="170" fontId="0" fillId="2" borderId="14" xfId="2" applyNumberFormat="1" applyFont="1" applyFill="1" applyBorder="1"/>
    <xf numFmtId="0" fontId="11" fillId="2" borderId="3" xfId="0" applyFont="1" applyFill="1" applyBorder="1"/>
    <xf numFmtId="0" fontId="11" fillId="2" borderId="1" xfId="0" applyFont="1" applyFill="1" applyBorder="1"/>
    <xf numFmtId="43" fontId="11" fillId="2" borderId="1" xfId="1" applyFont="1" applyFill="1" applyBorder="1"/>
    <xf numFmtId="164" fontId="11" fillId="2" borderId="1" xfId="2" applyNumberFormat="1" applyFont="1" applyFill="1" applyBorder="1"/>
    <xf numFmtId="165" fontId="11" fillId="2" borderId="1" xfId="2" applyNumberFormat="1" applyFont="1" applyFill="1" applyBorder="1"/>
    <xf numFmtId="43" fontId="11" fillId="2" borderId="3" xfId="1" applyFont="1" applyFill="1" applyBorder="1"/>
    <xf numFmtId="170" fontId="2" fillId="2" borderId="13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zoomScale="80" workbookViewId="0">
      <selection activeCell="A25" sqref="A25"/>
    </sheetView>
  </sheetViews>
  <sheetFormatPr defaultRowHeight="13.2" outlineLevelRow="1" x14ac:dyDescent="0.25"/>
  <cols>
    <col min="1" max="1" width="14.109375" style="26" bestFit="1" customWidth="1"/>
    <col min="2" max="2" width="9.88671875" customWidth="1"/>
    <col min="3" max="3" width="5.5546875" customWidth="1"/>
    <col min="4" max="4" width="14.5546875" customWidth="1"/>
    <col min="5" max="8" width="12.33203125" style="59" customWidth="1"/>
    <col min="9" max="9" width="13.44140625" style="59" bestFit="1" customWidth="1"/>
    <col min="10" max="10" width="12.33203125" bestFit="1" customWidth="1"/>
  </cols>
  <sheetData>
    <row r="1" spans="1:17" ht="21" x14ac:dyDescent="0.4">
      <c r="A1" s="95" t="s">
        <v>82</v>
      </c>
      <c r="B1" s="96" t="str">
        <f>'Cost Summary'!E1</f>
        <v>ML</v>
      </c>
      <c r="H1" s="60"/>
    </row>
    <row r="2" spans="1:17" x14ac:dyDescent="0.25">
      <c r="A2" s="35"/>
      <c r="B2" s="4"/>
      <c r="H2" s="60"/>
    </row>
    <row r="3" spans="1:17" s="12" customFormat="1" ht="17.399999999999999" x14ac:dyDescent="0.25">
      <c r="A3" s="32"/>
      <c r="B3" s="93"/>
      <c r="C3" s="94"/>
      <c r="D3" s="94"/>
      <c r="E3" s="97" t="s">
        <v>46</v>
      </c>
      <c r="F3" s="74" t="s">
        <v>47</v>
      </c>
      <c r="G3" s="74" t="s">
        <v>48</v>
      </c>
      <c r="H3" s="74" t="s">
        <v>49</v>
      </c>
      <c r="I3" s="75" t="s">
        <v>50</v>
      </c>
    </row>
    <row r="4" spans="1:17" x14ac:dyDescent="0.25">
      <c r="B4" s="33"/>
      <c r="C4" s="46"/>
      <c r="D4" s="46"/>
      <c r="E4" s="98"/>
      <c r="I4" s="76"/>
    </row>
    <row r="5" spans="1:17" s="2" customFormat="1" x14ac:dyDescent="0.25">
      <c r="A5" s="27"/>
      <c r="B5" s="34" t="s">
        <v>63</v>
      </c>
      <c r="C5" s="51"/>
      <c r="D5" s="51"/>
      <c r="E5" s="99"/>
      <c r="F5" s="77"/>
      <c r="G5" s="77"/>
      <c r="H5" s="77"/>
      <c r="I5" s="78"/>
    </row>
    <row r="6" spans="1:17" s="2" customFormat="1" x14ac:dyDescent="0.25">
      <c r="A6" s="27"/>
      <c r="B6" s="34"/>
      <c r="C6" s="77" t="s">
        <v>78</v>
      </c>
      <c r="D6" s="79"/>
      <c r="E6" s="99"/>
      <c r="F6" s="66">
        <v>149</v>
      </c>
      <c r="G6" s="66">
        <v>149</v>
      </c>
      <c r="H6" s="66">
        <v>159</v>
      </c>
      <c r="I6" s="80">
        <v>159</v>
      </c>
    </row>
    <row r="7" spans="1:17" s="2" customFormat="1" x14ac:dyDescent="0.25">
      <c r="A7" s="27"/>
      <c r="B7" s="34"/>
      <c r="C7" s="77" t="s">
        <v>79</v>
      </c>
      <c r="D7" s="79"/>
      <c r="E7" s="99"/>
      <c r="F7" s="66"/>
      <c r="G7" s="66"/>
      <c r="H7" s="66">
        <v>50</v>
      </c>
      <c r="I7" s="80">
        <v>50</v>
      </c>
    </row>
    <row r="8" spans="1:17" s="2" customFormat="1" x14ac:dyDescent="0.25">
      <c r="A8" s="27"/>
      <c r="B8" s="34"/>
      <c r="C8" s="77"/>
      <c r="D8" s="79"/>
      <c r="E8" s="99"/>
      <c r="F8" s="66"/>
      <c r="G8" s="66"/>
      <c r="H8" s="66"/>
      <c r="I8" s="80"/>
    </row>
    <row r="9" spans="1:17" s="2" customFormat="1" x14ac:dyDescent="0.25">
      <c r="A9" s="27"/>
      <c r="B9" s="61" t="s">
        <v>43</v>
      </c>
      <c r="C9" s="81"/>
      <c r="D9" s="81"/>
      <c r="E9" s="100">
        <f>E10+E15</f>
        <v>0</v>
      </c>
      <c r="F9" s="63">
        <f>F10+F15</f>
        <v>2000</v>
      </c>
      <c r="G9" s="63">
        <f>G10+G15</f>
        <v>5000</v>
      </c>
      <c r="H9" s="63">
        <f>H10+H15</f>
        <v>20000</v>
      </c>
      <c r="I9" s="82">
        <f>I10+I15</f>
        <v>65000</v>
      </c>
      <c r="J9" s="62"/>
      <c r="K9" s="62"/>
      <c r="L9" s="62"/>
      <c r="M9" s="62"/>
      <c r="N9" s="62"/>
      <c r="O9" s="62"/>
      <c r="P9" s="62"/>
      <c r="Q9" s="62"/>
    </row>
    <row r="10" spans="1:17" s="2" customFormat="1" x14ac:dyDescent="0.25">
      <c r="A10" s="27"/>
      <c r="B10" s="61"/>
      <c r="C10" s="77" t="s">
        <v>80</v>
      </c>
      <c r="D10" s="77"/>
      <c r="E10" s="105">
        <f>IF($B$1="best",E11,IF($B$1="ml",E12,IF($B$1="worst",E13)))</f>
        <v>0</v>
      </c>
      <c r="F10" s="57">
        <f>IF($B$1="best",F11,IF($B$1="ml",F12,IF($B$1="worst",F13)))</f>
        <v>2000</v>
      </c>
      <c r="G10" s="57">
        <f>IF($B$1="best",G11,IF($B$1="ml",G12,IF($B$1="worst",G13)))</f>
        <v>5000</v>
      </c>
      <c r="H10" s="57">
        <f>IF($B$1="best",H11,IF($B$1="ml",H12,IF($B$1="worst",H13)))</f>
        <v>10000</v>
      </c>
      <c r="I10" s="106">
        <f>IF($B$1="best",I11,IF($B$1="ml",I12,IF($B$1="worst",I13)))</f>
        <v>15000</v>
      </c>
      <c r="J10" s="62"/>
      <c r="K10" s="62"/>
      <c r="L10" s="62"/>
      <c r="M10" s="62"/>
      <c r="N10" s="62"/>
      <c r="O10" s="62"/>
      <c r="P10" s="62"/>
      <c r="Q10" s="62"/>
    </row>
    <row r="11" spans="1:17" s="2" customFormat="1" hidden="1" outlineLevel="1" x14ac:dyDescent="0.25">
      <c r="A11" s="27"/>
      <c r="B11" s="61"/>
      <c r="C11" s="84"/>
      <c r="D11" s="77" t="s">
        <v>57</v>
      </c>
      <c r="E11" s="101">
        <f>'Cost Summary'!J8</f>
        <v>0</v>
      </c>
      <c r="F11" s="58">
        <f>'Cost Summary'!K8</f>
        <v>3000</v>
      </c>
      <c r="G11" s="58">
        <f>'Cost Summary'!L8</f>
        <v>7000</v>
      </c>
      <c r="H11" s="58">
        <f>'Cost Summary'!M8</f>
        <v>13000</v>
      </c>
      <c r="I11" s="83">
        <f>'Cost Summary'!N8</f>
        <v>20000</v>
      </c>
      <c r="J11" s="65"/>
      <c r="K11" s="65"/>
      <c r="L11" s="62"/>
      <c r="M11" s="62"/>
      <c r="N11" s="62"/>
      <c r="O11" s="62"/>
      <c r="P11" s="62"/>
      <c r="Q11" s="62"/>
    </row>
    <row r="12" spans="1:17" s="2" customFormat="1" hidden="1" outlineLevel="1" x14ac:dyDescent="0.25">
      <c r="A12" s="27"/>
      <c r="B12" s="61"/>
      <c r="C12" s="84"/>
      <c r="D12" s="84" t="s">
        <v>60</v>
      </c>
      <c r="E12" s="101">
        <f>'Cost Summary'!J9</f>
        <v>0</v>
      </c>
      <c r="F12" s="58">
        <f>'Cost Summary'!K9</f>
        <v>2000</v>
      </c>
      <c r="G12" s="58">
        <f>'Cost Summary'!L9</f>
        <v>5000</v>
      </c>
      <c r="H12" s="58">
        <f>'Cost Summary'!M9</f>
        <v>10000</v>
      </c>
      <c r="I12" s="83">
        <f>'Cost Summary'!N9</f>
        <v>15000</v>
      </c>
      <c r="J12"/>
      <c r="K12"/>
      <c r="L12" s="62"/>
      <c r="M12" s="62"/>
      <c r="N12" s="62"/>
      <c r="O12" s="62"/>
      <c r="P12" s="62"/>
      <c r="Q12" s="62"/>
    </row>
    <row r="13" spans="1:17" s="2" customFormat="1" hidden="1" outlineLevel="1" x14ac:dyDescent="0.25">
      <c r="A13" s="27"/>
      <c r="B13" s="61"/>
      <c r="C13" s="84"/>
      <c r="D13" s="84" t="s">
        <v>5</v>
      </c>
      <c r="E13" s="101">
        <f>'Cost Summary'!J10</f>
        <v>0</v>
      </c>
      <c r="F13" s="58">
        <f>'Cost Summary'!K10</f>
        <v>1000</v>
      </c>
      <c r="G13" s="58">
        <f>'Cost Summary'!L10</f>
        <v>3000</v>
      </c>
      <c r="H13" s="58">
        <f>'Cost Summary'!M10</f>
        <v>7000</v>
      </c>
      <c r="I13" s="83">
        <f>'Cost Summary'!N10</f>
        <v>10000</v>
      </c>
      <c r="J13"/>
      <c r="K13"/>
      <c r="L13" s="62"/>
      <c r="M13" s="62"/>
      <c r="N13" s="62"/>
      <c r="O13" s="62"/>
      <c r="P13" s="62"/>
      <c r="Q13" s="62"/>
    </row>
    <row r="14" spans="1:17" s="2" customFormat="1" hidden="1" outlineLevel="1" x14ac:dyDescent="0.25">
      <c r="A14" s="27"/>
      <c r="B14" s="61"/>
      <c r="C14" s="84"/>
      <c r="D14" s="84"/>
      <c r="E14" s="101"/>
      <c r="F14" s="58"/>
      <c r="G14" s="58"/>
      <c r="H14" s="58"/>
      <c r="I14" s="83"/>
      <c r="J14"/>
      <c r="K14"/>
      <c r="L14" s="62"/>
      <c r="M14" s="62"/>
      <c r="N14" s="62"/>
      <c r="O14" s="62"/>
      <c r="P14" s="62"/>
      <c r="Q14" s="62"/>
    </row>
    <row r="15" spans="1:17" collapsed="1" x14ac:dyDescent="0.25">
      <c r="B15" s="64"/>
      <c r="C15" s="77" t="s">
        <v>81</v>
      </c>
      <c r="D15" s="77"/>
      <c r="E15" s="105">
        <f>IF($B$1="best",E16,IF($B$1="ml",E17,IF($B$1="worst",E18)))</f>
        <v>0</v>
      </c>
      <c r="F15" s="57">
        <f>IF($B$1="best",F16,IF($B$1="ml",F17,IF($B$1="worst",F18)))</f>
        <v>0</v>
      </c>
      <c r="G15" s="57">
        <f>IF($B$1="best",G16,IF($B$1="ml",G17,IF($B$1="worst",G18)))</f>
        <v>0</v>
      </c>
      <c r="H15" s="57">
        <f>IF($B$1="best",H16,IF($B$1="ml",H17,IF($B$1="worst",H18)))</f>
        <v>10000</v>
      </c>
      <c r="I15" s="106">
        <f>IF($B$1="best",I16,IF($B$1="ml",I17,IF($B$1="worst",I18)))</f>
        <v>50000</v>
      </c>
      <c r="L15" s="65"/>
      <c r="M15" s="65"/>
      <c r="N15" s="65"/>
      <c r="O15" s="65"/>
      <c r="P15" s="65"/>
      <c r="Q15" s="65"/>
    </row>
    <row r="16" spans="1:17" hidden="1" outlineLevel="1" x14ac:dyDescent="0.25">
      <c r="B16" s="53"/>
      <c r="C16" s="46"/>
      <c r="D16" s="77" t="s">
        <v>57</v>
      </c>
      <c r="E16" s="101">
        <f>'Cost Summary'!J12</f>
        <v>0</v>
      </c>
      <c r="F16" s="58">
        <f>'Cost Summary'!K12</f>
        <v>0</v>
      </c>
      <c r="G16" s="58">
        <f>'Cost Summary'!L12</f>
        <v>0</v>
      </c>
      <c r="H16" s="58">
        <f>'Cost Summary'!M12</f>
        <v>30000</v>
      </c>
      <c r="I16" s="83">
        <f>'Cost Summary'!N12</f>
        <v>100000</v>
      </c>
    </row>
    <row r="17" spans="1:9" hidden="1" outlineLevel="1" x14ac:dyDescent="0.25">
      <c r="B17" s="53"/>
      <c r="C17" s="46"/>
      <c r="D17" s="84" t="s">
        <v>60</v>
      </c>
      <c r="E17" s="101">
        <f>'Cost Summary'!J13</f>
        <v>0</v>
      </c>
      <c r="F17" s="58">
        <f>'Cost Summary'!K13</f>
        <v>0</v>
      </c>
      <c r="G17" s="58">
        <f>'Cost Summary'!L13</f>
        <v>0</v>
      </c>
      <c r="H17" s="58">
        <f>'Cost Summary'!M13</f>
        <v>10000</v>
      </c>
      <c r="I17" s="83">
        <f>'Cost Summary'!N13</f>
        <v>50000</v>
      </c>
    </row>
    <row r="18" spans="1:9" hidden="1" outlineLevel="1" x14ac:dyDescent="0.25">
      <c r="B18" s="53"/>
      <c r="C18" s="46"/>
      <c r="D18" s="84" t="s">
        <v>5</v>
      </c>
      <c r="E18" s="101">
        <f>'Cost Summary'!J14</f>
        <v>0</v>
      </c>
      <c r="F18" s="58">
        <f>'Cost Summary'!K14</f>
        <v>0</v>
      </c>
      <c r="G18" s="58">
        <f>'Cost Summary'!L14</f>
        <v>0</v>
      </c>
      <c r="H18" s="58">
        <f>'Cost Summary'!M14</f>
        <v>5000</v>
      </c>
      <c r="I18" s="83">
        <f>'Cost Summary'!N14</f>
        <v>10000</v>
      </c>
    </row>
    <row r="19" spans="1:9" collapsed="1" x14ac:dyDescent="0.25">
      <c r="B19" s="53"/>
      <c r="C19" s="46"/>
      <c r="D19" s="84"/>
      <c r="E19" s="101"/>
      <c r="F19" s="58"/>
      <c r="G19" s="58"/>
      <c r="H19" s="58"/>
      <c r="I19" s="83"/>
    </row>
    <row r="20" spans="1:9" s="2" customFormat="1" x14ac:dyDescent="0.25">
      <c r="A20" s="27"/>
      <c r="B20" s="34" t="s">
        <v>64</v>
      </c>
      <c r="C20" s="51"/>
      <c r="D20" s="51"/>
      <c r="E20" s="22"/>
      <c r="F20" s="14">
        <f>F10*F6+F7*F15</f>
        <v>298000</v>
      </c>
      <c r="G20" s="14">
        <f>G10*G6+G7*G15</f>
        <v>745000</v>
      </c>
      <c r="H20" s="14">
        <f>H10*H6+H7*H15</f>
        <v>2090000</v>
      </c>
      <c r="I20" s="85">
        <f>I10*I6+I7*I15</f>
        <v>4885000</v>
      </c>
    </row>
    <row r="21" spans="1:9" x14ac:dyDescent="0.25">
      <c r="B21" s="34" t="s">
        <v>65</v>
      </c>
      <c r="C21" s="46"/>
      <c r="D21" s="46"/>
      <c r="E21" s="98"/>
      <c r="F21" s="14">
        <f>F20+E20</f>
        <v>298000</v>
      </c>
      <c r="G21" s="14">
        <f>F21+G20</f>
        <v>1043000</v>
      </c>
      <c r="H21" s="14">
        <f>G21+H20</f>
        <v>3133000</v>
      </c>
      <c r="I21" s="85">
        <f>H21+I20</f>
        <v>8018000</v>
      </c>
    </row>
    <row r="22" spans="1:9" x14ac:dyDescent="0.25">
      <c r="B22" s="34" t="s">
        <v>4</v>
      </c>
      <c r="C22" s="46"/>
      <c r="D22" s="46"/>
      <c r="E22" s="98"/>
      <c r="F22" s="14">
        <f>'Cost Summary'!K44</f>
        <v>84.75</v>
      </c>
      <c r="G22" s="14">
        <f>'Cost Summary'!L44</f>
        <v>66.75</v>
      </c>
      <c r="H22" s="14">
        <f>'Cost Summary'!M44</f>
        <v>50.75</v>
      </c>
      <c r="I22" s="85">
        <f>'Cost Summary'!N44</f>
        <v>33.75</v>
      </c>
    </row>
    <row r="23" spans="1:9" x14ac:dyDescent="0.25">
      <c r="B23" s="34"/>
      <c r="C23" s="46"/>
      <c r="D23" s="46"/>
      <c r="E23" s="98"/>
      <c r="F23" s="14"/>
      <c r="G23" s="14"/>
      <c r="H23" s="14"/>
      <c r="I23" s="85"/>
    </row>
    <row r="24" spans="1:9" x14ac:dyDescent="0.25">
      <c r="B24" s="34" t="s">
        <v>66</v>
      </c>
      <c r="C24" s="46"/>
      <c r="D24" s="46"/>
      <c r="E24" s="98"/>
      <c r="F24" s="14">
        <f>F22*F9</f>
        <v>169500</v>
      </c>
      <c r="G24" s="14">
        <f>G22*G9</f>
        <v>333750</v>
      </c>
      <c r="H24" s="14">
        <f>H22*H9</f>
        <v>1015000</v>
      </c>
      <c r="I24" s="85">
        <f>I22*I9</f>
        <v>2193750</v>
      </c>
    </row>
    <row r="25" spans="1:9" x14ac:dyDescent="0.25">
      <c r="B25" s="34" t="s">
        <v>68</v>
      </c>
      <c r="C25" s="46"/>
      <c r="D25" s="46"/>
      <c r="E25" s="98"/>
      <c r="F25" s="14">
        <f>F20-F24</f>
        <v>128500</v>
      </c>
      <c r="G25" s="14">
        <f>G20-G24</f>
        <v>411250</v>
      </c>
      <c r="H25" s="14">
        <f>H20-H24</f>
        <v>1075000</v>
      </c>
      <c r="I25" s="85">
        <f>I20-I24</f>
        <v>2691250</v>
      </c>
    </row>
    <row r="26" spans="1:9" x14ac:dyDescent="0.25">
      <c r="B26" s="34" t="s">
        <v>69</v>
      </c>
      <c r="C26" s="46"/>
      <c r="D26" s="46"/>
      <c r="E26" s="98"/>
      <c r="F26" s="69">
        <f>(F25)/F20</f>
        <v>0.43120805369127518</v>
      </c>
      <c r="G26" s="69">
        <f>(G25)/G20</f>
        <v>0.55201342281879195</v>
      </c>
      <c r="H26" s="69">
        <f>(H25)/H20</f>
        <v>0.5143540669856459</v>
      </c>
      <c r="I26" s="86">
        <f>(I25)/I20</f>
        <v>0.55092118730808592</v>
      </c>
    </row>
    <row r="27" spans="1:9" x14ac:dyDescent="0.25">
      <c r="B27" s="34"/>
      <c r="C27" s="46"/>
      <c r="D27" s="46"/>
      <c r="E27" s="98"/>
      <c r="F27" s="14"/>
      <c r="G27" s="14"/>
      <c r="H27" s="14"/>
      <c r="I27" s="85"/>
    </row>
    <row r="28" spans="1:9" x14ac:dyDescent="0.25">
      <c r="B28" s="34" t="s">
        <v>70</v>
      </c>
      <c r="C28" s="46"/>
      <c r="D28" s="46"/>
      <c r="E28" s="102">
        <f>'Cost Summary'!J16</f>
        <v>262958</v>
      </c>
      <c r="F28" s="71">
        <f>'Cost Summary'!K16</f>
        <v>240400</v>
      </c>
      <c r="G28" s="71">
        <f>'Cost Summary'!L16</f>
        <v>60000</v>
      </c>
      <c r="H28" s="71">
        <f>'Cost Summary'!M16</f>
        <v>60000</v>
      </c>
      <c r="I28" s="87">
        <f>'Cost Summary'!N16</f>
        <v>60000</v>
      </c>
    </row>
    <row r="29" spans="1:9" x14ac:dyDescent="0.25">
      <c r="B29" s="34" t="s">
        <v>73</v>
      </c>
      <c r="C29" s="46"/>
      <c r="D29" s="46"/>
      <c r="E29" s="102">
        <f>'Cost Summary'!J61</f>
        <v>441337.5</v>
      </c>
      <c r="F29" s="71">
        <f>'Cost Summary'!K61</f>
        <v>373031.25</v>
      </c>
      <c r="G29" s="71">
        <f>'Cost Summary'!L61</f>
        <v>436550</v>
      </c>
      <c r="H29" s="71">
        <f>'Cost Summary'!M61</f>
        <v>682912.5</v>
      </c>
      <c r="I29" s="87">
        <f>'Cost Summary'!N61</f>
        <v>807512.5</v>
      </c>
    </row>
    <row r="30" spans="1:9" x14ac:dyDescent="0.25">
      <c r="B30" s="34"/>
      <c r="C30" s="46"/>
      <c r="D30" s="46"/>
      <c r="E30" s="98"/>
      <c r="I30" s="76"/>
    </row>
    <row r="31" spans="1:9" x14ac:dyDescent="0.25">
      <c r="B31" s="34" t="s">
        <v>74</v>
      </c>
      <c r="C31" s="46"/>
      <c r="D31" s="46"/>
      <c r="E31" s="102">
        <f>E28+E29</f>
        <v>704295.5</v>
      </c>
      <c r="F31" s="71">
        <f>F28+F29</f>
        <v>613431.25</v>
      </c>
      <c r="G31" s="71">
        <f>G28+G29</f>
        <v>496550</v>
      </c>
      <c r="H31" s="71">
        <f>H28+H29</f>
        <v>742912.5</v>
      </c>
      <c r="I31" s="87">
        <f>I28+I29</f>
        <v>867512.5</v>
      </c>
    </row>
    <row r="32" spans="1:9" x14ac:dyDescent="0.25">
      <c r="B32" s="34" t="s">
        <v>75</v>
      </c>
      <c r="C32" s="46"/>
      <c r="D32" s="46"/>
      <c r="E32" s="102">
        <f>E25-E31</f>
        <v>-704295.5</v>
      </c>
      <c r="F32" s="71">
        <f>F25-F31</f>
        <v>-484931.25</v>
      </c>
      <c r="G32" s="71">
        <f>G25-G31</f>
        <v>-85300</v>
      </c>
      <c r="H32" s="71">
        <f>H25-H31</f>
        <v>332087.5</v>
      </c>
      <c r="I32" s="87">
        <f>I25-I31</f>
        <v>1823737.5</v>
      </c>
    </row>
    <row r="33" spans="2:10" x14ac:dyDescent="0.25">
      <c r="B33" s="34" t="s">
        <v>76</v>
      </c>
      <c r="C33" s="46"/>
      <c r="D33" s="46"/>
      <c r="E33" s="103"/>
      <c r="F33" s="70">
        <f>F32/F20</f>
        <v>-1.6272860738255033</v>
      </c>
      <c r="G33" s="70">
        <f>G32/G20</f>
        <v>-0.11449664429530201</v>
      </c>
      <c r="H33" s="70">
        <f>H32/H20</f>
        <v>0.15889354066985645</v>
      </c>
      <c r="I33" s="88">
        <f>I32/I20</f>
        <v>0.37333418628454451</v>
      </c>
    </row>
    <row r="34" spans="2:10" x14ac:dyDescent="0.25">
      <c r="B34" s="89" t="s">
        <v>77</v>
      </c>
      <c r="C34" s="90"/>
      <c r="D34" s="90"/>
      <c r="E34" s="104">
        <f>E32</f>
        <v>-704295.5</v>
      </c>
      <c r="F34" s="91">
        <f>F32</f>
        <v>-484931.25</v>
      </c>
      <c r="G34" s="91">
        <f>G32</f>
        <v>-85300</v>
      </c>
      <c r="H34" s="91">
        <f>H32</f>
        <v>332087.5</v>
      </c>
      <c r="I34" s="92">
        <f>I32</f>
        <v>1823737.5</v>
      </c>
    </row>
    <row r="43" spans="2:10" x14ac:dyDescent="0.25">
      <c r="E43" s="14"/>
      <c r="F43" s="14"/>
      <c r="G43" s="14"/>
      <c r="H43" s="14"/>
      <c r="I43" s="14"/>
      <c r="J43" s="73"/>
    </row>
    <row r="45" spans="2:10" x14ac:dyDescent="0.25">
      <c r="J45" s="73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tabSelected="1" zoomScale="80" workbookViewId="0">
      <pane ySplit="3" topLeftCell="A28" activePane="bottomLeft" state="frozen"/>
      <selection pane="bottomLeft" activeCell="E1" sqref="E1"/>
    </sheetView>
  </sheetViews>
  <sheetFormatPr defaultRowHeight="13.2" x14ac:dyDescent="0.25"/>
  <cols>
    <col min="1" max="1" width="3.44140625" style="26" customWidth="1"/>
    <col min="2" max="2" width="2.33203125" customWidth="1"/>
    <col min="3" max="3" width="2.88671875" customWidth="1"/>
    <col min="4" max="4" width="24" customWidth="1"/>
    <col min="5" max="5" width="12.109375" style="3" customWidth="1"/>
    <col min="6" max="6" width="13.44140625" style="6" customWidth="1"/>
    <col min="7" max="9" width="11.5546875" style="8" customWidth="1"/>
    <col min="10" max="14" width="12.33203125" style="9" customWidth="1"/>
    <col min="15" max="15" width="15.109375" style="1" bestFit="1" customWidth="1"/>
  </cols>
  <sheetData>
    <row r="1" spans="1:19" ht="21" x14ac:dyDescent="0.4">
      <c r="A1" s="95" t="s">
        <v>82</v>
      </c>
      <c r="E1" s="96" t="s">
        <v>6</v>
      </c>
      <c r="F1" s="59"/>
      <c r="J1"/>
      <c r="K1"/>
      <c r="L1"/>
      <c r="N1"/>
      <c r="O1"/>
      <c r="Q1" s="35" t="s">
        <v>22</v>
      </c>
    </row>
    <row r="2" spans="1:19" x14ac:dyDescent="0.25">
      <c r="B2" s="4"/>
      <c r="Q2">
        <v>2006</v>
      </c>
      <c r="R2" t="s">
        <v>16</v>
      </c>
    </row>
    <row r="3" spans="1:19" s="12" customFormat="1" ht="39.6" x14ac:dyDescent="0.25">
      <c r="A3" s="32"/>
      <c r="B3" s="121"/>
      <c r="C3" s="122"/>
      <c r="D3" s="122"/>
      <c r="E3" s="123" t="s">
        <v>83</v>
      </c>
      <c r="F3" s="124" t="s">
        <v>4</v>
      </c>
      <c r="G3" s="125" t="s">
        <v>57</v>
      </c>
      <c r="H3" s="125" t="s">
        <v>6</v>
      </c>
      <c r="I3" s="125" t="s">
        <v>5</v>
      </c>
      <c r="J3" s="97" t="s">
        <v>46</v>
      </c>
      <c r="K3" s="74" t="s">
        <v>47</v>
      </c>
      <c r="L3" s="74" t="s">
        <v>48</v>
      </c>
      <c r="M3" s="74" t="s">
        <v>49</v>
      </c>
      <c r="N3" s="74" t="s">
        <v>50</v>
      </c>
      <c r="O3" s="136" t="s">
        <v>62</v>
      </c>
    </row>
    <row r="4" spans="1:19" s="18" customFormat="1" x14ac:dyDescent="0.25">
      <c r="A4" s="26"/>
      <c r="B4" s="39" t="s">
        <v>61</v>
      </c>
      <c r="E4" s="19"/>
      <c r="F4" s="48"/>
      <c r="J4" s="25">
        <f>J16+J42+J61</f>
        <v>704295.5</v>
      </c>
      <c r="K4" s="43">
        <f>K16+K42+K61</f>
        <v>782931.25</v>
      </c>
      <c r="L4" s="43">
        <f>L16+L42+L61</f>
        <v>835300</v>
      </c>
      <c r="M4" s="43">
        <f>M16+M42+M61</f>
        <v>1777912.5</v>
      </c>
      <c r="N4" s="43">
        <f>N16+N42+N61</f>
        <v>3126262.5</v>
      </c>
      <c r="O4" s="137">
        <f>SUM(J4:N4)</f>
        <v>7226701.75</v>
      </c>
    </row>
    <row r="5" spans="1:19" x14ac:dyDescent="0.25">
      <c r="B5" s="33"/>
      <c r="C5" s="46"/>
      <c r="D5" s="46"/>
      <c r="E5" s="107"/>
      <c r="F5" s="7"/>
      <c r="G5" s="9"/>
      <c r="H5" s="9"/>
      <c r="I5" s="9"/>
      <c r="J5" s="21"/>
      <c r="O5" s="138"/>
    </row>
    <row r="6" spans="1:19" s="2" customFormat="1" x14ac:dyDescent="0.25">
      <c r="A6" s="27"/>
      <c r="B6" s="146" t="s">
        <v>43</v>
      </c>
      <c r="C6" s="147"/>
      <c r="D6" s="147"/>
      <c r="E6" s="148"/>
      <c r="F6" s="149"/>
      <c r="G6" s="150"/>
      <c r="H6" s="150"/>
      <c r="I6" s="150"/>
      <c r="J6" s="151">
        <f>IF($E$1="best",J12+J8,IF($E$1="ml",J13+J9,IF($E$1="worst",J14+J10)))</f>
        <v>0</v>
      </c>
      <c r="K6" s="148">
        <f>IF($E$1="best",K12+K8,IF($E$1="ml",K13+K9,IF($E$1="worst",K14+K10)))</f>
        <v>2000</v>
      </c>
      <c r="L6" s="148">
        <f>IF($E$1="best",L12+L8,IF($E$1="ml",L13+L9,IF($E$1="worst",L14+L10)))</f>
        <v>5000</v>
      </c>
      <c r="M6" s="148">
        <f>IF($E$1="best",M12+M8,IF($E$1="ml",M13+M9,IF($E$1="worst",M14+M10)))</f>
        <v>20000</v>
      </c>
      <c r="N6" s="148">
        <f>IF($E$1="best",N12+N8,IF($E$1="ml",N13+N9,IF($E$1="worst",N14+N10)))</f>
        <v>65000</v>
      </c>
      <c r="O6" s="152">
        <f>SUM(J6:N6)</f>
        <v>92000</v>
      </c>
    </row>
    <row r="7" spans="1:19" s="2" customFormat="1" x14ac:dyDescent="0.25">
      <c r="A7" s="27"/>
      <c r="B7" s="54"/>
      <c r="C7" s="79" t="s">
        <v>80</v>
      </c>
      <c r="D7" s="79"/>
      <c r="E7" s="55"/>
      <c r="F7" s="134"/>
      <c r="G7" s="72"/>
      <c r="H7" s="72"/>
      <c r="I7" s="72"/>
      <c r="J7" s="126"/>
      <c r="K7" s="56"/>
      <c r="L7" s="56"/>
      <c r="M7" s="56"/>
      <c r="N7" s="56"/>
      <c r="O7" s="144"/>
    </row>
    <row r="8" spans="1:19" x14ac:dyDescent="0.25">
      <c r="B8" s="53"/>
      <c r="C8" s="135" t="s">
        <v>57</v>
      </c>
      <c r="D8" s="113"/>
      <c r="E8" s="17"/>
      <c r="F8" s="114"/>
      <c r="G8" s="16"/>
      <c r="H8" s="16"/>
      <c r="I8" s="16"/>
      <c r="J8" s="23"/>
      <c r="K8" s="52">
        <v>3000</v>
      </c>
      <c r="L8" s="52">
        <v>7000</v>
      </c>
      <c r="M8" s="52">
        <v>13000</v>
      </c>
      <c r="N8" s="52">
        <v>20000</v>
      </c>
      <c r="O8" s="145">
        <f>SUM(J8:N8)</f>
        <v>43000</v>
      </c>
      <c r="Q8" s="49">
        <v>0.75</v>
      </c>
      <c r="R8" s="49">
        <v>1</v>
      </c>
      <c r="S8" s="49">
        <v>1.25</v>
      </c>
    </row>
    <row r="9" spans="1:19" x14ac:dyDescent="0.25">
      <c r="B9" s="53"/>
      <c r="C9" s="135" t="s">
        <v>60</v>
      </c>
      <c r="D9" s="113"/>
      <c r="E9" s="17"/>
      <c r="F9" s="114"/>
      <c r="G9" s="16"/>
      <c r="H9" s="16"/>
      <c r="I9" s="16"/>
      <c r="J9" s="23">
        <v>0</v>
      </c>
      <c r="K9" s="52">
        <v>2000</v>
      </c>
      <c r="L9" s="52">
        <v>5000</v>
      </c>
      <c r="M9" s="52">
        <v>10000</v>
      </c>
      <c r="N9" s="52">
        <v>15000</v>
      </c>
      <c r="O9" s="145">
        <f>SUM(J9:N9)</f>
        <v>32000</v>
      </c>
    </row>
    <row r="10" spans="1:19" x14ac:dyDescent="0.25">
      <c r="B10" s="53"/>
      <c r="C10" s="135" t="s">
        <v>5</v>
      </c>
      <c r="D10" s="113"/>
      <c r="E10" s="17"/>
      <c r="F10" s="114"/>
      <c r="G10" s="16"/>
      <c r="H10" s="16"/>
      <c r="I10" s="16"/>
      <c r="J10" s="23"/>
      <c r="K10" s="52">
        <v>1000</v>
      </c>
      <c r="L10" s="52">
        <v>3000</v>
      </c>
      <c r="M10" s="52">
        <v>7000</v>
      </c>
      <c r="N10" s="52">
        <v>10000</v>
      </c>
      <c r="O10" s="145">
        <f>SUM(J10:N10)</f>
        <v>21000</v>
      </c>
    </row>
    <row r="11" spans="1:19" s="2" customFormat="1" x14ac:dyDescent="0.25">
      <c r="A11" s="27"/>
      <c r="B11" s="54"/>
      <c r="C11" s="79" t="s">
        <v>81</v>
      </c>
      <c r="D11" s="79"/>
      <c r="E11" s="55"/>
      <c r="F11" s="134"/>
      <c r="G11" s="72"/>
      <c r="H11" s="72"/>
      <c r="I11" s="72"/>
      <c r="J11" s="126"/>
      <c r="K11" s="56"/>
      <c r="L11" s="56"/>
      <c r="M11" s="56"/>
      <c r="N11" s="56"/>
      <c r="O11" s="144"/>
    </row>
    <row r="12" spans="1:19" x14ac:dyDescent="0.25">
      <c r="B12" s="53"/>
      <c r="C12" s="135" t="s">
        <v>57</v>
      </c>
      <c r="D12" s="113"/>
      <c r="E12" s="17"/>
      <c r="F12" s="114"/>
      <c r="G12" s="16"/>
      <c r="H12" s="16"/>
      <c r="I12" s="16"/>
      <c r="J12" s="23"/>
      <c r="K12" s="52"/>
      <c r="L12" s="52"/>
      <c r="M12" s="52">
        <v>30000</v>
      </c>
      <c r="N12" s="52">
        <v>100000</v>
      </c>
      <c r="O12" s="145">
        <f>SUM(J12:N12)</f>
        <v>130000</v>
      </c>
    </row>
    <row r="13" spans="1:19" x14ac:dyDescent="0.25">
      <c r="B13" s="53"/>
      <c r="C13" s="135" t="s">
        <v>60</v>
      </c>
      <c r="D13" s="113"/>
      <c r="E13" s="17"/>
      <c r="F13" s="114"/>
      <c r="G13" s="16"/>
      <c r="H13" s="16"/>
      <c r="I13" s="16"/>
      <c r="J13" s="23">
        <v>0</v>
      </c>
      <c r="K13" s="52">
        <v>0</v>
      </c>
      <c r="L13" s="52">
        <v>0</v>
      </c>
      <c r="M13" s="52">
        <v>10000</v>
      </c>
      <c r="N13" s="52">
        <v>50000</v>
      </c>
      <c r="O13" s="145">
        <f>SUM(J13:N13)</f>
        <v>60000</v>
      </c>
    </row>
    <row r="14" spans="1:19" x14ac:dyDescent="0.25">
      <c r="B14" s="53"/>
      <c r="C14" s="135" t="s">
        <v>5</v>
      </c>
      <c r="D14" s="113"/>
      <c r="E14" s="17"/>
      <c r="F14" s="114"/>
      <c r="G14" s="16"/>
      <c r="H14" s="16"/>
      <c r="I14" s="16"/>
      <c r="J14" s="23"/>
      <c r="K14" s="52"/>
      <c r="L14" s="52"/>
      <c r="M14" s="52">
        <v>5000</v>
      </c>
      <c r="N14" s="52">
        <v>10000</v>
      </c>
      <c r="O14" s="145">
        <f>SUM(J14:N14)</f>
        <v>15000</v>
      </c>
    </row>
    <row r="15" spans="1:19" x14ac:dyDescent="0.25">
      <c r="B15" s="33"/>
      <c r="C15" s="46"/>
      <c r="D15" s="46"/>
      <c r="E15" s="107"/>
      <c r="F15" s="7"/>
      <c r="G15" s="9"/>
      <c r="H15" s="9"/>
      <c r="I15" s="9"/>
      <c r="J15" s="21"/>
      <c r="O15" s="138"/>
    </row>
    <row r="16" spans="1:19" s="18" customFormat="1" x14ac:dyDescent="0.25">
      <c r="A16" s="26"/>
      <c r="B16" s="39" t="s">
        <v>72</v>
      </c>
      <c r="E16" s="19"/>
      <c r="F16" s="44"/>
      <c r="G16" s="20"/>
      <c r="H16" s="20"/>
      <c r="I16" s="20"/>
      <c r="J16" s="25">
        <f>J18+J24+J28+J40+J26</f>
        <v>262958</v>
      </c>
      <c r="K16" s="43">
        <f>K18+K24+K28+K40+K26</f>
        <v>240400</v>
      </c>
      <c r="L16" s="43">
        <f>L18+L24+L28+L40+L26</f>
        <v>60000</v>
      </c>
      <c r="M16" s="43">
        <f>M18+M24+M28+M40+M26</f>
        <v>60000</v>
      </c>
      <c r="N16" s="43">
        <f>N18+N24+N28+N40+N26</f>
        <v>60000</v>
      </c>
      <c r="O16" s="137">
        <f>SUM(J16:N16)</f>
        <v>683358</v>
      </c>
    </row>
    <row r="17" spans="1:15" x14ac:dyDescent="0.25">
      <c r="B17" s="33"/>
      <c r="C17" s="46"/>
      <c r="D17" s="46"/>
      <c r="E17" s="107"/>
      <c r="F17" s="7"/>
      <c r="G17" s="9"/>
      <c r="H17" s="9"/>
      <c r="I17" s="9"/>
      <c r="J17" s="47"/>
      <c r="O17" s="138"/>
    </row>
    <row r="18" spans="1:15" s="2" customFormat="1" x14ac:dyDescent="0.25">
      <c r="A18" s="27"/>
      <c r="B18" s="34"/>
      <c r="C18" s="51" t="s">
        <v>1</v>
      </c>
      <c r="D18" s="51"/>
      <c r="E18" s="108"/>
      <c r="F18" s="109"/>
      <c r="G18" s="14"/>
      <c r="H18" s="14"/>
      <c r="I18" s="14"/>
      <c r="J18" s="22">
        <f>SUM(J19:J22)</f>
        <v>558</v>
      </c>
      <c r="K18" s="14">
        <f>SUM(K19:K22)</f>
        <v>0</v>
      </c>
      <c r="L18" s="14">
        <f>SUM(L19:L22)</f>
        <v>0</v>
      </c>
      <c r="M18" s="14">
        <f>SUM(M19:M22)</f>
        <v>0</v>
      </c>
      <c r="N18" s="14">
        <f>SUM(N19:N22)</f>
        <v>0</v>
      </c>
      <c r="O18" s="139">
        <f>SUM(J18:N18)</f>
        <v>558</v>
      </c>
    </row>
    <row r="19" spans="1:15" x14ac:dyDescent="0.25">
      <c r="B19" s="33"/>
      <c r="C19" s="46"/>
      <c r="D19" s="46" t="s">
        <v>36</v>
      </c>
      <c r="E19" s="107">
        <v>2</v>
      </c>
      <c r="F19" s="7">
        <v>150</v>
      </c>
      <c r="G19" s="9"/>
      <c r="H19" s="9"/>
      <c r="I19" s="9"/>
      <c r="J19" s="21">
        <f>F19*E19</f>
        <v>300</v>
      </c>
      <c r="O19" s="138"/>
    </row>
    <row r="20" spans="1:15" x14ac:dyDescent="0.25">
      <c r="B20" s="33"/>
      <c r="C20" s="46"/>
      <c r="D20" s="46" t="s">
        <v>44</v>
      </c>
      <c r="E20" s="107">
        <v>2</v>
      </c>
      <c r="F20" s="7">
        <v>50</v>
      </c>
      <c r="G20" s="9"/>
      <c r="H20" s="9"/>
      <c r="I20" s="9"/>
      <c r="J20" s="21">
        <f>F20*E20</f>
        <v>100</v>
      </c>
      <c r="O20" s="138"/>
    </row>
    <row r="21" spans="1:15" x14ac:dyDescent="0.25">
      <c r="B21" s="33"/>
      <c r="C21" s="46"/>
      <c r="D21" s="46" t="s">
        <v>58</v>
      </c>
      <c r="E21" s="107">
        <v>4</v>
      </c>
      <c r="F21" s="7">
        <v>2</v>
      </c>
      <c r="G21" s="9"/>
      <c r="H21" s="9"/>
      <c r="I21" s="9"/>
      <c r="J21" s="21">
        <f>F21*E21</f>
        <v>8</v>
      </c>
      <c r="O21" s="138"/>
    </row>
    <row r="22" spans="1:15" x14ac:dyDescent="0.25">
      <c r="B22" s="33"/>
      <c r="C22" s="46"/>
      <c r="D22" s="46" t="s">
        <v>41</v>
      </c>
      <c r="E22" s="107">
        <v>2</v>
      </c>
      <c r="F22" s="7">
        <v>75</v>
      </c>
      <c r="G22" s="9"/>
      <c r="H22" s="9"/>
      <c r="I22" s="9"/>
      <c r="J22" s="21">
        <f>F22*E22</f>
        <v>150</v>
      </c>
      <c r="O22" s="138"/>
    </row>
    <row r="23" spans="1:15" x14ac:dyDescent="0.25">
      <c r="B23" s="33"/>
      <c r="C23" s="46"/>
      <c r="D23" s="46"/>
      <c r="E23" s="107"/>
      <c r="F23" s="7"/>
      <c r="G23" s="9"/>
      <c r="H23" s="9"/>
      <c r="I23" s="9"/>
      <c r="J23" s="21"/>
      <c r="O23" s="138"/>
    </row>
    <row r="24" spans="1:15" s="2" customFormat="1" x14ac:dyDescent="0.25">
      <c r="A24" s="27"/>
      <c r="B24" s="34"/>
      <c r="C24" s="51" t="s">
        <v>37</v>
      </c>
      <c r="D24" s="51"/>
      <c r="E24" s="108">
        <v>1</v>
      </c>
      <c r="F24" s="109">
        <v>400</v>
      </c>
      <c r="G24" s="14"/>
      <c r="H24" s="14"/>
      <c r="I24" s="14"/>
      <c r="J24" s="22">
        <f>F24</f>
        <v>400</v>
      </c>
      <c r="K24" s="14">
        <f>F24</f>
        <v>400</v>
      </c>
      <c r="L24" s="14">
        <v>0</v>
      </c>
      <c r="M24" s="14">
        <v>0</v>
      </c>
      <c r="N24" s="14">
        <v>0</v>
      </c>
      <c r="O24" s="139">
        <f>SUM(J24:N24)</f>
        <v>800</v>
      </c>
    </row>
    <row r="25" spans="1:15" s="2" customFormat="1" x14ac:dyDescent="0.25">
      <c r="A25" s="27"/>
      <c r="B25" s="34"/>
      <c r="C25" s="51"/>
      <c r="D25" s="51"/>
      <c r="E25" s="108"/>
      <c r="F25" s="109"/>
      <c r="G25" s="14"/>
      <c r="H25" s="14"/>
      <c r="I25" s="14"/>
      <c r="J25" s="22"/>
      <c r="K25" s="14"/>
      <c r="L25" s="14"/>
      <c r="M25" s="14"/>
      <c r="N25" s="14"/>
      <c r="O25" s="139"/>
    </row>
    <row r="26" spans="1:15" s="2" customFormat="1" x14ac:dyDescent="0.25">
      <c r="A26" s="27"/>
      <c r="B26" s="34"/>
      <c r="C26" s="51" t="s">
        <v>85</v>
      </c>
      <c r="D26" s="51"/>
      <c r="E26" s="108">
        <v>2</v>
      </c>
      <c r="F26" s="109">
        <v>80000</v>
      </c>
      <c r="G26" s="14"/>
      <c r="H26" s="14"/>
      <c r="I26" s="14"/>
      <c r="J26" s="22">
        <f>F26*E26</f>
        <v>160000</v>
      </c>
      <c r="K26" s="14"/>
      <c r="L26" s="14"/>
      <c r="M26" s="14"/>
      <c r="N26" s="14"/>
      <c r="O26" s="139">
        <f>SUM(J26:N26)</f>
        <v>160000</v>
      </c>
    </row>
    <row r="27" spans="1:15" s="2" customFormat="1" x14ac:dyDescent="0.25">
      <c r="A27" s="27"/>
      <c r="B27" s="34"/>
      <c r="C27" s="51"/>
      <c r="D27" s="51"/>
      <c r="E27" s="108"/>
      <c r="F27" s="109"/>
      <c r="G27" s="14"/>
      <c r="H27" s="14"/>
      <c r="I27" s="14"/>
      <c r="J27" s="22"/>
      <c r="K27" s="14"/>
      <c r="L27" s="14"/>
      <c r="M27" s="14"/>
      <c r="N27" s="14"/>
      <c r="O27" s="139"/>
    </row>
    <row r="28" spans="1:15" s="2" customFormat="1" x14ac:dyDescent="0.25">
      <c r="A28" s="27"/>
      <c r="B28" s="34"/>
      <c r="C28" s="51" t="s">
        <v>30</v>
      </c>
      <c r="D28" s="51"/>
      <c r="E28" s="108"/>
      <c r="F28" s="109"/>
      <c r="G28" s="14"/>
      <c r="H28" s="14"/>
      <c r="I28" s="14"/>
      <c r="J28" s="22">
        <f>SUM(J29:J38)</f>
        <v>42000</v>
      </c>
      <c r="K28" s="14">
        <f>SUM(K29:K38)</f>
        <v>180000</v>
      </c>
      <c r="L28" s="14"/>
      <c r="M28" s="14"/>
      <c r="N28" s="14"/>
      <c r="O28" s="139">
        <f>SUM(J28:N28)</f>
        <v>222000</v>
      </c>
    </row>
    <row r="29" spans="1:15" x14ac:dyDescent="0.25">
      <c r="B29" s="33"/>
      <c r="C29" s="46"/>
      <c r="D29" s="46" t="s">
        <v>39</v>
      </c>
      <c r="E29" s="107"/>
      <c r="F29" s="7"/>
      <c r="G29" s="9"/>
      <c r="H29" s="9"/>
      <c r="I29" s="9"/>
      <c r="J29" s="21"/>
      <c r="O29" s="138"/>
    </row>
    <row r="30" spans="1:15" x14ac:dyDescent="0.25">
      <c r="B30" s="33"/>
      <c r="C30" s="46"/>
      <c r="D30" s="110" t="s">
        <v>31</v>
      </c>
      <c r="E30" s="107">
        <v>2</v>
      </c>
      <c r="F30" s="112">
        <v>9000</v>
      </c>
      <c r="G30" s="9"/>
      <c r="H30" s="9"/>
      <c r="I30" s="9"/>
      <c r="J30" s="21">
        <f>F30*E30</f>
        <v>18000</v>
      </c>
      <c r="O30" s="138"/>
    </row>
    <row r="31" spans="1:15" x14ac:dyDescent="0.25">
      <c r="B31" s="33"/>
      <c r="C31" s="46"/>
      <c r="D31" s="110" t="s">
        <v>32</v>
      </c>
      <c r="E31" s="107">
        <v>2</v>
      </c>
      <c r="F31" s="112">
        <v>4500</v>
      </c>
      <c r="G31" s="9"/>
      <c r="H31" s="9"/>
      <c r="I31" s="9"/>
      <c r="J31" s="21">
        <f>F31*E31</f>
        <v>9000</v>
      </c>
      <c r="O31" s="138"/>
    </row>
    <row r="32" spans="1:15" x14ac:dyDescent="0.25">
      <c r="B32" s="33"/>
      <c r="C32" s="46"/>
      <c r="D32" s="110" t="s">
        <v>33</v>
      </c>
      <c r="E32" s="107">
        <v>2</v>
      </c>
      <c r="F32" s="112">
        <v>4500</v>
      </c>
      <c r="G32" s="9"/>
      <c r="H32" s="9"/>
      <c r="I32" s="9"/>
      <c r="J32" s="21">
        <f>F32*E32</f>
        <v>9000</v>
      </c>
      <c r="O32" s="138"/>
    </row>
    <row r="33" spans="1:15" x14ac:dyDescent="0.25">
      <c r="B33" s="33"/>
      <c r="C33" s="46"/>
      <c r="D33" s="110" t="s">
        <v>34</v>
      </c>
      <c r="E33" s="107">
        <v>2</v>
      </c>
      <c r="F33" s="112">
        <v>2000</v>
      </c>
      <c r="G33" s="9"/>
      <c r="H33" s="9"/>
      <c r="I33" s="9"/>
      <c r="J33" s="21">
        <f>F33*E33</f>
        <v>4000</v>
      </c>
      <c r="O33" s="138"/>
    </row>
    <row r="34" spans="1:15" x14ac:dyDescent="0.25">
      <c r="B34" s="33"/>
      <c r="C34" s="46"/>
      <c r="D34" s="110" t="s">
        <v>35</v>
      </c>
      <c r="E34" s="107">
        <v>2</v>
      </c>
      <c r="F34" s="112">
        <v>1000</v>
      </c>
      <c r="G34" s="9"/>
      <c r="H34" s="9"/>
      <c r="I34" s="9"/>
      <c r="J34" s="21">
        <f>F34*E34</f>
        <v>2000</v>
      </c>
      <c r="O34" s="138"/>
    </row>
    <row r="35" spans="1:15" x14ac:dyDescent="0.25">
      <c r="B35" s="33"/>
      <c r="C35" s="46"/>
      <c r="D35" s="46" t="s">
        <v>38</v>
      </c>
      <c r="E35" s="107"/>
      <c r="F35" s="107"/>
      <c r="G35" s="9"/>
      <c r="H35" s="9"/>
      <c r="I35" s="9"/>
      <c r="J35" s="21"/>
      <c r="O35" s="138"/>
    </row>
    <row r="36" spans="1:15" x14ac:dyDescent="0.25">
      <c r="B36" s="40"/>
      <c r="C36" s="46"/>
      <c r="D36" s="110" t="s">
        <v>45</v>
      </c>
      <c r="E36" s="107">
        <v>2</v>
      </c>
      <c r="F36" s="112">
        <v>50000</v>
      </c>
      <c r="G36" s="9"/>
      <c r="H36" s="9"/>
      <c r="I36" s="9"/>
      <c r="J36" s="21"/>
      <c r="K36" s="9">
        <f>F36*E36</f>
        <v>100000</v>
      </c>
      <c r="O36" s="138"/>
    </row>
    <row r="37" spans="1:15" x14ac:dyDescent="0.25">
      <c r="B37" s="40"/>
      <c r="C37" s="46"/>
      <c r="D37" s="110" t="s">
        <v>32</v>
      </c>
      <c r="E37" s="107">
        <v>2</v>
      </c>
      <c r="F37" s="112">
        <v>20000</v>
      </c>
      <c r="G37" s="9"/>
      <c r="H37" s="9"/>
      <c r="I37" s="9"/>
      <c r="J37" s="21"/>
      <c r="K37" s="9">
        <f>F37*E37</f>
        <v>40000</v>
      </c>
      <c r="O37" s="138"/>
    </row>
    <row r="38" spans="1:15" x14ac:dyDescent="0.25">
      <c r="B38" s="40"/>
      <c r="C38" s="46"/>
      <c r="D38" s="110" t="s">
        <v>33</v>
      </c>
      <c r="E38" s="107">
        <v>2</v>
      </c>
      <c r="F38" s="112">
        <v>20000</v>
      </c>
      <c r="G38" s="9"/>
      <c r="H38" s="9"/>
      <c r="I38" s="9"/>
      <c r="J38" s="21"/>
      <c r="K38" s="9">
        <f>F38*E38</f>
        <v>40000</v>
      </c>
      <c r="O38" s="138"/>
    </row>
    <row r="39" spans="1:15" x14ac:dyDescent="0.25">
      <c r="B39" s="40"/>
      <c r="C39" s="9"/>
      <c r="D39" s="9"/>
      <c r="E39" s="107"/>
      <c r="F39" s="7"/>
      <c r="G39" s="9"/>
      <c r="H39" s="9"/>
      <c r="I39" s="9"/>
      <c r="J39" s="21"/>
      <c r="O39" s="138"/>
    </row>
    <row r="40" spans="1:15" s="2" customFormat="1" x14ac:dyDescent="0.25">
      <c r="A40" s="27"/>
      <c r="B40" s="41"/>
      <c r="C40" s="14" t="s">
        <v>71</v>
      </c>
      <c r="D40" s="51"/>
      <c r="E40" s="69"/>
      <c r="F40" s="109"/>
      <c r="G40" s="14">
        <v>50000</v>
      </c>
      <c r="H40" s="14">
        <v>60000</v>
      </c>
      <c r="I40" s="14">
        <v>80000</v>
      </c>
      <c r="J40" s="22">
        <f>IF($E$1="best",$G40,IF($E$1="ML",$H40,IF($E$1="worst",$I40,0)))</f>
        <v>60000</v>
      </c>
      <c r="K40" s="14">
        <f>IF($E$1="best",$G40,IF($E$1="ML",$H40,IF($E$1="worst",$I40,0)))</f>
        <v>60000</v>
      </c>
      <c r="L40" s="14">
        <f>IF($E$1="best",$G40,IF($E$1="ML",$H40,IF($E$1="worst",$I40,0)))</f>
        <v>60000</v>
      </c>
      <c r="M40" s="14">
        <f>IF($E$1="best",$G40,IF($E$1="ML",$H40,IF($E$1="worst",$I40,0)))</f>
        <v>60000</v>
      </c>
      <c r="N40" s="14">
        <f>IF($E$1="best",$G40,IF($E$1="ML",$H40,IF($E$1="worst",$I40,0)))</f>
        <v>60000</v>
      </c>
      <c r="O40" s="139">
        <f>SUM(J40:N40)</f>
        <v>300000</v>
      </c>
    </row>
    <row r="41" spans="1:15" x14ac:dyDescent="0.25">
      <c r="B41" s="40"/>
      <c r="C41" s="46"/>
      <c r="D41" s="46"/>
      <c r="E41" s="10"/>
      <c r="F41" s="7"/>
      <c r="G41" s="9"/>
      <c r="H41" s="9"/>
      <c r="I41" s="9"/>
      <c r="J41" s="21"/>
      <c r="O41" s="138"/>
    </row>
    <row r="42" spans="1:15" s="18" customFormat="1" x14ac:dyDescent="0.25">
      <c r="A42" s="26"/>
      <c r="B42" s="39" t="s">
        <v>0</v>
      </c>
      <c r="E42" s="19"/>
      <c r="F42" s="44"/>
      <c r="G42" s="20"/>
      <c r="H42" s="20"/>
      <c r="I42" s="128"/>
      <c r="J42" s="25">
        <f>J46+J55+J58</f>
        <v>0</v>
      </c>
      <c r="K42" s="43">
        <f>K46+K55+K58</f>
        <v>169500</v>
      </c>
      <c r="L42" s="43">
        <f>L46+L55+L58</f>
        <v>338750</v>
      </c>
      <c r="M42" s="43">
        <f>M46+M55+M58</f>
        <v>1035000</v>
      </c>
      <c r="N42" s="43">
        <f>N46+N55+N58</f>
        <v>2258750</v>
      </c>
      <c r="O42" s="137">
        <f>SUM(J42:N42)</f>
        <v>3802000</v>
      </c>
    </row>
    <row r="43" spans="1:15" x14ac:dyDescent="0.25">
      <c r="B43" s="40"/>
      <c r="C43" s="46"/>
      <c r="D43" s="46"/>
      <c r="E43" s="107"/>
      <c r="F43" s="7"/>
      <c r="G43" s="9"/>
      <c r="H43" s="9"/>
      <c r="I43" s="111"/>
      <c r="J43" s="21"/>
      <c r="O43" s="138"/>
    </row>
    <row r="44" spans="1:15" s="13" customFormat="1" x14ac:dyDescent="0.25">
      <c r="A44" s="67"/>
      <c r="B44" s="68"/>
      <c r="C44" s="113" t="s">
        <v>67</v>
      </c>
      <c r="D44" s="113"/>
      <c r="E44" s="17"/>
      <c r="F44" s="114"/>
      <c r="G44" s="16"/>
      <c r="H44" s="16"/>
      <c r="I44" s="129"/>
      <c r="J44" s="50"/>
      <c r="K44" s="16">
        <f>K47+K49+K51+K55/K6+K58/K6+E53</f>
        <v>84.75</v>
      </c>
      <c r="L44" s="16">
        <f>L47+L49+L51+L55/L6+L58/L6+F53</f>
        <v>66.75</v>
      </c>
      <c r="M44" s="16">
        <f>M47+M49+M51+M55/M6+M58/M6+G53</f>
        <v>50.75</v>
      </c>
      <c r="N44" s="16">
        <f>N47+N49+N51+N55/N6+N58/N6+H53</f>
        <v>33.75</v>
      </c>
      <c r="O44" s="140"/>
    </row>
    <row r="45" spans="1:15" x14ac:dyDescent="0.25">
      <c r="B45" s="40"/>
      <c r="C45" s="46"/>
      <c r="D45" s="46"/>
      <c r="E45" s="107"/>
      <c r="F45" s="7"/>
      <c r="G45" s="9"/>
      <c r="H45" s="9"/>
      <c r="I45" s="111"/>
      <c r="J45" s="21"/>
      <c r="O45" s="138"/>
    </row>
    <row r="46" spans="1:15" s="2" customFormat="1" x14ac:dyDescent="0.25">
      <c r="A46" s="27"/>
      <c r="B46" s="41"/>
      <c r="C46" s="51" t="s">
        <v>1</v>
      </c>
      <c r="D46" s="51"/>
      <c r="E46" s="108"/>
      <c r="F46" s="109"/>
      <c r="G46" s="14"/>
      <c r="H46" s="14"/>
      <c r="I46" s="85"/>
      <c r="J46" s="22">
        <f>J48+J50+J52+J53</f>
        <v>0</v>
      </c>
      <c r="K46" s="14">
        <f>K48+K50+K52+K53</f>
        <v>162000</v>
      </c>
      <c r="L46" s="14">
        <f>L48+L50+L52+L53</f>
        <v>320000</v>
      </c>
      <c r="M46" s="14">
        <f>M48+M50+M52+M53</f>
        <v>960000</v>
      </c>
      <c r="N46" s="14">
        <f>N48+N50+N52+N53</f>
        <v>2015000</v>
      </c>
      <c r="O46" s="142">
        <f>SUM(J46:N46)</f>
        <v>3457000</v>
      </c>
    </row>
    <row r="47" spans="1:15" x14ac:dyDescent="0.25">
      <c r="B47" s="40"/>
      <c r="C47" s="46"/>
      <c r="D47" s="113" t="s">
        <v>51</v>
      </c>
      <c r="E47" s="107"/>
      <c r="F47" s="7"/>
      <c r="G47" s="9"/>
      <c r="H47" s="9"/>
      <c r="I47" s="111"/>
      <c r="J47" s="21"/>
      <c r="K47" s="16">
        <v>20</v>
      </c>
      <c r="L47" s="16">
        <v>15</v>
      </c>
      <c r="M47" s="16">
        <v>10</v>
      </c>
      <c r="N47" s="16">
        <v>5</v>
      </c>
      <c r="O47" s="138"/>
    </row>
    <row r="48" spans="1:15" x14ac:dyDescent="0.25">
      <c r="B48" s="40"/>
      <c r="C48" s="46"/>
      <c r="D48" s="46" t="s">
        <v>52</v>
      </c>
      <c r="E48" s="107"/>
      <c r="F48" s="7"/>
      <c r="G48" s="9"/>
      <c r="H48" s="9"/>
      <c r="I48" s="111"/>
      <c r="J48" s="21"/>
      <c r="K48" s="9">
        <f>K47*K6</f>
        <v>40000</v>
      </c>
      <c r="L48" s="9">
        <f>L47*L6</f>
        <v>75000</v>
      </c>
      <c r="M48" s="9">
        <f>M47*M6</f>
        <v>200000</v>
      </c>
      <c r="N48" s="9">
        <f>N47*N6</f>
        <v>325000</v>
      </c>
      <c r="O48" s="142">
        <f>SUM(J48:N48)</f>
        <v>640000</v>
      </c>
    </row>
    <row r="49" spans="1:15" x14ac:dyDescent="0.25">
      <c r="B49" s="40"/>
      <c r="C49" s="46"/>
      <c r="D49" s="113" t="s">
        <v>53</v>
      </c>
      <c r="E49" s="107"/>
      <c r="F49" s="7"/>
      <c r="G49" s="9"/>
      <c r="H49" s="9"/>
      <c r="I49" s="111"/>
      <c r="J49" s="21"/>
      <c r="K49" s="16">
        <v>30</v>
      </c>
      <c r="L49" s="16">
        <v>23</v>
      </c>
      <c r="M49" s="16">
        <v>17</v>
      </c>
      <c r="N49" s="16">
        <v>10</v>
      </c>
      <c r="O49" s="138"/>
    </row>
    <row r="50" spans="1:15" x14ac:dyDescent="0.25">
      <c r="B50" s="40"/>
      <c r="C50" s="46"/>
      <c r="D50" s="46" t="s">
        <v>54</v>
      </c>
      <c r="E50" s="107"/>
      <c r="F50" s="7"/>
      <c r="G50" s="9"/>
      <c r="H50" s="9"/>
      <c r="I50" s="111"/>
      <c r="J50" s="21"/>
      <c r="K50" s="9">
        <f>K49*K6</f>
        <v>60000</v>
      </c>
      <c r="L50" s="9">
        <f>L49*L6</f>
        <v>115000</v>
      </c>
      <c r="M50" s="9">
        <f>M49*M6</f>
        <v>340000</v>
      </c>
      <c r="N50" s="9">
        <f>N49*N6</f>
        <v>650000</v>
      </c>
      <c r="O50" s="142">
        <f>SUM(J50:N50)</f>
        <v>1165000</v>
      </c>
    </row>
    <row r="51" spans="1:15" x14ac:dyDescent="0.25">
      <c r="B51" s="40"/>
      <c r="C51" s="46"/>
      <c r="D51" s="113" t="s">
        <v>55</v>
      </c>
      <c r="E51" s="107"/>
      <c r="F51" s="7"/>
      <c r="G51" s="9"/>
      <c r="H51" s="9"/>
      <c r="I51" s="111"/>
      <c r="J51" s="21"/>
      <c r="K51" s="16">
        <v>30</v>
      </c>
      <c r="L51" s="16">
        <v>25</v>
      </c>
      <c r="M51" s="16">
        <v>20</v>
      </c>
      <c r="N51" s="16">
        <v>15</v>
      </c>
      <c r="O51" s="140"/>
    </row>
    <row r="52" spans="1:15" x14ac:dyDescent="0.25">
      <c r="B52" s="40"/>
      <c r="C52" s="46"/>
      <c r="D52" s="46" t="s">
        <v>56</v>
      </c>
      <c r="E52" s="107"/>
      <c r="F52" s="7"/>
      <c r="G52" s="9"/>
      <c r="H52" s="9"/>
      <c r="I52" s="111"/>
      <c r="J52" s="21"/>
      <c r="K52" s="9">
        <f>K51*K6</f>
        <v>60000</v>
      </c>
      <c r="L52" s="9">
        <f>L51*L6</f>
        <v>125000</v>
      </c>
      <c r="M52" s="9">
        <f>M51*M6</f>
        <v>400000</v>
      </c>
      <c r="N52" s="9">
        <f>N51*N6</f>
        <v>975000</v>
      </c>
      <c r="O52" s="142">
        <f>SUM(J52:N52)</f>
        <v>1560000</v>
      </c>
    </row>
    <row r="53" spans="1:15" x14ac:dyDescent="0.25">
      <c r="B53" s="40"/>
      <c r="C53" s="46"/>
      <c r="D53" s="37" t="s">
        <v>84</v>
      </c>
      <c r="E53" s="107">
        <v>1</v>
      </c>
      <c r="F53" s="7"/>
      <c r="G53" s="9"/>
      <c r="H53" s="9"/>
      <c r="I53" s="111"/>
      <c r="J53" s="9">
        <f>$E$53*J6</f>
        <v>0</v>
      </c>
      <c r="K53" s="9">
        <f>$E$53*K6</f>
        <v>2000</v>
      </c>
      <c r="L53" s="9">
        <f>$E$53*L6</f>
        <v>5000</v>
      </c>
      <c r="M53" s="9">
        <f>$E$53*M6</f>
        <v>20000</v>
      </c>
      <c r="N53" s="9">
        <f>$E$53*N6</f>
        <v>65000</v>
      </c>
      <c r="O53" s="142">
        <f>SUM(J53:N53)</f>
        <v>92000</v>
      </c>
    </row>
    <row r="54" spans="1:15" x14ac:dyDescent="0.25">
      <c r="B54" s="40"/>
      <c r="C54" s="46"/>
      <c r="D54" s="46"/>
      <c r="E54" s="107"/>
      <c r="F54" s="7"/>
      <c r="G54" s="9"/>
      <c r="H54" s="9"/>
      <c r="I54" s="111"/>
      <c r="J54" s="21"/>
      <c r="O54" s="138"/>
    </row>
    <row r="55" spans="1:15" x14ac:dyDescent="0.25">
      <c r="B55" s="40"/>
      <c r="C55" s="51" t="s">
        <v>2</v>
      </c>
      <c r="D55" s="46"/>
      <c r="E55" s="107"/>
      <c r="F55" s="7"/>
      <c r="G55" s="9"/>
      <c r="H55" s="9"/>
      <c r="I55" s="111"/>
      <c r="J55" s="22">
        <f>J56</f>
        <v>0</v>
      </c>
      <c r="K55" s="14">
        <f>K56</f>
        <v>5000</v>
      </c>
      <c r="L55" s="14">
        <f>L56</f>
        <v>12500</v>
      </c>
      <c r="M55" s="14">
        <f>M56</f>
        <v>50000</v>
      </c>
      <c r="N55" s="14">
        <f>N56</f>
        <v>162500</v>
      </c>
      <c r="O55" s="142">
        <f>SUM(J55:N55)</f>
        <v>230000</v>
      </c>
    </row>
    <row r="56" spans="1:15" x14ac:dyDescent="0.25">
      <c r="B56" s="40"/>
      <c r="C56" s="46"/>
      <c r="D56" s="46" t="s">
        <v>40</v>
      </c>
      <c r="E56" s="10">
        <f>10/60</f>
        <v>0.16666666666666666</v>
      </c>
      <c r="F56" s="7">
        <v>15</v>
      </c>
      <c r="G56" s="10">
        <f>E56*$Q$8</f>
        <v>0.125</v>
      </c>
      <c r="H56" s="10">
        <f>$E$56*R8</f>
        <v>0.16666666666666666</v>
      </c>
      <c r="I56" s="130">
        <f>$E$56*S8</f>
        <v>0.20833333333333331</v>
      </c>
      <c r="J56" s="21">
        <f>IF($E$1="best",$F$56*$G56*J$6,IF($E$1="ml",$F$56*$H56*J6, IF($E$1="worst",$F$56*$I56*J$6)))</f>
        <v>0</v>
      </c>
      <c r="K56" s="9">
        <f>IF($E$1="best",$F$56*$G56*K$6,IF($E$1="ml",$F$56*$H56*K6, IF($E$1="worst",$F$56*$I56*K$6)))</f>
        <v>5000</v>
      </c>
      <c r="L56" s="9">
        <f>IF($E$1="best",$F$56*$G56*L$6,IF($E$1="ml",$F$56*$H56*L6, IF($E$1="worst",$F$56*$I56*L$6)))</f>
        <v>12500</v>
      </c>
      <c r="M56" s="9">
        <f>IF($E$1="best",$F$56*$G56*M$6,IF($E$1="ml",$F$56*$H56*M6, IF($E$1="worst",$F$56*$I56*M$6)))</f>
        <v>50000</v>
      </c>
      <c r="N56" s="9">
        <f>IF($E$1="best",$F$56*$G56*N$6,IF($E$1="ml",$F$56*$H56*N6, IF($E$1="worst",$F$56*$I56*N$6)))</f>
        <v>162500</v>
      </c>
      <c r="O56" s="142">
        <f>SUM(J56:N56)</f>
        <v>230000</v>
      </c>
    </row>
    <row r="57" spans="1:15" x14ac:dyDescent="0.25">
      <c r="B57" s="40"/>
      <c r="C57" s="46"/>
      <c r="D57" s="46"/>
      <c r="E57" s="46"/>
      <c r="F57" s="7"/>
      <c r="G57" s="107"/>
      <c r="H57" s="9"/>
      <c r="I57" s="111"/>
      <c r="J57" s="21"/>
      <c r="O57" s="138"/>
    </row>
    <row r="58" spans="1:15" x14ac:dyDescent="0.25">
      <c r="B58" s="40"/>
      <c r="C58" s="51" t="s">
        <v>10</v>
      </c>
      <c r="D58" s="46"/>
      <c r="E58" s="107"/>
      <c r="F58" s="7"/>
      <c r="G58" s="9"/>
      <c r="H58" s="9"/>
      <c r="I58" s="111"/>
      <c r="J58" s="22">
        <f>J59</f>
        <v>0</v>
      </c>
      <c r="K58" s="14">
        <f>K59</f>
        <v>2500</v>
      </c>
      <c r="L58" s="14">
        <f>L59</f>
        <v>6250</v>
      </c>
      <c r="M58" s="14">
        <f>M59</f>
        <v>25000</v>
      </c>
      <c r="N58" s="14">
        <f>N59</f>
        <v>81250</v>
      </c>
      <c r="O58" s="142">
        <f>SUM(J58:N58)</f>
        <v>115000</v>
      </c>
    </row>
    <row r="59" spans="1:15" x14ac:dyDescent="0.25">
      <c r="B59" s="40"/>
      <c r="C59" s="46"/>
      <c r="D59" s="46" t="s">
        <v>59</v>
      </c>
      <c r="E59" s="10">
        <f>5/60</f>
        <v>8.3333333333333329E-2</v>
      </c>
      <c r="F59" s="7">
        <v>15</v>
      </c>
      <c r="G59" s="10">
        <f>$E$59*Q8</f>
        <v>6.25E-2</v>
      </c>
      <c r="H59" s="10">
        <f>$E$59*R8</f>
        <v>8.3333333333333329E-2</v>
      </c>
      <c r="I59" s="130">
        <f>$E$59*S8</f>
        <v>0.10416666666666666</v>
      </c>
      <c r="J59" s="21">
        <f>IF($E$1="best",$F$59*$G59*J$6,IF($E$1="ml",$F$59*$H59*J6, IF($E$1="worst",$F$59*$I59*J$6)))</f>
        <v>0</v>
      </c>
      <c r="K59" s="9">
        <f>IF($E$1="best",$F$59*$G59*K$6,IF($E$1="ml",$F$59*$H59*K6, IF($E$1="worst",$F$59*$I59*K$6)))</f>
        <v>2500</v>
      </c>
      <c r="L59" s="9">
        <f>IF($E$1="best",$F$59*$G59*L$6,IF($E$1="ml",$F$59*$H59*L6, IF($E$1="worst",$F$59*$I59*L$6)))</f>
        <v>6250</v>
      </c>
      <c r="M59" s="9">
        <f>IF($E$1="best",$F$59*$G59*M$6,IF($E$1="ml",$F$59*$H59*M6, IF($E$1="worst",$F$59*$I59*M$6)))</f>
        <v>25000</v>
      </c>
      <c r="N59" s="9">
        <f>IF($E$1="best",$F$59*$G59*N$6,IF($E$1="ml",$F$59*$H59*N6, IF($E$1="worst",$F$59*$I59*N$6)))</f>
        <v>81250</v>
      </c>
      <c r="O59" s="142">
        <f>SUM(J59:N59)</f>
        <v>115000</v>
      </c>
    </row>
    <row r="60" spans="1:15" x14ac:dyDescent="0.25">
      <c r="B60" s="40"/>
      <c r="C60" s="46"/>
      <c r="D60" s="46"/>
      <c r="E60" s="107"/>
      <c r="F60" s="7"/>
      <c r="G60" s="9"/>
      <c r="H60" s="9"/>
      <c r="I60" s="111"/>
      <c r="J60" s="21"/>
      <c r="O60" s="138"/>
    </row>
    <row r="61" spans="1:15" s="18" customFormat="1" x14ac:dyDescent="0.25">
      <c r="A61" s="26"/>
      <c r="B61" s="39" t="s">
        <v>29</v>
      </c>
      <c r="E61" s="19"/>
      <c r="F61" s="44"/>
      <c r="G61" s="20"/>
      <c r="H61" s="20"/>
      <c r="I61" s="128"/>
      <c r="J61" s="25">
        <f>J63+J75+J79</f>
        <v>441337.5</v>
      </c>
      <c r="K61" s="43">
        <f>K63+K75+K79</f>
        <v>373031.25</v>
      </c>
      <c r="L61" s="43">
        <f>L63+L75+L79</f>
        <v>436550</v>
      </c>
      <c r="M61" s="43">
        <f>M63+M75+M79</f>
        <v>682912.5</v>
      </c>
      <c r="N61" s="43">
        <f>N63+N75+N79</f>
        <v>807512.5</v>
      </c>
      <c r="O61" s="137">
        <f>SUM(J61:N61)</f>
        <v>2741343.75</v>
      </c>
    </row>
    <row r="62" spans="1:15" s="26" customFormat="1" x14ac:dyDescent="0.25">
      <c r="B62" s="34"/>
      <c r="E62" s="28"/>
      <c r="F62" s="45"/>
      <c r="G62" s="29"/>
      <c r="H62" s="29"/>
      <c r="I62" s="131"/>
      <c r="J62" s="30"/>
      <c r="K62" s="31"/>
      <c r="L62" s="31"/>
      <c r="M62" s="31"/>
      <c r="N62" s="31"/>
      <c r="O62" s="138"/>
    </row>
    <row r="63" spans="1:15" s="2" customFormat="1" x14ac:dyDescent="0.25">
      <c r="A63" s="27"/>
      <c r="B63" s="41"/>
      <c r="C63" s="51" t="s">
        <v>2</v>
      </c>
      <c r="D63" s="51"/>
      <c r="E63" s="108"/>
      <c r="F63" s="109"/>
      <c r="G63" s="14"/>
      <c r="H63" s="14"/>
      <c r="I63" s="85"/>
      <c r="J63" s="22">
        <f>J65+SUM(J67:J68)+SUM(J70:J73)</f>
        <v>194375</v>
      </c>
      <c r="K63" s="14">
        <f>K65+SUM(K67:K68)+SUM(K70:K73)</f>
        <v>226562.5</v>
      </c>
      <c r="L63" s="14">
        <f>L65+SUM(L67:L68)+SUM(L70:L73)</f>
        <v>278750</v>
      </c>
      <c r="M63" s="14">
        <f>M65+SUM(M67:M68)+SUM(M70:M73)</f>
        <v>403125</v>
      </c>
      <c r="N63" s="14">
        <f>N65+SUM(N67:N68)+SUM(N70:N73)</f>
        <v>563125</v>
      </c>
      <c r="O63" s="142">
        <f>SUM(J63:N63)</f>
        <v>1665937.5</v>
      </c>
    </row>
    <row r="64" spans="1:15" s="2" customFormat="1" x14ac:dyDescent="0.25">
      <c r="A64" s="27"/>
      <c r="B64" s="41"/>
      <c r="C64" s="51"/>
      <c r="D64" s="113" t="s">
        <v>25</v>
      </c>
      <c r="E64" s="108"/>
      <c r="F64" s="109"/>
      <c r="G64" s="14"/>
      <c r="H64" s="14"/>
      <c r="I64" s="85"/>
      <c r="J64" s="23">
        <f>$E65+SUM($E67:$E68)*J66+SUM($E70:$E73)*J69</f>
        <v>2.375</v>
      </c>
      <c r="K64" s="17">
        <f>$E65+SUM($E67:$E68)*K66+SUM($E70:$E73)*K69</f>
        <v>2.8125</v>
      </c>
      <c r="L64" s="17">
        <f>$E65+SUM($E67:$E68)*L66+SUM($E70:$E73)*L69</f>
        <v>3.5</v>
      </c>
      <c r="M64" s="17">
        <f>$E65+SUM($E67:$E68)*M66+SUM($E70:$E73)*M69</f>
        <v>5.125</v>
      </c>
      <c r="N64" s="17">
        <f>$E65+SUM($E67:$E68)*N66+SUM($E70:$E73)*N69</f>
        <v>7.125</v>
      </c>
      <c r="O64" s="139"/>
    </row>
    <row r="65" spans="1:15" x14ac:dyDescent="0.25">
      <c r="B65" s="40"/>
      <c r="C65" s="46"/>
      <c r="D65" s="46" t="s">
        <v>23</v>
      </c>
      <c r="E65" s="10">
        <v>0.5</v>
      </c>
      <c r="F65" s="7">
        <v>100000</v>
      </c>
      <c r="G65" s="9">
        <f>$Q$8*F65*E65</f>
        <v>37500</v>
      </c>
      <c r="H65" s="9">
        <f>E65*F65*$R$8</f>
        <v>50000</v>
      </c>
      <c r="I65" s="111">
        <f>(E65*F65*$S$8)</f>
        <v>62500</v>
      </c>
      <c r="J65" s="21">
        <f>IF($E$1="best",$G65,IF($E$1="ML",$H65,IF($E$1="worst",$I65,0)))</f>
        <v>50000</v>
      </c>
      <c r="K65" s="9">
        <f>IF($E$1="best",$G65,IF($E$1="ML",$H65,IF($E$1="worst",$I65,0)))</f>
        <v>50000</v>
      </c>
      <c r="L65" s="9">
        <f>IF($E$1="best",$G65,IF($E$1="ML",$H65,IF($E$1="worst",$I65,0)))</f>
        <v>50000</v>
      </c>
      <c r="M65" s="9">
        <f>IF($E$1="best",$G65,IF($E$1="ML",$H65,IF($E$1="worst",$I65,0)))</f>
        <v>50000</v>
      </c>
      <c r="N65" s="9">
        <f>IF($E$1="best",$G65,IF($E$1="ML",$H65,IF($E$1="worst",$I65,0)))</f>
        <v>50000</v>
      </c>
      <c r="O65" s="142">
        <f>SUM(J65:N65)</f>
        <v>250000</v>
      </c>
    </row>
    <row r="66" spans="1:15" x14ac:dyDescent="0.25">
      <c r="B66" s="40"/>
      <c r="C66" s="46"/>
      <c r="D66" s="113" t="s">
        <v>19</v>
      </c>
      <c r="E66" s="10"/>
      <c r="F66" s="7"/>
      <c r="G66" s="9"/>
      <c r="H66" s="9"/>
      <c r="I66" s="111"/>
      <c r="J66" s="24">
        <v>1</v>
      </c>
      <c r="K66" s="11">
        <v>1</v>
      </c>
      <c r="L66" s="11">
        <v>1.25</v>
      </c>
      <c r="M66" s="11">
        <v>2</v>
      </c>
      <c r="N66" s="11">
        <v>4</v>
      </c>
      <c r="O66" s="138"/>
    </row>
    <row r="67" spans="1:15" x14ac:dyDescent="0.25">
      <c r="B67" s="40"/>
      <c r="C67" s="46"/>
      <c r="D67" s="46" t="s">
        <v>8</v>
      </c>
      <c r="E67" s="10">
        <v>0.5</v>
      </c>
      <c r="F67" s="7">
        <v>80000</v>
      </c>
      <c r="G67" s="9">
        <f>$Q$8*F67*E67</f>
        <v>30000</v>
      </c>
      <c r="H67" s="9">
        <f>E67*F67*$R$8</f>
        <v>40000</v>
      </c>
      <c r="I67" s="111">
        <f>(E67*F67*$S$8)</f>
        <v>50000</v>
      </c>
      <c r="J67" s="21">
        <f t="shared" ref="J67:N68" si="0">IF($E$1="best",$G67*J$66,IF($E$1="ML",$H67*J$66,IF($E$1="worst",$I67*J$66,0)))</f>
        <v>40000</v>
      </c>
      <c r="K67" s="9">
        <f t="shared" si="0"/>
        <v>40000</v>
      </c>
      <c r="L67" s="9">
        <f t="shared" si="0"/>
        <v>50000</v>
      </c>
      <c r="M67" s="9">
        <f t="shared" si="0"/>
        <v>80000</v>
      </c>
      <c r="N67" s="9">
        <f t="shared" si="0"/>
        <v>160000</v>
      </c>
      <c r="O67" s="142">
        <f>SUM(J67:N67)</f>
        <v>370000</v>
      </c>
    </row>
    <row r="68" spans="1:15" x14ac:dyDescent="0.25">
      <c r="B68" s="40"/>
      <c r="C68" s="46"/>
      <c r="D68" s="46" t="s">
        <v>17</v>
      </c>
      <c r="E68" s="10">
        <v>0.5</v>
      </c>
      <c r="F68" s="7">
        <v>80000</v>
      </c>
      <c r="G68" s="9">
        <f>$Q$8*F68*E68</f>
        <v>30000</v>
      </c>
      <c r="H68" s="9">
        <f>E68*F68*$R$8</f>
        <v>40000</v>
      </c>
      <c r="I68" s="111">
        <f>(E68*F68*$S$8)</f>
        <v>50000</v>
      </c>
      <c r="J68" s="21">
        <f t="shared" si="0"/>
        <v>40000</v>
      </c>
      <c r="K68" s="9">
        <f t="shared" si="0"/>
        <v>40000</v>
      </c>
      <c r="L68" s="9">
        <f t="shared" si="0"/>
        <v>50000</v>
      </c>
      <c r="M68" s="9">
        <f t="shared" si="0"/>
        <v>80000</v>
      </c>
      <c r="N68" s="9">
        <f t="shared" si="0"/>
        <v>160000</v>
      </c>
      <c r="O68" s="142">
        <f>SUM(J68:N68)</f>
        <v>370000</v>
      </c>
    </row>
    <row r="69" spans="1:15" x14ac:dyDescent="0.25">
      <c r="B69" s="40"/>
      <c r="C69" s="46"/>
      <c r="D69" s="113" t="s">
        <v>20</v>
      </c>
      <c r="E69" s="10"/>
      <c r="F69" s="7"/>
      <c r="G69" s="9"/>
      <c r="H69" s="9"/>
      <c r="I69" s="111"/>
      <c r="J69" s="24">
        <v>0.5</v>
      </c>
      <c r="K69" s="11">
        <v>0.75</v>
      </c>
      <c r="L69" s="11">
        <v>1</v>
      </c>
      <c r="M69" s="11">
        <v>1.5</v>
      </c>
      <c r="N69" s="11">
        <v>1.5</v>
      </c>
      <c r="O69" s="138"/>
    </row>
    <row r="70" spans="1:15" x14ac:dyDescent="0.25">
      <c r="B70" s="40"/>
      <c r="C70" s="46"/>
      <c r="D70" s="46" t="s">
        <v>24</v>
      </c>
      <c r="E70" s="10">
        <v>1</v>
      </c>
      <c r="F70" s="7">
        <v>80000</v>
      </c>
      <c r="G70" s="9">
        <f>$Q$8*F70*E70</f>
        <v>60000</v>
      </c>
      <c r="H70" s="9">
        <f>E70*F70*$R$8</f>
        <v>80000</v>
      </c>
      <c r="I70" s="111">
        <f>(E70*F70*$S$8)</f>
        <v>100000</v>
      </c>
      <c r="J70" s="21">
        <f t="shared" ref="J70:N73" si="1">IF($E$1="best",$G70*J$69,IF($E$1="ML",$H70*J$69,IF($E$1="worst",$I70*J$69,0)))</f>
        <v>40000</v>
      </c>
      <c r="K70" s="9">
        <f t="shared" si="1"/>
        <v>60000</v>
      </c>
      <c r="L70" s="9">
        <f t="shared" si="1"/>
        <v>80000</v>
      </c>
      <c r="M70" s="9">
        <f t="shared" si="1"/>
        <v>120000</v>
      </c>
      <c r="N70" s="9">
        <f t="shared" si="1"/>
        <v>120000</v>
      </c>
      <c r="O70" s="142">
        <f>SUM(J70:N70)</f>
        <v>420000</v>
      </c>
    </row>
    <row r="71" spans="1:15" x14ac:dyDescent="0.25">
      <c r="B71" s="40"/>
      <c r="C71" s="46"/>
      <c r="D71" s="46" t="s">
        <v>13</v>
      </c>
      <c r="E71" s="10">
        <v>0.25</v>
      </c>
      <c r="F71" s="7">
        <v>65000</v>
      </c>
      <c r="G71" s="9">
        <f>$Q$8*F71*E71</f>
        <v>12187.5</v>
      </c>
      <c r="H71" s="9">
        <f>E71*F71*$R$8</f>
        <v>16250</v>
      </c>
      <c r="I71" s="111">
        <f>(E71*F71*$S$8)</f>
        <v>20312.5</v>
      </c>
      <c r="J71" s="21">
        <f t="shared" si="1"/>
        <v>8125</v>
      </c>
      <c r="K71" s="9">
        <f t="shared" si="1"/>
        <v>12187.5</v>
      </c>
      <c r="L71" s="9">
        <f t="shared" si="1"/>
        <v>16250</v>
      </c>
      <c r="M71" s="9">
        <f t="shared" si="1"/>
        <v>24375</v>
      </c>
      <c r="N71" s="9">
        <f t="shared" si="1"/>
        <v>24375</v>
      </c>
      <c r="O71" s="142">
        <f>SUM(J71:N71)</f>
        <v>85312.5</v>
      </c>
    </row>
    <row r="72" spans="1:15" x14ac:dyDescent="0.25">
      <c r="B72" s="40"/>
      <c r="C72" s="46"/>
      <c r="D72" s="46" t="s">
        <v>14</v>
      </c>
      <c r="E72" s="10">
        <v>0.25</v>
      </c>
      <c r="F72" s="7">
        <v>50000</v>
      </c>
      <c r="G72" s="9">
        <f>$Q$8*F72*E72</f>
        <v>9375</v>
      </c>
      <c r="H72" s="9">
        <f>E72*F72*$R$8</f>
        <v>12500</v>
      </c>
      <c r="I72" s="111">
        <f>(E72*F72*$S$8)</f>
        <v>15625</v>
      </c>
      <c r="J72" s="21">
        <f t="shared" si="1"/>
        <v>6250</v>
      </c>
      <c r="K72" s="9">
        <f t="shared" si="1"/>
        <v>9375</v>
      </c>
      <c r="L72" s="9">
        <f t="shared" si="1"/>
        <v>12500</v>
      </c>
      <c r="M72" s="9">
        <f t="shared" si="1"/>
        <v>18750</v>
      </c>
      <c r="N72" s="9">
        <f t="shared" si="1"/>
        <v>18750</v>
      </c>
      <c r="O72" s="142">
        <f>SUM(J72:N72)</f>
        <v>65625</v>
      </c>
    </row>
    <row r="73" spans="1:15" x14ac:dyDescent="0.25">
      <c r="B73" s="40"/>
      <c r="C73" s="46"/>
      <c r="D73" s="46" t="s">
        <v>9</v>
      </c>
      <c r="E73" s="10">
        <v>0.25</v>
      </c>
      <c r="F73" s="7">
        <v>80000</v>
      </c>
      <c r="G73" s="9">
        <f>$Q$8*F73*E73</f>
        <v>15000</v>
      </c>
      <c r="H73" s="9">
        <f>E73*F73*$R$8</f>
        <v>20000</v>
      </c>
      <c r="I73" s="111">
        <f>(E73*F73*$S$8)</f>
        <v>25000</v>
      </c>
      <c r="J73" s="21">
        <f t="shared" si="1"/>
        <v>10000</v>
      </c>
      <c r="K73" s="9">
        <f t="shared" si="1"/>
        <v>15000</v>
      </c>
      <c r="L73" s="9">
        <f t="shared" si="1"/>
        <v>20000</v>
      </c>
      <c r="M73" s="9">
        <f t="shared" si="1"/>
        <v>30000</v>
      </c>
      <c r="N73" s="9">
        <f t="shared" si="1"/>
        <v>30000</v>
      </c>
      <c r="O73" s="142">
        <f>SUM(J73:N73)</f>
        <v>105000</v>
      </c>
    </row>
    <row r="74" spans="1:15" x14ac:dyDescent="0.25">
      <c r="B74" s="40"/>
      <c r="C74" s="46"/>
      <c r="D74" s="46"/>
      <c r="E74" s="10"/>
      <c r="F74" s="7"/>
      <c r="G74" s="9"/>
      <c r="H74" s="9"/>
      <c r="I74" s="111"/>
      <c r="J74" s="21"/>
      <c r="O74" s="138"/>
    </row>
    <row r="75" spans="1:15" s="2" customFormat="1" x14ac:dyDescent="0.25">
      <c r="A75" s="27"/>
      <c r="B75" s="41"/>
      <c r="C75" s="51" t="s">
        <v>12</v>
      </c>
      <c r="D75" s="51"/>
      <c r="E75" s="69"/>
      <c r="F75" s="109"/>
      <c r="G75" s="14"/>
      <c r="H75" s="14"/>
      <c r="I75" s="85"/>
      <c r="J75" s="22">
        <f>SUM(J76:J77)</f>
        <v>41725</v>
      </c>
      <c r="K75" s="14">
        <f>SUM(K76:K77)</f>
        <v>48687.5</v>
      </c>
      <c r="L75" s="14">
        <f>SUM(L76:L77)</f>
        <v>59950</v>
      </c>
      <c r="M75" s="14">
        <f>SUM(M76:M77)</f>
        <v>86775</v>
      </c>
      <c r="N75" s="14">
        <f>SUM(N76:N77)</f>
        <v>121175</v>
      </c>
      <c r="O75" s="142">
        <f>SUM(J75:N75)</f>
        <v>358312.5</v>
      </c>
    </row>
    <row r="76" spans="1:15" s="36" customFormat="1" x14ac:dyDescent="0.25">
      <c r="A76" s="37"/>
      <c r="B76" s="42"/>
      <c r="C76" s="84"/>
      <c r="D76" s="84" t="s">
        <v>27</v>
      </c>
      <c r="E76" s="115">
        <v>0.2</v>
      </c>
      <c r="F76" s="116"/>
      <c r="G76" s="15"/>
      <c r="H76" s="15"/>
      <c r="I76" s="132"/>
      <c r="J76" s="38">
        <f>J63*$E$76</f>
        <v>38875</v>
      </c>
      <c r="K76" s="15">
        <f>K63*$E$76</f>
        <v>45312.5</v>
      </c>
      <c r="L76" s="15">
        <f>L63*$E$76</f>
        <v>55750</v>
      </c>
      <c r="M76" s="15">
        <f>M63*$E$76</f>
        <v>80625</v>
      </c>
      <c r="N76" s="15">
        <f>N63*$E$76</f>
        <v>112625</v>
      </c>
      <c r="O76" s="142">
        <f>SUM(J76:N76)</f>
        <v>333187.5</v>
      </c>
    </row>
    <row r="77" spans="1:15" s="36" customFormat="1" x14ac:dyDescent="0.25">
      <c r="A77" s="37"/>
      <c r="B77" s="42"/>
      <c r="C77" s="84"/>
      <c r="D77" s="84" t="s">
        <v>28</v>
      </c>
      <c r="E77" s="115">
        <v>1</v>
      </c>
      <c r="F77" s="116">
        <v>1200</v>
      </c>
      <c r="G77" s="9">
        <f>$Q$8*F77*E77</f>
        <v>900</v>
      </c>
      <c r="H77" s="9">
        <f>E77*F77*$R$8</f>
        <v>1200</v>
      </c>
      <c r="I77" s="111">
        <f>(E77*F77*$S$8)</f>
        <v>1500</v>
      </c>
      <c r="J77" s="21">
        <f>IF($E$1="best",$G77*J64,IF($E$1="ML",$H77*J64,IF($E$1="worst",$I77*J64,0)))</f>
        <v>2850</v>
      </c>
      <c r="K77" s="9">
        <f>IF($E$1="best",$G77*K64,IF($E$1="ML",$H77*K64,IF($E$1="worst",$I77*K64,0)))</f>
        <v>3375</v>
      </c>
      <c r="L77" s="9">
        <f>IF($E$1="best",$G77*L64,IF($E$1="ML",$H77*L64,IF($E$1="worst",$I77*L64,0)))</f>
        <v>4200</v>
      </c>
      <c r="M77" s="9">
        <f>IF($E$1="best",$G77*M64,IF($E$1="ML",$H77*M64,IF($E$1="worst",$I77*M64,0)))</f>
        <v>6150</v>
      </c>
      <c r="N77" s="9">
        <f>IF($E$1="best",$G77*N64,IF($E$1="ML",$H77*N64,IF($E$1="worst",$I77*N64,0)))</f>
        <v>8550</v>
      </c>
      <c r="O77" s="142">
        <f>SUM(J77:N77)</f>
        <v>25125</v>
      </c>
    </row>
    <row r="78" spans="1:15" s="36" customFormat="1" x14ac:dyDescent="0.25">
      <c r="A78" s="37"/>
      <c r="B78" s="42"/>
      <c r="C78" s="84"/>
      <c r="D78" s="84"/>
      <c r="E78" s="115"/>
      <c r="F78" s="116"/>
      <c r="G78" s="15"/>
      <c r="H78" s="15"/>
      <c r="I78" s="132"/>
      <c r="J78" s="38"/>
      <c r="K78" s="15"/>
      <c r="L78" s="15"/>
      <c r="M78" s="15"/>
      <c r="N78" s="15"/>
      <c r="O78" s="141"/>
    </row>
    <row r="79" spans="1:15" s="2" customFormat="1" x14ac:dyDescent="0.25">
      <c r="A79" s="27"/>
      <c r="B79" s="41"/>
      <c r="C79" s="51" t="s">
        <v>42</v>
      </c>
      <c r="D79" s="51"/>
      <c r="E79" s="108"/>
      <c r="F79" s="109"/>
      <c r="G79" s="14"/>
      <c r="H79" s="14"/>
      <c r="I79" s="85"/>
      <c r="J79" s="22">
        <f>SUM(J80:J85)</f>
        <v>205237.5</v>
      </c>
      <c r="K79" s="14">
        <f>SUM(K80:K85)</f>
        <v>97781.25</v>
      </c>
      <c r="L79" s="14">
        <f>SUM(L80:L85)</f>
        <v>97850</v>
      </c>
      <c r="M79" s="14">
        <f>SUM(M80:M85)</f>
        <v>193012.5</v>
      </c>
      <c r="N79" s="14">
        <f>SUM(N80:N85)</f>
        <v>123212.5</v>
      </c>
      <c r="O79" s="142">
        <f>SUM(J79:N79)</f>
        <v>717093.75</v>
      </c>
    </row>
    <row r="80" spans="1:15" x14ac:dyDescent="0.25">
      <c r="B80" s="33"/>
      <c r="C80" s="46"/>
      <c r="D80" s="46" t="s">
        <v>3</v>
      </c>
      <c r="E80" s="107">
        <v>1000</v>
      </c>
      <c r="F80" s="7">
        <v>2.5</v>
      </c>
      <c r="G80" s="9">
        <f>$Q$8*F80*E80</f>
        <v>1875</v>
      </c>
      <c r="H80" s="9">
        <f>E80*F80*$R$8</f>
        <v>2500</v>
      </c>
      <c r="I80" s="111">
        <f>(E80*F80*$S$8)</f>
        <v>3125</v>
      </c>
      <c r="J80" s="21"/>
      <c r="K80" s="9">
        <f>IF($E$1="best",$G80,IF($E$1="ML",$H80,IF($E$1="worst",$I80,0)))</f>
        <v>2500</v>
      </c>
      <c r="L80" s="9">
        <f>IF($E$1="best",$G80,IF($E$1="ML",$H80,IF($E$1="worst",$I80,0)))</f>
        <v>2500</v>
      </c>
      <c r="M80" s="9">
        <f>IF($E$1="best",$G80,IF($E$1="ML",$H80,IF($E$1="worst",$I80,0)))</f>
        <v>2500</v>
      </c>
      <c r="N80" s="9">
        <f>IF($E$1="best",$G80,IF($E$1="ML",$H80,IF($E$1="worst",$I80,0)))</f>
        <v>2500</v>
      </c>
      <c r="O80" s="142">
        <f>SUM(J80:N80)</f>
        <v>10000</v>
      </c>
    </row>
    <row r="81" spans="2:15" x14ac:dyDescent="0.25">
      <c r="B81" s="33"/>
      <c r="C81" s="46"/>
      <c r="D81" s="46" t="s">
        <v>7</v>
      </c>
      <c r="E81" s="10"/>
      <c r="F81" s="45">
        <v>15000</v>
      </c>
      <c r="G81" s="9"/>
      <c r="H81" s="9"/>
      <c r="I81" s="111"/>
      <c r="J81" s="21">
        <f>F81</f>
        <v>15000</v>
      </c>
      <c r="M81" s="9" t="s">
        <v>21</v>
      </c>
      <c r="O81" s="138"/>
    </row>
    <row r="82" spans="2:15" x14ac:dyDescent="0.25">
      <c r="B82" s="40"/>
      <c r="C82" s="46"/>
      <c r="D82" s="46" t="s">
        <v>11</v>
      </c>
      <c r="E82" s="10"/>
      <c r="F82" s="7"/>
      <c r="G82" s="9"/>
      <c r="H82" s="9"/>
      <c r="I82" s="111"/>
      <c r="J82" s="21">
        <v>150000</v>
      </c>
      <c r="K82" s="9">
        <v>75000</v>
      </c>
      <c r="L82" s="9">
        <v>75000</v>
      </c>
      <c r="M82" s="9">
        <v>150000</v>
      </c>
      <c r="N82" s="9">
        <v>100000</v>
      </c>
      <c r="O82" s="142">
        <f>SUM(J82:N82)</f>
        <v>550000</v>
      </c>
    </row>
    <row r="83" spans="2:15" x14ac:dyDescent="0.25">
      <c r="B83" s="40"/>
      <c r="C83" s="46"/>
      <c r="D83" s="46" t="s">
        <v>15</v>
      </c>
      <c r="E83" s="10">
        <v>1</v>
      </c>
      <c r="F83" s="7">
        <v>100</v>
      </c>
      <c r="G83" s="9">
        <f>$Q$8*F83*E83</f>
        <v>75</v>
      </c>
      <c r="H83" s="9">
        <f>E83*F83*$R$8</f>
        <v>100</v>
      </c>
      <c r="I83" s="111">
        <f>(E83*F83*$S$8)</f>
        <v>125</v>
      </c>
      <c r="J83" s="21">
        <f>IF($E$1="best",$G83*J$64,IF($E$1="ML",$H83*J$64,IF($E$1="worst",$I83*J$64,0)))</f>
        <v>237.5</v>
      </c>
      <c r="K83" s="9">
        <f>IF($E$1="best",$G83*K$64,IF($E$1="ML",$H83*K$64,IF($E$1="worst",$I83*K$64,0)))</f>
        <v>281.25</v>
      </c>
      <c r="L83" s="9">
        <f>IF($E$1="best",$G83*L$64,IF($E$1="ML",$H83*L$64,IF($E$1="worst",$I83*L$64,0)))</f>
        <v>350</v>
      </c>
      <c r="M83" s="9">
        <f>IF($E$1="best",$G83*M$64,IF($E$1="ML",$H83*M$64,IF($E$1="worst",$I83*M$64,0)))</f>
        <v>512.5</v>
      </c>
      <c r="N83" s="9">
        <f>IF($E$1="best",$G83*N$64,IF($E$1="ML",$H83*N$64,IF($E$1="worst",$I83*N$64,0)))</f>
        <v>712.5</v>
      </c>
      <c r="O83" s="142">
        <f>SUM(J83:N83)</f>
        <v>2093.75</v>
      </c>
    </row>
    <row r="84" spans="2:15" x14ac:dyDescent="0.25">
      <c r="B84" s="40"/>
      <c r="C84" s="46"/>
      <c r="D84" s="46" t="s">
        <v>18</v>
      </c>
      <c r="E84" s="10">
        <v>1</v>
      </c>
      <c r="F84" s="7">
        <v>20000</v>
      </c>
      <c r="G84" s="9">
        <f>$Q$8*F84*E84</f>
        <v>15000</v>
      </c>
      <c r="H84" s="9">
        <f>E84*F84*$R$8</f>
        <v>20000</v>
      </c>
      <c r="I84" s="111">
        <f>(E84*F84*$S$8)</f>
        <v>25000</v>
      </c>
      <c r="J84" s="21">
        <f>IF($E$1="best",$G84,IF($E$1="ML",$H84,IF($E$1="worst",$I84,0)))</f>
        <v>20000</v>
      </c>
      <c r="K84" s="9">
        <f>IF($E$1="best",$G84,IF($E$1="ML",$H84,IF($E$1="worst",$I84,0)))</f>
        <v>20000</v>
      </c>
      <c r="L84" s="9">
        <f>IF($E$1="best",$G84,IF($E$1="ML",$H84,IF($E$1="worst",$I84,0)))</f>
        <v>20000</v>
      </c>
      <c r="M84" s="9">
        <f>IF($E$1="best",$G84,IF($E$1="ML",$H84,IF($E$1="worst",$I84,0)))</f>
        <v>20000</v>
      </c>
      <c r="N84" s="9">
        <f>IF($E$1="best",$G84,IF($E$1="ML",$H84,IF($E$1="worst",$I84,0)))</f>
        <v>20000</v>
      </c>
      <c r="O84" s="142">
        <f>SUM(J84:N84)</f>
        <v>100000</v>
      </c>
    </row>
    <row r="85" spans="2:15" x14ac:dyDescent="0.25">
      <c r="B85" s="117"/>
      <c r="C85" s="90"/>
      <c r="D85" s="90" t="s">
        <v>26</v>
      </c>
      <c r="E85" s="118"/>
      <c r="F85" s="119"/>
      <c r="G85" s="120"/>
      <c r="H85" s="120"/>
      <c r="I85" s="133"/>
      <c r="J85" s="127">
        <v>20000</v>
      </c>
      <c r="K85" s="120"/>
      <c r="L85" s="120"/>
      <c r="M85" s="120">
        <v>20000</v>
      </c>
      <c r="N85" s="120"/>
      <c r="O85" s="143">
        <f>SUM(J85:N85)</f>
        <v>40000</v>
      </c>
    </row>
    <row r="86" spans="2:15" x14ac:dyDescent="0.25">
      <c r="E86" s="5"/>
    </row>
    <row r="87" spans="2:15" x14ac:dyDescent="0.25">
      <c r="E87" s="5"/>
    </row>
  </sheetData>
  <phoneticPr fontId="0" type="noConversion"/>
  <dataValidations count="1">
    <dataValidation type="list" allowBlank="1" showInputMessage="1" showErrorMessage="1" sqref="E1">
      <formula1>$G$3:$I$3</formula1>
    </dataValidation>
  </dataValidations>
  <pageMargins left="0.75" right="0.75" top="1" bottom="1" header="0.5" footer="0.5"/>
  <pageSetup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Model based on model</vt:lpstr>
      <vt:lpstr>Cost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Elgamil</dc:creator>
  <cp:lastModifiedBy>Aniket Gupta</cp:lastModifiedBy>
  <dcterms:created xsi:type="dcterms:W3CDTF">2002-12-08T21:07:05Z</dcterms:created>
  <dcterms:modified xsi:type="dcterms:W3CDTF">2024-02-03T22:32:00Z</dcterms:modified>
</cp:coreProperties>
</file>