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929FC808-A2E7-4BCA-A918-5E381C2DDF2E}" xr6:coauthVersionLast="47" xr6:coauthVersionMax="47" xr10:uidLastSave="{00000000-0000-0000-0000-000000000000}"/>
  <bookViews>
    <workbookView xWindow="768" yWindow="768" windowWidth="17280" windowHeight="8880" activeTab="1"/>
  </bookViews>
  <sheets>
    <sheet name="Instructions" sheetId="86" r:id="rId1"/>
    <sheet name="PET Financial Worksheet" sheetId="85" r:id="rId2"/>
  </sheets>
  <definedNames>
    <definedName name="_xlnm.Print_Area" localSheetId="1">'PET Financial Worksheet'!$B$51:$K$100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85" l="1"/>
  <c r="A4" i="85"/>
  <c r="A5" i="85" s="1"/>
  <c r="A6" i="85" s="1"/>
  <c r="A7" i="85" s="1"/>
  <c r="A8" i="85" s="1"/>
  <c r="A9" i="85" s="1"/>
  <c r="A10" i="85" s="1"/>
  <c r="A11" i="85" s="1"/>
  <c r="A12" i="85" s="1"/>
  <c r="A13" i="85" s="1"/>
  <c r="A14" i="85" s="1"/>
  <c r="A15" i="85" s="1"/>
  <c r="A16" i="85" s="1"/>
  <c r="A17" i="85" s="1"/>
  <c r="A18" i="85" s="1"/>
  <c r="A19" i="85" s="1"/>
  <c r="A20" i="85" s="1"/>
  <c r="A21" i="85" s="1"/>
  <c r="A22" i="85" s="1"/>
  <c r="A23" i="85" s="1"/>
  <c r="A24" i="85" s="1"/>
  <c r="A25" i="85" s="1"/>
  <c r="A26" i="85" s="1"/>
  <c r="A27" i="85" s="1"/>
  <c r="A28" i="85" s="1"/>
  <c r="A29" i="85" s="1"/>
  <c r="A30" i="85" s="1"/>
  <c r="A31" i="85" s="1"/>
  <c r="A32" i="85" s="1"/>
  <c r="A33" i="85" s="1"/>
  <c r="A34" i="85" s="1"/>
  <c r="A35" i="85" s="1"/>
  <c r="A36" i="85" s="1"/>
  <c r="A37" i="85" s="1"/>
  <c r="A38" i="85" s="1"/>
  <c r="A39" i="85" s="1"/>
  <c r="A40" i="85" s="1"/>
  <c r="A41" i="85" s="1"/>
  <c r="A42" i="85" s="1"/>
  <c r="A43" i="85" s="1"/>
  <c r="A44" i="85" s="1"/>
  <c r="A45" i="85" s="1"/>
  <c r="A46" i="85" s="1"/>
  <c r="A47" i="85" s="1"/>
  <c r="A48" i="85" s="1"/>
  <c r="A49" i="85" s="1"/>
  <c r="A50" i="85" s="1"/>
  <c r="A51" i="85" s="1"/>
  <c r="A52" i="85" s="1"/>
  <c r="A53" i="85" s="1"/>
  <c r="A54" i="85" s="1"/>
  <c r="A55" i="85" s="1"/>
  <c r="A56" i="85" s="1"/>
  <c r="A57" i="85" s="1"/>
  <c r="A58" i="85" s="1"/>
  <c r="A59" i="85" s="1"/>
  <c r="A60" i="85" s="1"/>
  <c r="A61" i="85" s="1"/>
  <c r="A62" i="85" s="1"/>
  <c r="A63" i="85" s="1"/>
  <c r="A64" i="85" s="1"/>
  <c r="A65" i="85" s="1"/>
  <c r="A66" i="85" s="1"/>
  <c r="A67" i="85" s="1"/>
  <c r="A68" i="85" s="1"/>
  <c r="A69" i="85" s="1"/>
  <c r="A70" i="85" s="1"/>
  <c r="A71" i="85" s="1"/>
  <c r="A72" i="85" s="1"/>
  <c r="A73" i="85" s="1"/>
  <c r="A74" i="85" s="1"/>
  <c r="A75" i="85" s="1"/>
  <c r="A76" i="85" s="1"/>
  <c r="A77" i="85" s="1"/>
  <c r="A78" i="85" s="1"/>
  <c r="A79" i="85" s="1"/>
  <c r="A80" i="85" s="1"/>
  <c r="A81" i="85" s="1"/>
  <c r="A82" i="85" s="1"/>
  <c r="A83" i="85" s="1"/>
  <c r="A84" i="85" s="1"/>
  <c r="A85" i="85" s="1"/>
  <c r="A86" i="85" s="1"/>
  <c r="A87" i="85" s="1"/>
  <c r="A88" i="85" s="1"/>
  <c r="A89" i="85" s="1"/>
  <c r="A90" i="85" s="1"/>
  <c r="A91" i="85" s="1"/>
  <c r="A92" i="85" s="1"/>
  <c r="A93" i="85" s="1"/>
  <c r="A94" i="85" s="1"/>
  <c r="A95" i="85" s="1"/>
  <c r="A96" i="85" s="1"/>
  <c r="A97" i="85" s="1"/>
  <c r="A98" i="85" s="1"/>
  <c r="A99" i="85" s="1"/>
  <c r="A100" i="85" s="1"/>
  <c r="A101" i="85" s="1"/>
  <c r="A102" i="85" s="1"/>
  <c r="A103" i="85" s="1"/>
  <c r="A104" i="85" s="1"/>
  <c r="A105" i="85" s="1"/>
  <c r="A106" i="85" s="1"/>
  <c r="A107" i="85" s="1"/>
  <c r="A108" i="85" s="1"/>
  <c r="A109" i="85" s="1"/>
  <c r="A110" i="85" s="1"/>
  <c r="A111" i="85" s="1"/>
  <c r="A112" i="85" s="1"/>
  <c r="A113" i="85" s="1"/>
  <c r="A114" i="85" s="1"/>
  <c r="A115" i="85" s="1"/>
  <c r="A116" i="85" s="1"/>
  <c r="A117" i="85" s="1"/>
  <c r="A118" i="85" s="1"/>
  <c r="A119" i="85" s="1"/>
  <c r="A120" i="85" s="1"/>
  <c r="A121" i="85" s="1"/>
  <c r="A122" i="85" s="1"/>
  <c r="A123" i="85" s="1"/>
  <c r="A124" i="85" s="1"/>
  <c r="A125" i="85" s="1"/>
  <c r="A126" i="85" s="1"/>
  <c r="A127" i="85" s="1"/>
  <c r="A128" i="85" s="1"/>
  <c r="A129" i="85" s="1"/>
  <c r="A130" i="85" s="1"/>
  <c r="A131" i="85" s="1"/>
  <c r="A132" i="85" s="1"/>
  <c r="A133" i="85" s="1"/>
  <c r="A134" i="85" s="1"/>
  <c r="A135" i="85" s="1"/>
  <c r="A136" i="85" s="1"/>
  <c r="A137" i="85" s="1"/>
  <c r="A138" i="85" s="1"/>
  <c r="A139" i="85" s="1"/>
  <c r="A140" i="85" s="1"/>
  <c r="A141" i="85" s="1"/>
  <c r="A142" i="85" s="1"/>
  <c r="A143" i="85" s="1"/>
  <c r="A144" i="85" s="1"/>
  <c r="A145" i="85" s="1"/>
  <c r="A146" i="85" s="1"/>
  <c r="A147" i="85" s="1"/>
  <c r="A148" i="85" s="1"/>
  <c r="A149" i="85" s="1"/>
  <c r="A150" i="85" s="1"/>
  <c r="A151" i="85" s="1"/>
  <c r="A152" i="85" s="1"/>
  <c r="A153" i="85" s="1"/>
  <c r="A154" i="85" s="1"/>
  <c r="A155" i="85" s="1"/>
  <c r="A156" i="85" s="1"/>
  <c r="A157" i="85" s="1"/>
  <c r="A158" i="85" s="1"/>
  <c r="A159" i="85" s="1"/>
  <c r="A160" i="85" s="1"/>
  <c r="A161" i="85" s="1"/>
  <c r="A162" i="85" s="1"/>
  <c r="A163" i="85" s="1"/>
  <c r="A164" i="85" s="1"/>
  <c r="A165" i="85" s="1"/>
  <c r="A166" i="85" s="1"/>
  <c r="A167" i="85" s="1"/>
  <c r="A168" i="85" s="1"/>
  <c r="A169" i="85" s="1"/>
  <c r="A170" i="85" s="1"/>
  <c r="A171" i="85" s="1"/>
  <c r="A172" i="85" s="1"/>
  <c r="A173" i="85" s="1"/>
  <c r="A174" i="85" s="1"/>
  <c r="A175" i="85" s="1"/>
  <c r="A176" i="85" s="1"/>
  <c r="A177" i="85" s="1"/>
  <c r="A178" i="85" s="1"/>
  <c r="A179" i="85" s="1"/>
  <c r="E10" i="85"/>
  <c r="E17" i="85"/>
  <c r="D19" i="85"/>
  <c r="D20" i="85"/>
  <c r="C28" i="85"/>
  <c r="D28" i="85"/>
  <c r="H119" i="85" s="1"/>
  <c r="E28" i="85"/>
  <c r="F28" i="85"/>
  <c r="G28" i="85"/>
  <c r="H28" i="85"/>
  <c r="I28" i="85"/>
  <c r="M119" i="85" s="1"/>
  <c r="C29" i="85"/>
  <c r="D29" i="85"/>
  <c r="E29" i="85"/>
  <c r="F29" i="85"/>
  <c r="G29" i="85"/>
  <c r="H29" i="85"/>
  <c r="I29" i="85"/>
  <c r="C30" i="85"/>
  <c r="D30" i="85"/>
  <c r="H122" i="85" s="1"/>
  <c r="E30" i="85"/>
  <c r="F30" i="85"/>
  <c r="G30" i="85"/>
  <c r="H30" i="85"/>
  <c r="I30" i="85"/>
  <c r="M122" i="85" s="1"/>
  <c r="E41" i="85"/>
  <c r="H124" i="85" s="1"/>
  <c r="D58" i="85"/>
  <c r="E58" i="85" s="1"/>
  <c r="G108" i="85"/>
  <c r="G129" i="85" s="1"/>
  <c r="G133" i="85" s="1"/>
  <c r="G109" i="85"/>
  <c r="G110" i="85"/>
  <c r="H110" i="85"/>
  <c r="I110" i="85"/>
  <c r="J110" i="85"/>
  <c r="K110" i="85"/>
  <c r="L110" i="85"/>
  <c r="M110" i="85"/>
  <c r="G112" i="85"/>
  <c r="G113" i="85"/>
  <c r="G114" i="85"/>
  <c r="G151" i="85" s="1"/>
  <c r="G119" i="85"/>
  <c r="I119" i="85"/>
  <c r="J119" i="85"/>
  <c r="K119" i="85"/>
  <c r="L119" i="85"/>
  <c r="H120" i="85"/>
  <c r="I120" i="85" s="1"/>
  <c r="J120" i="85" s="1"/>
  <c r="G122" i="85"/>
  <c r="I122" i="85"/>
  <c r="J122" i="85"/>
  <c r="K122" i="85"/>
  <c r="L122" i="85"/>
  <c r="G123" i="85"/>
  <c r="H123" i="85"/>
  <c r="I123" i="85"/>
  <c r="J123" i="85"/>
  <c r="K123" i="85"/>
  <c r="L123" i="85"/>
  <c r="M123" i="85"/>
  <c r="G124" i="85"/>
  <c r="I124" i="85"/>
  <c r="J124" i="85"/>
  <c r="K124" i="85"/>
  <c r="L124" i="85"/>
  <c r="M124" i="85"/>
  <c r="F126" i="85"/>
  <c r="G127" i="85"/>
  <c r="G130" i="85"/>
  <c r="H130" i="85"/>
  <c r="I130" i="85"/>
  <c r="J130" i="85"/>
  <c r="K130" i="85"/>
  <c r="L130" i="85"/>
  <c r="M130" i="85"/>
  <c r="G131" i="85"/>
  <c r="H131" i="85"/>
  <c r="I131" i="85"/>
  <c r="J131" i="85"/>
  <c r="K131" i="85"/>
  <c r="L131" i="85"/>
  <c r="M131" i="85"/>
  <c r="G132" i="85"/>
  <c r="H132" i="85"/>
  <c r="I132" i="85"/>
  <c r="J132" i="85"/>
  <c r="K132" i="85"/>
  <c r="L132" i="85"/>
  <c r="M132" i="85"/>
  <c r="G134" i="85"/>
  <c r="L134" i="85" s="1"/>
  <c r="H134" i="85"/>
  <c r="I134" i="85"/>
  <c r="J134" i="85"/>
  <c r="K134" i="85"/>
  <c r="M134" i="85"/>
  <c r="F135" i="85"/>
  <c r="G135" i="85"/>
  <c r="H135" i="85"/>
  <c r="I135" i="85"/>
  <c r="J135" i="85"/>
  <c r="K135" i="85"/>
  <c r="L135" i="85"/>
  <c r="M135" i="85"/>
  <c r="F136" i="85"/>
  <c r="F144" i="85" s="1"/>
  <c r="G136" i="85"/>
  <c r="H136" i="85"/>
  <c r="I136" i="85"/>
  <c r="J136" i="85"/>
  <c r="K136" i="85"/>
  <c r="L136" i="85"/>
  <c r="M136" i="85"/>
  <c r="F137" i="85"/>
  <c r="G137" i="85"/>
  <c r="H137" i="85"/>
  <c r="I137" i="85"/>
  <c r="J137" i="85"/>
  <c r="K137" i="85"/>
  <c r="L137" i="85"/>
  <c r="M137" i="85"/>
  <c r="G138" i="85"/>
  <c r="H138" i="85"/>
  <c r="I138" i="85"/>
  <c r="J138" i="85"/>
  <c r="K138" i="85"/>
  <c r="L138" i="85"/>
  <c r="M138" i="85"/>
  <c r="F139" i="85"/>
  <c r="G139" i="85"/>
  <c r="H139" i="85" s="1"/>
  <c r="I139" i="85" s="1"/>
  <c r="J139" i="85" s="1"/>
  <c r="K139" i="85" s="1"/>
  <c r="L139" i="85" s="1"/>
  <c r="M139" i="85" s="1"/>
  <c r="G140" i="85"/>
  <c r="H140" i="85"/>
  <c r="I140" i="85"/>
  <c r="J140" i="85"/>
  <c r="K140" i="85"/>
  <c r="L140" i="85"/>
  <c r="M140" i="85"/>
  <c r="F141" i="85"/>
  <c r="G143" i="85"/>
  <c r="H143" i="85"/>
  <c r="I143" i="85"/>
  <c r="J143" i="85"/>
  <c r="K143" i="85"/>
  <c r="G149" i="85"/>
  <c r="G150" i="85"/>
  <c r="F172" i="85"/>
  <c r="K120" i="85" l="1"/>
  <c r="F58" i="85"/>
  <c r="H108" i="85"/>
  <c r="F171" i="85"/>
  <c r="F173" i="85" s="1"/>
  <c r="F154" i="85"/>
  <c r="F157" i="85" s="1"/>
  <c r="G144" i="85"/>
  <c r="G171" i="85" s="1"/>
  <c r="G147" i="85"/>
  <c r="G152" i="85" s="1"/>
  <c r="H127" i="85"/>
  <c r="I127" i="85" s="1"/>
  <c r="J127" i="85" s="1"/>
  <c r="K127" i="85" s="1"/>
  <c r="L127" i="85" s="1"/>
  <c r="M127" i="85" s="1"/>
  <c r="H147" i="85" l="1"/>
  <c r="H109" i="85"/>
  <c r="H129" i="85"/>
  <c r="G154" i="85"/>
  <c r="G157" i="85" s="1"/>
  <c r="G158" i="85" s="1"/>
  <c r="G172" i="85"/>
  <c r="G173" i="85" s="1"/>
  <c r="G177" i="85" s="1"/>
  <c r="G176" i="85"/>
  <c r="G58" i="85"/>
  <c r="I108" i="85"/>
  <c r="G175" i="85"/>
  <c r="F158" i="85"/>
  <c r="L120" i="85"/>
  <c r="H133" i="85" l="1"/>
  <c r="H144" i="85"/>
  <c r="H171" i="85" s="1"/>
  <c r="H58" i="85"/>
  <c r="J108" i="85"/>
  <c r="M120" i="85"/>
  <c r="H149" i="85"/>
  <c r="H112" i="85"/>
  <c r="I129" i="85"/>
  <c r="I147" i="85"/>
  <c r="I109" i="85"/>
  <c r="I149" i="85" l="1"/>
  <c r="I112" i="85"/>
  <c r="I133" i="85"/>
  <c r="I144" i="85"/>
  <c r="I171" i="85" s="1"/>
  <c r="J129" i="85"/>
  <c r="J147" i="85"/>
  <c r="J109" i="85"/>
  <c r="K108" i="85"/>
  <c r="I58" i="85"/>
  <c r="H113" i="85"/>
  <c r="H114" i="85"/>
  <c r="H175" i="85"/>
  <c r="I175" i="85" l="1"/>
  <c r="J133" i="85"/>
  <c r="J144" i="85"/>
  <c r="J171" i="85" s="1"/>
  <c r="H150" i="85"/>
  <c r="H151" i="85"/>
  <c r="J58" i="85"/>
  <c r="L108" i="85"/>
  <c r="I113" i="85"/>
  <c r="I114" i="85" s="1"/>
  <c r="K109" i="85"/>
  <c r="K129" i="85"/>
  <c r="K147" i="85"/>
  <c r="J112" i="85"/>
  <c r="J149" i="85"/>
  <c r="J113" i="85" l="1"/>
  <c r="K133" i="85"/>
  <c r="K144" i="85"/>
  <c r="K171" i="85" s="1"/>
  <c r="H152" i="85"/>
  <c r="K112" i="85"/>
  <c r="K149" i="85"/>
  <c r="J175" i="85"/>
  <c r="I150" i="85"/>
  <c r="I151" i="85"/>
  <c r="J114" i="85"/>
  <c r="L109" i="85"/>
  <c r="L129" i="85"/>
  <c r="L147" i="85"/>
  <c r="M108" i="85"/>
  <c r="K58" i="85"/>
  <c r="J150" i="85" l="1"/>
  <c r="J151" i="85"/>
  <c r="L133" i="85"/>
  <c r="L144" i="85"/>
  <c r="L171" i="85" s="1"/>
  <c r="L112" i="85"/>
  <c r="L149" i="85"/>
  <c r="K113" i="85"/>
  <c r="H154" i="85"/>
  <c r="H157" i="85" s="1"/>
  <c r="H176" i="85"/>
  <c r="H172" i="85"/>
  <c r="H173" i="85" s="1"/>
  <c r="H177" i="85" s="1"/>
  <c r="K175" i="85"/>
  <c r="I152" i="85"/>
  <c r="M109" i="85"/>
  <c r="M147" i="85"/>
  <c r="M129" i="85"/>
  <c r="K114" i="85"/>
  <c r="I176" i="85" l="1"/>
  <c r="I154" i="85"/>
  <c r="I157" i="85" s="1"/>
  <c r="I172" i="85"/>
  <c r="I173" i="85" s="1"/>
  <c r="I177" i="85" s="1"/>
  <c r="L113" i="85"/>
  <c r="L114" i="85" s="1"/>
  <c r="L175" i="85"/>
  <c r="K151" i="85"/>
  <c r="K150" i="85"/>
  <c r="K152" i="85" s="1"/>
  <c r="M133" i="85"/>
  <c r="M144" i="85"/>
  <c r="M171" i="85" s="1"/>
  <c r="H158" i="85"/>
  <c r="I158" i="85"/>
  <c r="J152" i="85"/>
  <c r="M149" i="85"/>
  <c r="M112" i="85"/>
  <c r="L150" i="85" l="1"/>
  <c r="L151" i="85"/>
  <c r="M175" i="85"/>
  <c r="J176" i="85"/>
  <c r="J154" i="85"/>
  <c r="J157" i="85" s="1"/>
  <c r="J172" i="85"/>
  <c r="J173" i="85" s="1"/>
  <c r="J177" i="85" s="1"/>
  <c r="M113" i="85"/>
  <c r="M114" i="85" s="1"/>
  <c r="N114" i="85"/>
  <c r="K154" i="85"/>
  <c r="K157" i="85" s="1"/>
  <c r="K172" i="85"/>
  <c r="K173" i="85" s="1"/>
  <c r="K177" i="85" s="1"/>
  <c r="K176" i="85"/>
  <c r="K158" i="85" l="1"/>
  <c r="J158" i="85"/>
  <c r="N151" i="85"/>
  <c r="N150" i="85"/>
  <c r="N152" i="85" s="1"/>
  <c r="N154" i="85" s="1"/>
  <c r="N157" i="85" s="1"/>
  <c r="M150" i="85"/>
  <c r="M151" i="85"/>
  <c r="L152" i="85"/>
  <c r="L154" i="85" l="1"/>
  <c r="L157" i="85" s="1"/>
  <c r="L172" i="85"/>
  <c r="L173" i="85" s="1"/>
  <c r="L177" i="85" s="1"/>
  <c r="L176" i="85"/>
  <c r="M152" i="85"/>
  <c r="M154" i="85" l="1"/>
  <c r="M157" i="85" s="1"/>
  <c r="M172" i="85"/>
  <c r="M173" i="85" s="1"/>
  <c r="M177" i="85" s="1"/>
  <c r="M176" i="85"/>
  <c r="F164" i="85"/>
  <c r="N158" i="85"/>
  <c r="M158" i="85"/>
  <c r="L158" i="85"/>
  <c r="F165" i="85"/>
  <c r="F163" i="85"/>
</calcChain>
</file>

<file path=xl/sharedStrings.xml><?xml version="1.0" encoding="utf-8"?>
<sst xmlns="http://schemas.openxmlformats.org/spreadsheetml/2006/main" count="206" uniqueCount="165">
  <si>
    <t>Maintenance Cost Per Year ($)</t>
  </si>
  <si>
    <t>REVENUE ANALYSIS</t>
  </si>
  <si>
    <t>Year 1</t>
  </si>
  <si>
    <t>Year 2</t>
  </si>
  <si>
    <t>Year 3</t>
  </si>
  <si>
    <t>Year 5</t>
  </si>
  <si>
    <t>EXPENSE ANALYSIS</t>
  </si>
  <si>
    <t>Total Operating Costs ($)</t>
  </si>
  <si>
    <t xml:space="preserve"> </t>
  </si>
  <si>
    <t>Patient Volume Per MONTH (#)</t>
  </si>
  <si>
    <t>Tech - FT</t>
  </si>
  <si>
    <t>% FTE</t>
  </si>
  <si>
    <t>Mgmt</t>
  </si>
  <si>
    <t>Marketing</t>
  </si>
  <si>
    <t>Salary Inflation</t>
  </si>
  <si>
    <t>Legal &amp; Accounting</t>
  </si>
  <si>
    <t>Legal &amp; Accounting - Annual</t>
  </si>
  <si>
    <t>Years 2-4</t>
  </si>
  <si>
    <t>Work Days Per Year (#)</t>
  </si>
  <si>
    <t>Bad Debt % of Charge</t>
  </si>
  <si>
    <t>Year</t>
  </si>
  <si>
    <t>Year 4</t>
  </si>
  <si>
    <t>Volume per Month - Year One</t>
  </si>
  <si>
    <t>Salvage Value</t>
  </si>
  <si>
    <t>Price Per Study</t>
  </si>
  <si>
    <t>Aide - FT</t>
  </si>
  <si>
    <t>Benefits ($)</t>
  </si>
  <si>
    <t>Management ($)</t>
  </si>
  <si>
    <t>NPV ($)</t>
  </si>
  <si>
    <t>FINANCIAL ANALYSIS</t>
  </si>
  <si>
    <t>VARIABLES</t>
  </si>
  <si>
    <t>IRR ($)</t>
  </si>
  <si>
    <t>NPV &amp; IRR ANALYSIS - PROJECT LIFE</t>
  </si>
  <si>
    <t>Hot Lab Costs ($)</t>
  </si>
  <si>
    <t>Physicist</t>
  </si>
  <si>
    <t>Yearly</t>
  </si>
  <si>
    <t>Physicist ($)</t>
  </si>
  <si>
    <t>Per YEAR (#)</t>
  </si>
  <si>
    <t>Tax Rate</t>
  </si>
  <si>
    <t>Year 6</t>
  </si>
  <si>
    <t>Fixed Costs</t>
  </si>
  <si>
    <t>Variable Costs</t>
  </si>
  <si>
    <t>Total Fixed costs</t>
  </si>
  <si>
    <t>Total Variable Costs</t>
  </si>
  <si>
    <t>Equipment Dep Schedule (Years)</t>
  </si>
  <si>
    <t>Benefits Percentage (% of salary)</t>
  </si>
  <si>
    <t>REVENUES/EXPENSES</t>
  </si>
  <si>
    <t>Total Fixed Costs</t>
  </si>
  <si>
    <t>Salaries</t>
  </si>
  <si>
    <t>Year 7</t>
  </si>
  <si>
    <t>Billing Costs ($)</t>
  </si>
  <si>
    <t>Marketing &amp; Marketing Startup</t>
  </si>
  <si>
    <t>Licensure</t>
  </si>
  <si>
    <t>FDG Costs Per Exam ($)</t>
  </si>
  <si>
    <t xml:space="preserve">Year </t>
  </si>
  <si>
    <t>Lease Term</t>
  </si>
  <si>
    <t>FMV Estimate</t>
  </si>
  <si>
    <t>Financing Rate</t>
  </si>
  <si>
    <t>Equipment Payments</t>
  </si>
  <si>
    <t>Annual Lease Payments</t>
  </si>
  <si>
    <t>Annual Financing Payments</t>
  </si>
  <si>
    <t>Buildout Financing Rate</t>
  </si>
  <si>
    <t>Cost of Capital (NPV &amp; IRR)</t>
  </si>
  <si>
    <t>Annual Buildout Payments</t>
  </si>
  <si>
    <t>Scanner Salvage Value ($)</t>
  </si>
  <si>
    <t>Utilities &amp; Phone Costs per Year</t>
  </si>
  <si>
    <t>Utilities and Phone Costs</t>
  </si>
  <si>
    <t>Financing Warning</t>
  </si>
  <si>
    <t>Space Lease Costs</t>
  </si>
  <si>
    <t>Equipment Service Contract</t>
  </si>
  <si>
    <t>Expected Reimbursement Per Exam</t>
  </si>
  <si>
    <t>Radiologist Reading Fee (if facility bills globally)</t>
  </si>
  <si>
    <t>Depreciation Tax Cash Flow Benefit (straight-line depreciation)</t>
  </si>
  <si>
    <t>Equipment Annual Lease Payments</t>
  </si>
  <si>
    <t>Hot Lab &amp;  Rad Protection Supply Costs</t>
  </si>
  <si>
    <t>Bank Loan Amount</t>
  </si>
  <si>
    <t>FMV Buyout if Leased</t>
  </si>
  <si>
    <t>Accumulated Cash Flows</t>
  </si>
  <si>
    <t>Misc Supplies Per Exam</t>
  </si>
  <si>
    <t>FDG Cost</t>
  </si>
  <si>
    <t>Misc Supplies</t>
  </si>
  <si>
    <t>Radiologist Fee Per Exam (% of Global)</t>
  </si>
  <si>
    <t>L</t>
  </si>
  <si>
    <t>Receptionist</t>
  </si>
  <si>
    <t>Marketing Rep</t>
  </si>
  <si>
    <t>Salaries - Technologist</t>
  </si>
  <si>
    <t>Salaries - Receptionist</t>
  </si>
  <si>
    <t>Salaries - Marketing</t>
  </si>
  <si>
    <t>Salaries - Aide</t>
  </si>
  <si>
    <t>Registration/Billing System Cost per Year</t>
  </si>
  <si>
    <t>Estimated Registration/Billing System Cost/Year (inc. maint)</t>
  </si>
  <si>
    <t>Buildout Loan Term (Years)</t>
  </si>
  <si>
    <t>Projected Volumes</t>
  </si>
  <si>
    <t>Maintenance Cost Inflation Rate</t>
  </si>
  <si>
    <t>Malpractice &amp; General Business Insurance</t>
  </si>
  <si>
    <t>Equipment Price</t>
  </si>
  <si>
    <t>If Lease has a $1 buyout, use Section above for values and enter a "P" not an "L"</t>
  </si>
  <si>
    <t>Enter Equipment price whether you Lease or Purchase</t>
  </si>
  <si>
    <t>Etner financing rate if a loan or $1 buyout lease</t>
  </si>
  <si>
    <t>Price you might get from a reseller at end of the project's life</t>
  </si>
  <si>
    <t>Cost Inflation Per Year</t>
  </si>
  <si>
    <t>(use only if facility bills globally, otherwise $0)</t>
  </si>
  <si>
    <t>NET PRESENT VALUE &amp; IRR ANALYSIS OF CASH FLOWS</t>
  </si>
  <si>
    <t>Facility Build/Remodel Cost (if not in space lease)</t>
  </si>
  <si>
    <t>Total Costs</t>
  </si>
  <si>
    <t>Fixed Costs per Procedure</t>
  </si>
  <si>
    <t>Variable Costs per Procedure</t>
  </si>
  <si>
    <t>Total Costs per Procedure</t>
  </si>
  <si>
    <t>Are you Purchasing or Leasing ?</t>
  </si>
  <si>
    <t>Enter Cost to build or remodel</t>
  </si>
  <si>
    <t>Clerical supplies, syringes, film file jackets and inserts, pencils, etc.</t>
  </si>
  <si>
    <t>Enter estimate of your bad debt</t>
  </si>
  <si>
    <t>Personnel Salary Costs Per Year</t>
  </si>
  <si>
    <t>Technologist Staffing by Volume</t>
  </si>
  <si>
    <t># of staff</t>
  </si>
  <si>
    <t>Annual Salary</t>
  </si>
  <si>
    <t>Building Loan Payments</t>
  </si>
  <si>
    <t>Net Revenue (after accounting for 90 day insurance delay)</t>
  </si>
  <si>
    <t>Revenue</t>
  </si>
  <si>
    <t>Bad Debt</t>
  </si>
  <si>
    <t>Used only if FMV buyout, if not leased, spreadsheet ignores this cell</t>
  </si>
  <si>
    <t>Enter maintenance cost - used in years 2-7, increased by inflation rate in next cell each year</t>
  </si>
  <si>
    <t>Misc Capital Expenses *   (see below)</t>
  </si>
  <si>
    <t>Misc. Capital Expenses Paid Up Front with Investor Cash</t>
  </si>
  <si>
    <t>Loan Term</t>
  </si>
  <si>
    <t>Equipment Financing - Lease</t>
  </si>
  <si>
    <t>Billing Cost (% of collections)</t>
  </si>
  <si>
    <t>Enter a   P   or an   L  (If a Purchase, enter $0 value for lease payment below)</t>
  </si>
  <si>
    <t>* Miscellaneous Capital Expenses:  All expenses not applicable to another category which is paid using up-front investment dollars and which</t>
  </si>
  <si>
    <t xml:space="preserve">system, whose costs would then be added to any previous expenditures in this category.  </t>
  </si>
  <si>
    <t>Volume Growth Rate</t>
  </si>
  <si>
    <t>Equipment Financing - Purchase</t>
  </si>
  <si>
    <t>Downpayment</t>
  </si>
  <si>
    <t>Enter downpayment amount, if any</t>
  </si>
  <si>
    <t>Automatically calculates based upon equipment price and downpayment</t>
  </si>
  <si>
    <t>Insurance Cost (Malpractice and General Business)</t>
  </si>
  <si>
    <t>Enter % paid to billing company, if any</t>
  </si>
  <si>
    <t>Avg. # of Pts</t>
  </si>
  <si>
    <t>VARIABLES CONT'D</t>
  </si>
  <si>
    <t>PET MODELING TOOL</t>
  </si>
  <si>
    <t>Pre-startup</t>
  </si>
  <si>
    <t>Space Cost Per Month (Rent or Lease)</t>
  </si>
  <si>
    <t>Vol per</t>
  </si>
  <si>
    <t>Mo</t>
  </si>
  <si>
    <t>0 to</t>
  </si>
  <si>
    <t>60 to</t>
  </si>
  <si>
    <t>120 to</t>
  </si>
  <si>
    <t>=&gt;</t>
  </si>
  <si>
    <t>Line #</t>
  </si>
  <si>
    <t>Etner length of loan in years</t>
  </si>
  <si>
    <t>Enter 0 if you entered a "P" in line 6 above</t>
  </si>
  <si>
    <t>We pay a flat mgmnt fee.  If you pay a manager, you must include sum of</t>
  </si>
  <si>
    <t>of both salaries &amp; benefits for management on line 70</t>
  </si>
  <si>
    <t># of tech staff calculated by % FTE calcs on lines</t>
  </si>
  <si>
    <t xml:space="preserve">80 - 83.  </t>
  </si>
  <si>
    <t>is not reflected in a  in a loan, lease, or other variable (ie., you may put down $20,000 cash on the building remodel thus</t>
  </si>
  <si>
    <t>financing less.  In this case, enter $20,000.  You may also use cash to buy other assets, ie., a phone or patient registration</t>
  </si>
  <si>
    <t>Enter the appropriate values in the Yellow Shaded cells</t>
  </si>
  <si>
    <t>The Spreadsheet will populate itself and provide the results at the bottom.</t>
  </si>
  <si>
    <t xml:space="preserve">The "PET Financial Worksheet" is protected.  </t>
  </si>
  <si>
    <t>The only cells you can alter are the Variable Cells indicated by Yellow Shading.</t>
  </si>
  <si>
    <t>Inflation rate for maintenance contract</t>
  </si>
  <si>
    <t>Get from accountant - probably want 5 years - this is ignored if unit is leased</t>
  </si>
  <si>
    <t>Enter approximate Space Rent/ Lease costs above</t>
  </si>
  <si>
    <t>Enter initial monthly Volume estimate to the left &amp; expected Volume Growth rates below to calculate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</si>
</sst>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165" formatCode="0.0"/>
    <numFmt numFmtId="170" formatCode="0.0%"/>
    <numFmt numFmtId="180" formatCode="&quot;$&quot;#,##0.000_);[Red]\(&quot;$&quot;#,##0.000\)"/>
  </numFmts>
  <fonts count="15" x14ac:knownFonts="1">
    <font>
      <sz val="10"/>
      <name val="Helv"/>
    </font>
    <font>
      <b/>
      <sz val="10"/>
      <name val="Helv"/>
    </font>
    <font>
      <sz val="10"/>
      <name val="MS Sans Serif"/>
    </font>
    <font>
      <sz val="10"/>
      <name val="Helv"/>
    </font>
    <font>
      <sz val="8"/>
      <name val="Helv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2"/>
      <name val="Helv"/>
    </font>
    <font>
      <b/>
      <sz val="14"/>
      <name val="Arial"/>
      <family val="2"/>
    </font>
    <font>
      <b/>
      <sz val="12"/>
      <color indexed="9"/>
      <name val="Helv"/>
    </font>
    <font>
      <b/>
      <sz val="14"/>
      <color indexed="9"/>
      <name val="Helv"/>
    </font>
    <font>
      <sz val="14"/>
      <color indexed="9"/>
      <name val="Helv"/>
    </font>
    <font>
      <b/>
      <sz val="14"/>
      <name val="Helv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9">
    <xf numFmtId="0" fontId="0" fillId="0" borderId="0" xfId="0"/>
    <xf numFmtId="0" fontId="1" fillId="0" borderId="0" xfId="0" applyFont="1"/>
    <xf numFmtId="8" fontId="0" fillId="0" borderId="0" xfId="0" applyNumberFormat="1"/>
    <xf numFmtId="0" fontId="4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/>
    <xf numFmtId="9" fontId="3" fillId="0" borderId="0" xfId="2" applyFont="1"/>
    <xf numFmtId="6" fontId="6" fillId="2" borderId="0" xfId="1" applyNumberFormat="1" applyFont="1" applyFill="1" applyBorder="1" applyAlignment="1" applyProtection="1">
      <alignment horizontal="center"/>
      <protection locked="0"/>
    </xf>
    <xf numFmtId="0" fontId="5" fillId="0" borderId="1" xfId="0" applyFont="1" applyBorder="1"/>
    <xf numFmtId="0" fontId="5" fillId="0" borderId="2" xfId="0" applyFont="1" applyBorder="1"/>
    <xf numFmtId="0" fontId="6" fillId="0" borderId="3" xfId="0" applyFont="1" applyBorder="1"/>
    <xf numFmtId="0" fontId="6" fillId="0" borderId="0" xfId="0" applyFont="1"/>
    <xf numFmtId="0" fontId="6" fillId="0" borderId="4" xfId="0" applyFont="1" applyBorder="1"/>
    <xf numFmtId="0" fontId="6" fillId="0" borderId="5" xfId="0" applyFont="1" applyBorder="1"/>
    <xf numFmtId="6" fontId="6" fillId="2" borderId="6" xfId="1" applyNumberFormat="1" applyFont="1" applyFill="1" applyBorder="1" applyAlignment="1" applyProtection="1">
      <alignment horizontal="center"/>
      <protection locked="0"/>
    </xf>
    <xf numFmtId="0" fontId="5" fillId="0" borderId="5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0" fontId="6" fillId="0" borderId="0" xfId="0" applyFont="1" applyBorder="1"/>
    <xf numFmtId="0" fontId="6" fillId="0" borderId="8" xfId="0" applyFont="1" applyBorder="1"/>
    <xf numFmtId="6" fontId="6" fillId="2" borderId="8" xfId="1" applyNumberFormat="1" applyFont="1" applyFill="1" applyBorder="1" applyAlignment="1" applyProtection="1">
      <alignment horizontal="center"/>
      <protection locked="0"/>
    </xf>
    <xf numFmtId="0" fontId="5" fillId="0" borderId="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9" fontId="6" fillId="0" borderId="0" xfId="0" applyNumberFormat="1" applyFont="1" applyBorder="1" applyAlignment="1">
      <alignment horizontal="center"/>
    </xf>
    <xf numFmtId="9" fontId="6" fillId="2" borderId="0" xfId="2" applyFont="1" applyFill="1" applyBorder="1" applyAlignment="1" applyProtection="1">
      <alignment horizontal="center"/>
      <protection locked="0"/>
    </xf>
    <xf numFmtId="9" fontId="6" fillId="2" borderId="8" xfId="2" applyFont="1" applyFill="1" applyBorder="1" applyAlignment="1" applyProtection="1">
      <alignment horizontal="center"/>
      <protection locked="0"/>
    </xf>
    <xf numFmtId="6" fontId="6" fillId="0" borderId="0" xfId="1" applyNumberFormat="1" applyFont="1" applyBorder="1" applyAlignment="1">
      <alignment horizontal="center"/>
    </xf>
    <xf numFmtId="9" fontId="6" fillId="2" borderId="0" xfId="0" applyNumberFormat="1" applyFont="1" applyFill="1" applyBorder="1" applyAlignment="1" applyProtection="1">
      <alignment horizontal="center"/>
      <protection locked="0"/>
    </xf>
    <xf numFmtId="1" fontId="6" fillId="0" borderId="0" xfId="0" applyNumberFormat="1" applyFont="1" applyBorder="1" applyAlignment="1">
      <alignment horizontal="center"/>
    </xf>
    <xf numFmtId="9" fontId="6" fillId="2" borderId="8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Border="1"/>
    <xf numFmtId="0" fontId="5" fillId="0" borderId="8" xfId="0" applyFont="1" applyBorder="1"/>
    <xf numFmtId="0" fontId="5" fillId="0" borderId="7" xfId="0" applyFon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1" fontId="6" fillId="0" borderId="11" xfId="0" applyNumberFormat="1" applyFont="1" applyBorder="1" applyAlignment="1">
      <alignment horizontal="center"/>
    </xf>
    <xf numFmtId="6" fontId="6" fillId="2" borderId="10" xfId="1" applyNumberFormat="1" applyFont="1" applyFill="1" applyBorder="1" applyAlignment="1" applyProtection="1">
      <alignment horizontal="center"/>
      <protection locked="0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3" xfId="0" applyFont="1" applyBorder="1"/>
    <xf numFmtId="0" fontId="6" fillId="0" borderId="12" xfId="0" applyFont="1" applyBorder="1"/>
    <xf numFmtId="1" fontId="6" fillId="0" borderId="12" xfId="0" applyNumberFormat="1" applyFont="1" applyBorder="1" applyAlignment="1">
      <alignment horizontal="center"/>
    </xf>
    <xf numFmtId="6" fontId="6" fillId="0" borderId="12" xfId="1" applyNumberFormat="1" applyFont="1" applyBorder="1" applyAlignment="1">
      <alignment horizontal="center"/>
    </xf>
    <xf numFmtId="6" fontId="5" fillId="0" borderId="0" xfId="1" applyNumberFormat="1" applyFont="1" applyBorder="1" applyAlignment="1">
      <alignment horizontal="center" vertical="center"/>
    </xf>
    <xf numFmtId="0" fontId="6" fillId="0" borderId="2" xfId="0" applyFont="1" applyBorder="1"/>
    <xf numFmtId="6" fontId="5" fillId="0" borderId="0" xfId="1" applyNumberFormat="1" applyFont="1" applyBorder="1" applyAlignment="1">
      <alignment horizontal="center"/>
    </xf>
    <xf numFmtId="6" fontId="5" fillId="0" borderId="0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6" fontId="6" fillId="0" borderId="12" xfId="0" applyNumberFormat="1" applyFont="1" applyBorder="1" applyAlignment="1">
      <alignment horizontal="center"/>
    </xf>
    <xf numFmtId="0" fontId="5" fillId="0" borderId="0" xfId="0" applyFont="1" applyBorder="1" applyAlignment="1">
      <alignment vertical="center"/>
    </xf>
    <xf numFmtId="0" fontId="0" fillId="0" borderId="0" xfId="0" applyBorder="1"/>
    <xf numFmtId="0" fontId="0" fillId="0" borderId="10" xfId="0" applyBorder="1"/>
    <xf numFmtId="0" fontId="0" fillId="0" borderId="2" xfId="0" applyBorder="1"/>
    <xf numFmtId="0" fontId="7" fillId="0" borderId="0" xfId="0" applyFont="1" applyBorder="1"/>
    <xf numFmtId="1" fontId="7" fillId="0" borderId="0" xfId="0" applyNumberFormat="1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9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5" fillId="0" borderId="0" xfId="0" quotePrefix="1" applyFont="1" applyBorder="1" applyAlignment="1">
      <alignment horizontal="center"/>
    </xf>
    <xf numFmtId="0" fontId="7" fillId="0" borderId="7" xfId="0" applyFont="1" applyBorder="1"/>
    <xf numFmtId="0" fontId="6" fillId="0" borderId="13" xfId="0" applyFont="1" applyBorder="1"/>
    <xf numFmtId="0" fontId="5" fillId="0" borderId="7" xfId="0" applyFont="1" applyBorder="1" applyAlignment="1">
      <alignment vertical="center"/>
    </xf>
    <xf numFmtId="0" fontId="1" fillId="0" borderId="0" xfId="0" applyFont="1" applyBorder="1" applyAlignment="1">
      <alignment horizontal="right"/>
    </xf>
    <xf numFmtId="0" fontId="4" fillId="0" borderId="0" xfId="0" applyFont="1" applyBorder="1"/>
    <xf numFmtId="1" fontId="6" fillId="2" borderId="8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>
      <alignment horizontal="right"/>
    </xf>
    <xf numFmtId="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80" fontId="0" fillId="0" borderId="0" xfId="0" applyNumberFormat="1"/>
    <xf numFmtId="0" fontId="5" fillId="0" borderId="6" xfId="0" applyFont="1" applyBorder="1" applyAlignment="1">
      <alignment horizontal="center"/>
    </xf>
    <xf numFmtId="6" fontId="6" fillId="2" borderId="11" xfId="1" applyNumberFormat="1" applyFont="1" applyFill="1" applyBorder="1" applyAlignment="1" applyProtection="1">
      <alignment horizontal="center"/>
      <protection locked="0"/>
    </xf>
    <xf numFmtId="1" fontId="6" fillId="2" borderId="11" xfId="0" applyNumberFormat="1" applyFont="1" applyFill="1" applyBorder="1" applyAlignment="1" applyProtection="1">
      <alignment horizontal="center"/>
      <protection locked="0"/>
    </xf>
    <xf numFmtId="170" fontId="6" fillId="2" borderId="0" xfId="0" applyNumberFormat="1" applyFont="1" applyFill="1" applyBorder="1" applyAlignment="1" applyProtection="1">
      <alignment horizontal="center"/>
      <protection locked="0"/>
    </xf>
    <xf numFmtId="1" fontId="6" fillId="3" borderId="6" xfId="0" applyNumberFormat="1" applyFont="1" applyFill="1" applyBorder="1" applyAlignment="1" applyProtection="1">
      <alignment horizontal="center"/>
    </xf>
    <xf numFmtId="6" fontId="5" fillId="3" borderId="8" xfId="1" applyNumberFormat="1" applyFont="1" applyFill="1" applyBorder="1" applyAlignment="1" applyProtection="1">
      <alignment horizontal="center"/>
    </xf>
    <xf numFmtId="6" fontId="5" fillId="2" borderId="8" xfId="1" applyNumberFormat="1" applyFont="1" applyFill="1" applyBorder="1" applyAlignment="1" applyProtection="1">
      <alignment horizontal="center"/>
      <protection locked="0"/>
    </xf>
    <xf numFmtId="0" fontId="5" fillId="0" borderId="0" xfId="0" applyFont="1" applyBorder="1" applyAlignment="1">
      <alignment horizontal="right"/>
    </xf>
    <xf numFmtId="0" fontId="0" fillId="0" borderId="10" xfId="0" applyBorder="1" applyAlignment="1">
      <alignment horizontal="right"/>
    </xf>
    <xf numFmtId="0" fontId="6" fillId="0" borderId="11" xfId="0" applyFont="1" applyBorder="1"/>
    <xf numFmtId="1" fontId="6" fillId="3" borderId="2" xfId="0" applyNumberFormat="1" applyFont="1" applyFill="1" applyBorder="1" applyAlignment="1" applyProtection="1">
      <alignment horizontal="center"/>
    </xf>
    <xf numFmtId="6" fontId="6" fillId="2" borderId="5" xfId="1" applyNumberFormat="1" applyFont="1" applyFill="1" applyBorder="1" applyAlignment="1" applyProtection="1">
      <alignment horizontal="center"/>
      <protection locked="0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6" fontId="5" fillId="0" borderId="6" xfId="1" applyNumberFormat="1" applyFont="1" applyBorder="1" applyAlignment="1">
      <alignment horizontal="center"/>
    </xf>
    <xf numFmtId="6" fontId="5" fillId="0" borderId="8" xfId="1" applyNumberFormat="1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/>
    <xf numFmtId="9" fontId="5" fillId="0" borderId="11" xfId="2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1" fillId="0" borderId="4" xfId="0" applyFont="1" applyBorder="1"/>
    <xf numFmtId="0" fontId="0" fillId="0" borderId="4" xfId="0" applyBorder="1"/>
    <xf numFmtId="0" fontId="0" fillId="0" borderId="3" xfId="0" applyBorder="1"/>
    <xf numFmtId="0" fontId="10" fillId="0" borderId="1" xfId="0" applyFont="1" applyBorder="1"/>
    <xf numFmtId="0" fontId="4" fillId="0" borderId="10" xfId="0" applyFont="1" applyBorder="1"/>
    <xf numFmtId="9" fontId="0" fillId="0" borderId="0" xfId="0" applyNumberFormat="1" applyBorder="1"/>
    <xf numFmtId="0" fontId="11" fillId="4" borderId="1" xfId="0" applyFont="1" applyFill="1" applyBorder="1"/>
    <xf numFmtId="0" fontId="12" fillId="4" borderId="1" xfId="0" applyFont="1" applyFill="1" applyBorder="1"/>
    <xf numFmtId="0" fontId="13" fillId="4" borderId="2" xfId="0" applyFont="1" applyFill="1" applyBorder="1"/>
    <xf numFmtId="0" fontId="10" fillId="0" borderId="7" xfId="0" applyFont="1" applyBorder="1"/>
    <xf numFmtId="0" fontId="10" fillId="0" borderId="0" xfId="0" applyFont="1" applyBorder="1"/>
    <xf numFmtId="165" fontId="10" fillId="0" borderId="0" xfId="0" applyNumberFormat="1" applyFont="1" applyBorder="1" applyAlignment="1">
      <alignment horizontal="center"/>
    </xf>
    <xf numFmtId="8" fontId="14" fillId="0" borderId="0" xfId="0" applyNumberFormat="1" applyFont="1"/>
    <xf numFmtId="0" fontId="14" fillId="0" borderId="0" xfId="0" applyFont="1"/>
    <xf numFmtId="165" fontId="10" fillId="2" borderId="0" xfId="0" applyNumberFormat="1" applyFont="1" applyFill="1" applyBorder="1" applyAlignment="1" applyProtection="1">
      <alignment horizontal="center"/>
      <protection locked="0"/>
    </xf>
    <xf numFmtId="0" fontId="1" fillId="0" borderId="7" xfId="0" applyFont="1" applyBorder="1"/>
    <xf numFmtId="0" fontId="13" fillId="4" borderId="0" xfId="0" applyFont="1" applyFill="1" applyBorder="1"/>
    <xf numFmtId="0" fontId="12" fillId="4" borderId="10" xfId="0" applyFont="1" applyFill="1" applyBorder="1"/>
    <xf numFmtId="0" fontId="12" fillId="4" borderId="11" xfId="0" applyFont="1" applyFill="1" applyBorder="1"/>
    <xf numFmtId="0" fontId="12" fillId="4" borderId="2" xfId="0" applyFont="1" applyFill="1" applyBorder="1"/>
    <xf numFmtId="0" fontId="12" fillId="4" borderId="3" xfId="0" applyFont="1" applyFill="1" applyBorder="1"/>
    <xf numFmtId="0" fontId="11" fillId="4" borderId="9" xfId="0" applyFont="1" applyFill="1" applyBorder="1"/>
    <xf numFmtId="0" fontId="5" fillId="0" borderId="14" xfId="0" applyFont="1" applyBorder="1" applyAlignment="1">
      <alignment horizontal="center"/>
    </xf>
    <xf numFmtId="8" fontId="0" fillId="0" borderId="15" xfId="0" applyNumberFormat="1" applyBorder="1"/>
    <xf numFmtId="8" fontId="0" fillId="0" borderId="16" xfId="0" applyNumberFormat="1" applyBorder="1"/>
    <xf numFmtId="165" fontId="10" fillId="0" borderId="16" xfId="0" applyNumberFormat="1" applyFont="1" applyBorder="1" applyAlignment="1">
      <alignment horizontal="center"/>
    </xf>
    <xf numFmtId="8" fontId="0" fillId="0" borderId="17" xfId="0" applyNumberFormat="1" applyBorder="1"/>
    <xf numFmtId="6" fontId="0" fillId="0" borderId="5" xfId="0" applyNumberFormat="1" applyBorder="1"/>
    <xf numFmtId="6" fontId="0" fillId="0" borderId="6" xfId="0" applyNumberFormat="1" applyBorder="1"/>
    <xf numFmtId="6" fontId="0" fillId="0" borderId="0" xfId="0" applyNumberFormat="1" applyBorder="1"/>
    <xf numFmtId="6" fontId="0" fillId="0" borderId="8" xfId="0" applyNumberFormat="1" applyBorder="1"/>
    <xf numFmtId="8" fontId="0" fillId="0" borderId="0" xfId="0" applyNumberFormat="1" applyBorder="1"/>
    <xf numFmtId="8" fontId="0" fillId="0" borderId="8" xfId="0" applyNumberFormat="1" applyBorder="1"/>
    <xf numFmtId="0" fontId="1" fillId="0" borderId="9" xfId="0" applyFont="1" applyBorder="1"/>
    <xf numFmtId="8" fontId="0" fillId="0" borderId="10" xfId="0" applyNumberFormat="1" applyBorder="1"/>
    <xf numFmtId="8" fontId="0" fillId="0" borderId="11" xfId="0" applyNumberFormat="1" applyBorder="1"/>
    <xf numFmtId="0" fontId="5" fillId="0" borderId="15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165" fontId="6" fillId="2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left"/>
    </xf>
    <xf numFmtId="0" fontId="6" fillId="0" borderId="0" xfId="0" quotePrefix="1" applyFont="1" applyBorder="1" applyAlignment="1">
      <alignment horizontal="right"/>
    </xf>
    <xf numFmtId="0" fontId="6" fillId="0" borderId="0" xfId="0" quotePrefix="1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Protection="1"/>
    <xf numFmtId="0" fontId="1" fillId="0" borderId="7" xfId="0" applyFont="1" applyBorder="1" applyAlignment="1">
      <alignment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showGridLines="0" workbookViewId="0"/>
  </sheetViews>
  <sheetFormatPr defaultRowHeight="12.6" x14ac:dyDescent="0.25"/>
  <cols>
    <col min="1" max="1" width="9.109375" style="1" customWidth="1"/>
  </cols>
  <sheetData>
    <row r="2" spans="1:1" x14ac:dyDescent="0.25">
      <c r="A2" s="1" t="s">
        <v>159</v>
      </c>
    </row>
    <row r="4" spans="1:1" x14ac:dyDescent="0.25">
      <c r="A4" s="1" t="s">
        <v>160</v>
      </c>
    </row>
    <row r="6" spans="1:1" x14ac:dyDescent="0.25">
      <c r="A6" s="1" t="s">
        <v>157</v>
      </c>
    </row>
    <row r="8" spans="1:1" x14ac:dyDescent="0.25">
      <c r="A8" s="1" t="s">
        <v>158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0"/>
  <sheetViews>
    <sheetView showGridLines="0" tabSelected="1" zoomScale="75" workbookViewId="0">
      <selection activeCell="B1" sqref="B1"/>
    </sheetView>
  </sheetViews>
  <sheetFormatPr defaultRowHeight="12.6" x14ac:dyDescent="0.25"/>
  <cols>
    <col min="1" max="1" width="6" bestFit="1" customWidth="1"/>
    <col min="2" max="2" width="16" customWidth="1"/>
    <col min="3" max="3" width="18.33203125" customWidth="1"/>
    <col min="4" max="4" width="14.6640625" customWidth="1"/>
    <col min="5" max="5" width="19.5546875" customWidth="1"/>
    <col min="6" max="6" width="13.33203125" customWidth="1"/>
    <col min="7" max="7" width="15.6640625" customWidth="1"/>
    <col min="8" max="10" width="13.6640625" bestFit="1" customWidth="1"/>
    <col min="11" max="11" width="16.44140625" customWidth="1"/>
    <col min="12" max="12" width="13.88671875" bestFit="1" customWidth="1"/>
    <col min="13" max="14" width="12.88671875" bestFit="1" customWidth="1"/>
    <col min="15" max="16" width="13.6640625" bestFit="1" customWidth="1"/>
    <col min="17" max="17" width="12.88671875" bestFit="1" customWidth="1"/>
    <col min="18" max="18" width="11" customWidth="1"/>
  </cols>
  <sheetData>
    <row r="1" spans="1:10" s="115" customFormat="1" ht="18" x14ac:dyDescent="0.35">
      <c r="A1" t="s">
        <v>148</v>
      </c>
      <c r="E1" s="115" t="s">
        <v>139</v>
      </c>
    </row>
    <row r="2" spans="1:10" s="115" customFormat="1" ht="18" x14ac:dyDescent="0.35">
      <c r="A2" s="146">
        <v>2</v>
      </c>
    </row>
    <row r="3" spans="1:10" ht="17.399999999999999" x14ac:dyDescent="0.3">
      <c r="A3" s="146">
        <f>A2+1</f>
        <v>3</v>
      </c>
      <c r="B3" s="105" t="s">
        <v>30</v>
      </c>
      <c r="C3" s="104"/>
      <c r="F3" s="12"/>
    </row>
    <row r="4" spans="1:10" x14ac:dyDescent="0.25">
      <c r="A4" s="146">
        <f>A3+1</f>
        <v>4</v>
      </c>
    </row>
    <row r="5" spans="1:10" ht="13.2" x14ac:dyDescent="0.25">
      <c r="A5" s="146">
        <f t="shared" ref="A5:A68" si="0">A4+1</f>
        <v>5</v>
      </c>
      <c r="B5" s="93" t="s">
        <v>95</v>
      </c>
      <c r="C5" s="14"/>
      <c r="D5" s="14"/>
      <c r="E5" s="15">
        <v>1282000</v>
      </c>
      <c r="F5" s="103" t="s">
        <v>97</v>
      </c>
      <c r="G5" s="59"/>
      <c r="H5" s="59"/>
      <c r="I5" s="59"/>
      <c r="J5" s="60"/>
    </row>
    <row r="6" spans="1:10" ht="13.2" x14ac:dyDescent="0.25">
      <c r="A6" s="146">
        <f t="shared" si="0"/>
        <v>6</v>
      </c>
      <c r="B6" s="98" t="s">
        <v>108</v>
      </c>
      <c r="C6" s="38"/>
      <c r="D6" s="38"/>
      <c r="E6" s="82" t="s">
        <v>82</v>
      </c>
      <c r="F6" s="63" t="s">
        <v>127</v>
      </c>
      <c r="G6" s="55"/>
      <c r="H6" s="55"/>
      <c r="I6" s="55"/>
      <c r="J6" s="64"/>
    </row>
    <row r="7" spans="1:10" ht="13.2" x14ac:dyDescent="0.25">
      <c r="A7" s="146">
        <f t="shared" si="0"/>
        <v>7</v>
      </c>
      <c r="B7" s="18"/>
      <c r="C7" s="19"/>
      <c r="D7" s="19"/>
      <c r="E7" s="56"/>
    </row>
    <row r="8" spans="1:10" x14ac:dyDescent="0.25">
      <c r="A8" s="146">
        <f t="shared" si="0"/>
        <v>8</v>
      </c>
      <c r="B8" s="102" t="s">
        <v>131</v>
      </c>
      <c r="C8" s="59"/>
      <c r="D8" s="59"/>
      <c r="E8" s="60"/>
      <c r="F8" s="103"/>
      <c r="G8" s="59"/>
      <c r="H8" s="59"/>
      <c r="I8" s="59"/>
      <c r="J8" s="60"/>
    </row>
    <row r="9" spans="1:10" ht="13.2" x14ac:dyDescent="0.25">
      <c r="A9" s="146">
        <f t="shared" si="0"/>
        <v>9</v>
      </c>
      <c r="B9" s="117"/>
      <c r="C9" s="54"/>
      <c r="D9" s="54" t="s">
        <v>132</v>
      </c>
      <c r="E9" s="21">
        <v>0</v>
      </c>
      <c r="F9" s="61" t="s">
        <v>133</v>
      </c>
      <c r="G9" s="54"/>
      <c r="H9" s="54"/>
      <c r="I9" s="54"/>
      <c r="J9" s="62"/>
    </row>
    <row r="10" spans="1:10" ht="13.2" x14ac:dyDescent="0.25">
      <c r="A10" s="146">
        <f t="shared" si="0"/>
        <v>10</v>
      </c>
      <c r="B10" s="61"/>
      <c r="C10" s="54"/>
      <c r="D10" s="88" t="s">
        <v>75</v>
      </c>
      <c r="E10" s="86">
        <f>IF(E6="p",E5-E9,0)</f>
        <v>0</v>
      </c>
      <c r="F10" s="61" t="s">
        <v>134</v>
      </c>
      <c r="G10" s="54"/>
      <c r="H10" s="54"/>
      <c r="I10" s="54"/>
      <c r="J10" s="62"/>
    </row>
    <row r="11" spans="1:10" ht="13.2" x14ac:dyDescent="0.25">
      <c r="A11" s="146">
        <f t="shared" si="0"/>
        <v>11</v>
      </c>
      <c r="B11" s="61"/>
      <c r="C11" s="54"/>
      <c r="D11" s="54" t="s">
        <v>57</v>
      </c>
      <c r="E11" s="26">
        <v>7.0000000000000007E-2</v>
      </c>
      <c r="F11" s="61" t="s">
        <v>98</v>
      </c>
      <c r="G11" s="54"/>
      <c r="H11" s="54"/>
      <c r="I11" s="54"/>
      <c r="J11" s="62"/>
    </row>
    <row r="12" spans="1:10" ht="13.2" x14ac:dyDescent="0.25">
      <c r="A12" s="146">
        <f t="shared" si="0"/>
        <v>12</v>
      </c>
      <c r="B12" s="63"/>
      <c r="C12" s="55"/>
      <c r="D12" s="55" t="s">
        <v>124</v>
      </c>
      <c r="E12" s="83">
        <v>0</v>
      </c>
      <c r="F12" s="63" t="s">
        <v>149</v>
      </c>
      <c r="G12" s="55"/>
      <c r="H12" s="55"/>
      <c r="I12" s="55"/>
      <c r="J12" s="64"/>
    </row>
    <row r="13" spans="1:10" ht="13.2" x14ac:dyDescent="0.25">
      <c r="A13" s="146">
        <f t="shared" si="0"/>
        <v>13</v>
      </c>
      <c r="B13" s="54"/>
      <c r="C13" s="54"/>
      <c r="D13" s="54"/>
      <c r="E13" s="91"/>
    </row>
    <row r="14" spans="1:10" ht="13.2" x14ac:dyDescent="0.25">
      <c r="A14" s="146">
        <f t="shared" si="0"/>
        <v>14</v>
      </c>
      <c r="B14" s="102" t="s">
        <v>125</v>
      </c>
      <c r="C14" s="59"/>
      <c r="D14" s="59"/>
      <c r="E14" s="85"/>
      <c r="F14" s="103"/>
      <c r="G14" s="59"/>
      <c r="H14" s="59"/>
      <c r="I14" s="59"/>
      <c r="J14" s="60"/>
    </row>
    <row r="15" spans="1:10" ht="13.2" x14ac:dyDescent="0.25">
      <c r="A15" s="146">
        <f t="shared" si="0"/>
        <v>15</v>
      </c>
      <c r="B15" s="61"/>
      <c r="D15" s="74" t="s">
        <v>73</v>
      </c>
      <c r="E15" s="87">
        <v>260000</v>
      </c>
      <c r="F15" s="61" t="s">
        <v>150</v>
      </c>
      <c r="G15" s="54"/>
      <c r="H15" s="54"/>
      <c r="I15" s="54"/>
      <c r="J15" s="62"/>
    </row>
    <row r="16" spans="1:10" ht="13.2" x14ac:dyDescent="0.25">
      <c r="A16" s="146">
        <f t="shared" si="0"/>
        <v>16</v>
      </c>
      <c r="B16" s="61"/>
      <c r="D16" s="77" t="s">
        <v>55</v>
      </c>
      <c r="E16" s="76">
        <v>5</v>
      </c>
      <c r="F16" s="61" t="s">
        <v>120</v>
      </c>
      <c r="G16" s="54"/>
      <c r="H16" s="54"/>
      <c r="I16" s="54"/>
      <c r="J16" s="62"/>
    </row>
    <row r="17" spans="1:17" ht="13.2" x14ac:dyDescent="0.25">
      <c r="A17" s="146">
        <f t="shared" si="0"/>
        <v>17</v>
      </c>
      <c r="B17" s="63"/>
      <c r="C17" s="55"/>
      <c r="D17" s="89" t="s">
        <v>56</v>
      </c>
      <c r="E17" s="82">
        <f>IF(E6="l",E5*0.2,"")</f>
        <v>256400</v>
      </c>
      <c r="F17" s="63" t="s">
        <v>96</v>
      </c>
      <c r="G17" s="55"/>
      <c r="H17" s="55"/>
      <c r="I17" s="55"/>
      <c r="J17" s="64"/>
      <c r="O17" s="6"/>
      <c r="P17" s="6"/>
      <c r="Q17" s="6"/>
    </row>
    <row r="18" spans="1:17" ht="13.2" x14ac:dyDescent="0.25">
      <c r="A18" s="146">
        <f t="shared" si="0"/>
        <v>18</v>
      </c>
      <c r="B18" s="18"/>
      <c r="C18" s="19"/>
      <c r="D18" s="19"/>
      <c r="E18" s="56"/>
    </row>
    <row r="19" spans="1:17" ht="18" x14ac:dyDescent="0.35">
      <c r="A19" s="146">
        <f t="shared" si="0"/>
        <v>19</v>
      </c>
      <c r="B19" s="109" t="s">
        <v>67</v>
      </c>
      <c r="C19" s="110"/>
      <c r="D19" s="108" t="str">
        <f>IF(E15&gt;0,IF(E10&gt;0,"ERROR:  You indicated a 'P' for purchase AND entered a Lease payment","None"),"None")</f>
        <v>None</v>
      </c>
      <c r="E19" s="121"/>
      <c r="F19" s="121"/>
      <c r="G19" s="121"/>
      <c r="H19" s="121"/>
      <c r="I19" s="121"/>
      <c r="J19" s="122"/>
      <c r="O19" s="6"/>
      <c r="P19" s="6"/>
      <c r="Q19" s="6"/>
    </row>
    <row r="20" spans="1:17" ht="18" x14ac:dyDescent="0.35">
      <c r="A20" s="146">
        <f t="shared" si="0"/>
        <v>20</v>
      </c>
      <c r="B20" s="109" t="s">
        <v>67</v>
      </c>
      <c r="C20" s="118"/>
      <c r="D20" s="123" t="str">
        <f>IF(E6="P","None",IF(E15=0,"ERROR:  You've indicated a Lease, but have not entered a Lease payment amount",IF(E15="","ERROR:  You've indicated a Lease, but have not entered a Lease payment amount",IF(E15&lt;200000,"ERROR:  Please check to make sure you entered One Year's Total Lease Payments","None"))))</f>
        <v>None</v>
      </c>
      <c r="E20" s="119"/>
      <c r="F20" s="119"/>
      <c r="G20" s="119"/>
      <c r="H20" s="119"/>
      <c r="I20" s="119"/>
      <c r="J20" s="120"/>
      <c r="O20" s="6"/>
      <c r="P20" s="6"/>
      <c r="Q20" s="6"/>
    </row>
    <row r="21" spans="1:17" x14ac:dyDescent="0.25">
      <c r="A21" s="146">
        <f t="shared" si="0"/>
        <v>21</v>
      </c>
    </row>
    <row r="22" spans="1:17" ht="13.2" x14ac:dyDescent="0.25">
      <c r="A22" s="146">
        <f t="shared" si="0"/>
        <v>22</v>
      </c>
      <c r="B22" s="13" t="s">
        <v>0</v>
      </c>
      <c r="C22" s="14"/>
      <c r="D22" s="14"/>
      <c r="E22" s="15">
        <v>125000</v>
      </c>
      <c r="F22" s="103" t="s">
        <v>121</v>
      </c>
      <c r="G22" s="59"/>
      <c r="H22" s="59"/>
      <c r="I22" s="59"/>
      <c r="J22" s="60"/>
    </row>
    <row r="23" spans="1:17" s="3" customFormat="1" ht="13.2" x14ac:dyDescent="0.25">
      <c r="A23" s="146">
        <f t="shared" si="0"/>
        <v>23</v>
      </c>
      <c r="B23" s="18" t="s">
        <v>93</v>
      </c>
      <c r="C23" s="19"/>
      <c r="D23" s="19"/>
      <c r="E23" s="26">
        <v>0.03</v>
      </c>
      <c r="F23" s="61" t="s">
        <v>161</v>
      </c>
      <c r="G23" s="19"/>
      <c r="H23" s="19"/>
      <c r="I23" s="19"/>
      <c r="J23" s="20"/>
      <c r="K23"/>
      <c r="L23"/>
      <c r="M23"/>
      <c r="N23"/>
    </row>
    <row r="24" spans="1:17" ht="13.2" x14ac:dyDescent="0.25">
      <c r="A24" s="146">
        <f t="shared" si="0"/>
        <v>24</v>
      </c>
      <c r="B24" s="18" t="s">
        <v>64</v>
      </c>
      <c r="C24" s="19"/>
      <c r="D24" s="19"/>
      <c r="E24" s="21">
        <v>100000</v>
      </c>
      <c r="F24" s="61" t="s">
        <v>99</v>
      </c>
      <c r="G24" s="19"/>
      <c r="H24" s="19"/>
      <c r="I24" s="19"/>
      <c r="J24" s="20"/>
    </row>
    <row r="25" spans="1:17" ht="13.2" x14ac:dyDescent="0.25">
      <c r="A25" s="146">
        <f t="shared" si="0"/>
        <v>25</v>
      </c>
      <c r="B25" s="37" t="s">
        <v>44</v>
      </c>
      <c r="C25" s="38"/>
      <c r="D25" s="38"/>
      <c r="E25" s="83">
        <v>5</v>
      </c>
      <c r="F25" s="63" t="s">
        <v>162</v>
      </c>
      <c r="G25" s="38"/>
      <c r="H25" s="38"/>
      <c r="I25" s="38"/>
      <c r="J25" s="90"/>
    </row>
    <row r="26" spans="1:17" ht="13.2" hidden="1" x14ac:dyDescent="0.25">
      <c r="A26" s="146">
        <f t="shared" si="0"/>
        <v>26</v>
      </c>
      <c r="B26" s="12"/>
      <c r="C26" s="42" t="s">
        <v>54</v>
      </c>
      <c r="D26" s="42" t="s">
        <v>54</v>
      </c>
      <c r="E26" s="42" t="s">
        <v>54</v>
      </c>
      <c r="F26" s="42" t="s">
        <v>54</v>
      </c>
      <c r="G26" s="42" t="s">
        <v>54</v>
      </c>
      <c r="H26" s="42" t="s">
        <v>54</v>
      </c>
      <c r="I26" s="42" t="s">
        <v>54</v>
      </c>
      <c r="O26" s="6"/>
      <c r="P26" s="6"/>
      <c r="Q26" s="6"/>
    </row>
    <row r="27" spans="1:17" ht="13.2" hidden="1" x14ac:dyDescent="0.25">
      <c r="A27" s="146">
        <f t="shared" si="0"/>
        <v>27</v>
      </c>
      <c r="B27" s="12"/>
      <c r="C27" s="16">
        <v>1</v>
      </c>
      <c r="D27" s="16">
        <v>2</v>
      </c>
      <c r="E27" s="16">
        <v>3</v>
      </c>
      <c r="F27" s="16">
        <v>4</v>
      </c>
      <c r="G27" s="16">
        <v>5</v>
      </c>
      <c r="H27" s="16">
        <v>6</v>
      </c>
      <c r="I27" s="16">
        <v>7</v>
      </c>
      <c r="O27" s="6"/>
      <c r="P27" s="6"/>
      <c r="Q27" s="6"/>
    </row>
    <row r="28" spans="1:17" hidden="1" x14ac:dyDescent="0.25">
      <c r="A28" s="146">
        <f t="shared" si="0"/>
        <v>28</v>
      </c>
      <c r="B28" s="79" t="s">
        <v>60</v>
      </c>
      <c r="C28" s="78">
        <f t="shared" ref="C28:I28" si="1">IF($E12&gt;=C27,-PMT($E11,$E12,$E10),0)</f>
        <v>0</v>
      </c>
      <c r="D28" s="78">
        <f t="shared" si="1"/>
        <v>0</v>
      </c>
      <c r="E28" s="78">
        <f t="shared" si="1"/>
        <v>0</v>
      </c>
      <c r="F28" s="78">
        <f t="shared" si="1"/>
        <v>0</v>
      </c>
      <c r="G28" s="78">
        <f t="shared" si="1"/>
        <v>0</v>
      </c>
      <c r="H28" s="78">
        <f t="shared" si="1"/>
        <v>0</v>
      </c>
      <c r="I28" s="78">
        <f t="shared" si="1"/>
        <v>0</v>
      </c>
      <c r="O28" s="6"/>
      <c r="P28" s="6"/>
      <c r="Q28" s="6"/>
    </row>
    <row r="29" spans="1:17" hidden="1" x14ac:dyDescent="0.25">
      <c r="A29" s="146">
        <f t="shared" si="0"/>
        <v>29</v>
      </c>
      <c r="B29" s="79" t="s">
        <v>59</v>
      </c>
      <c r="C29" s="78">
        <f t="shared" ref="C29:I29" si="2">IF(C27&lt;=$E16,IF(C27&lt;=$E16,$E15,""),"")</f>
        <v>260000</v>
      </c>
      <c r="D29" s="78">
        <f t="shared" si="2"/>
        <v>260000</v>
      </c>
      <c r="E29" s="78">
        <f t="shared" si="2"/>
        <v>260000</v>
      </c>
      <c r="F29" s="78">
        <f t="shared" si="2"/>
        <v>260000</v>
      </c>
      <c r="G29" s="78">
        <f t="shared" si="2"/>
        <v>260000</v>
      </c>
      <c r="H29" s="78" t="str">
        <f t="shared" si="2"/>
        <v/>
      </c>
      <c r="I29" s="78" t="str">
        <f t="shared" si="2"/>
        <v/>
      </c>
      <c r="O29" s="6"/>
      <c r="P29" s="6"/>
      <c r="Q29" s="6"/>
    </row>
    <row r="30" spans="1:17" hidden="1" x14ac:dyDescent="0.25">
      <c r="A30" s="146">
        <f t="shared" si="0"/>
        <v>30</v>
      </c>
      <c r="B30" s="79" t="s">
        <v>63</v>
      </c>
      <c r="C30" s="78">
        <f t="shared" ref="C30:I30" si="3">IF(C27&lt;=$E34,-PMT($E33,$E34,$E32),0)</f>
        <v>36583.604166206118</v>
      </c>
      <c r="D30" s="78">
        <f t="shared" si="3"/>
        <v>36583.604166206118</v>
      </c>
      <c r="E30" s="78">
        <f t="shared" si="3"/>
        <v>36583.604166206118</v>
      </c>
      <c r="F30" s="78">
        <f t="shared" si="3"/>
        <v>36583.604166206118</v>
      </c>
      <c r="G30" s="78">
        <f t="shared" si="3"/>
        <v>36583.604166206118</v>
      </c>
      <c r="H30" s="78">
        <f t="shared" si="3"/>
        <v>0</v>
      </c>
      <c r="I30" s="78">
        <f t="shared" si="3"/>
        <v>0</v>
      </c>
      <c r="O30" s="6"/>
      <c r="P30" s="6"/>
      <c r="Q30" s="6"/>
    </row>
    <row r="31" spans="1:17" ht="13.2" x14ac:dyDescent="0.25">
      <c r="A31" s="146">
        <f t="shared" si="0"/>
        <v>31</v>
      </c>
      <c r="C31" s="22"/>
      <c r="D31" s="22"/>
      <c r="E31" s="22"/>
      <c r="F31" s="22"/>
      <c r="G31" s="22"/>
      <c r="H31" s="22"/>
      <c r="I31" s="22"/>
      <c r="O31" s="6"/>
      <c r="P31" s="6"/>
      <c r="Q31" s="6"/>
    </row>
    <row r="32" spans="1:17" ht="13.2" x14ac:dyDescent="0.25">
      <c r="A32" s="146">
        <f t="shared" si="0"/>
        <v>32</v>
      </c>
      <c r="B32" s="13" t="s">
        <v>103</v>
      </c>
      <c r="C32" s="14"/>
      <c r="D32" s="14"/>
      <c r="E32" s="15">
        <v>150000</v>
      </c>
      <c r="F32" s="103" t="s">
        <v>109</v>
      </c>
      <c r="G32" s="59"/>
      <c r="H32" s="59"/>
      <c r="I32" s="59"/>
      <c r="J32" s="60"/>
      <c r="O32" s="6"/>
      <c r="P32" s="6"/>
      <c r="Q32" s="6"/>
    </row>
    <row r="33" spans="1:17" ht="13.2" x14ac:dyDescent="0.25">
      <c r="A33" s="146">
        <f t="shared" si="0"/>
        <v>33</v>
      </c>
      <c r="B33" s="61" t="s">
        <v>61</v>
      </c>
      <c r="C33" s="54"/>
      <c r="D33" s="54"/>
      <c r="E33" s="26">
        <v>7.0000000000000007E-2</v>
      </c>
      <c r="F33" s="61"/>
      <c r="G33" s="54"/>
      <c r="H33" s="54"/>
      <c r="I33" s="54"/>
      <c r="J33" s="62"/>
      <c r="O33" s="6"/>
      <c r="P33" s="6"/>
      <c r="Q33" s="6"/>
    </row>
    <row r="34" spans="1:17" ht="13.2" x14ac:dyDescent="0.25">
      <c r="A34" s="146">
        <f t="shared" si="0"/>
        <v>34</v>
      </c>
      <c r="B34" s="37" t="s">
        <v>91</v>
      </c>
      <c r="C34" s="106"/>
      <c r="D34" s="106"/>
      <c r="E34" s="83">
        <v>5</v>
      </c>
      <c r="F34" s="63"/>
      <c r="G34" s="55"/>
      <c r="H34" s="55"/>
      <c r="I34" s="55"/>
      <c r="J34" s="64"/>
      <c r="O34" s="6"/>
      <c r="P34" s="6"/>
      <c r="Q34" s="6"/>
    </row>
    <row r="35" spans="1:17" s="54" customFormat="1" ht="13.2" x14ac:dyDescent="0.25">
      <c r="A35" s="146">
        <f t="shared" si="0"/>
        <v>35</v>
      </c>
      <c r="B35" s="18"/>
      <c r="C35" s="75"/>
      <c r="D35" s="75"/>
      <c r="O35" s="107"/>
      <c r="P35" s="107"/>
      <c r="Q35" s="107"/>
    </row>
    <row r="36" spans="1:17" ht="13.2" x14ac:dyDescent="0.25">
      <c r="A36" s="146">
        <f t="shared" si="0"/>
        <v>36</v>
      </c>
      <c r="B36" s="13" t="s">
        <v>141</v>
      </c>
      <c r="C36" s="14"/>
      <c r="D36" s="16" t="s">
        <v>2</v>
      </c>
      <c r="E36" s="16" t="s">
        <v>3</v>
      </c>
      <c r="F36" s="16" t="s">
        <v>4</v>
      </c>
      <c r="G36" s="16" t="s">
        <v>21</v>
      </c>
      <c r="H36" s="16" t="s">
        <v>5</v>
      </c>
      <c r="I36" s="16" t="s">
        <v>39</v>
      </c>
      <c r="J36" s="81" t="s">
        <v>49</v>
      </c>
      <c r="O36" s="6"/>
      <c r="P36" s="6"/>
      <c r="Q36" s="6"/>
    </row>
    <row r="37" spans="1:17" ht="13.2" x14ac:dyDescent="0.25">
      <c r="A37" s="146">
        <f t="shared" si="0"/>
        <v>37</v>
      </c>
      <c r="B37" s="18"/>
      <c r="C37" s="54"/>
      <c r="D37" s="8">
        <v>933</v>
      </c>
      <c r="E37" s="8">
        <v>933</v>
      </c>
      <c r="F37" s="40">
        <v>933</v>
      </c>
      <c r="G37" s="40">
        <v>933</v>
      </c>
      <c r="H37" s="40">
        <v>933</v>
      </c>
      <c r="I37" s="40">
        <v>1000</v>
      </c>
      <c r="J37" s="82">
        <v>1000</v>
      </c>
      <c r="O37" s="6"/>
      <c r="P37" s="6"/>
      <c r="Q37" s="6"/>
    </row>
    <row r="38" spans="1:17" ht="13.2" x14ac:dyDescent="0.25">
      <c r="A38" s="146">
        <f t="shared" si="0"/>
        <v>38</v>
      </c>
      <c r="B38" s="18"/>
      <c r="C38" s="75"/>
      <c r="D38" s="75"/>
      <c r="E38" s="62"/>
      <c r="G38" t="s">
        <v>163</v>
      </c>
      <c r="O38" s="6"/>
      <c r="P38" s="6"/>
      <c r="Q38" s="6"/>
    </row>
    <row r="39" spans="1:17" s="3" customFormat="1" ht="13.2" x14ac:dyDescent="0.25">
      <c r="A39" s="146">
        <f t="shared" si="0"/>
        <v>39</v>
      </c>
      <c r="B39" s="18" t="s">
        <v>74</v>
      </c>
      <c r="C39" s="19"/>
      <c r="D39" s="19"/>
      <c r="E39" s="21">
        <v>20000</v>
      </c>
      <c r="G39" s="12"/>
      <c r="I39" s="12"/>
      <c r="J39" s="12"/>
      <c r="K39"/>
    </row>
    <row r="40" spans="1:17" s="3" customFormat="1" ht="13.2" x14ac:dyDescent="0.25">
      <c r="A40" s="146">
        <f t="shared" si="0"/>
        <v>40</v>
      </c>
      <c r="B40" s="18" t="s">
        <v>122</v>
      </c>
      <c r="C40" s="19"/>
      <c r="D40" s="19"/>
      <c r="E40" s="21">
        <v>0</v>
      </c>
      <c r="F40"/>
      <c r="G40" s="12"/>
      <c r="I40" s="12"/>
      <c r="J40" s="12"/>
      <c r="K40"/>
    </row>
    <row r="41" spans="1:17" ht="13.2" x14ac:dyDescent="0.25">
      <c r="A41" s="146">
        <f t="shared" si="0"/>
        <v>41</v>
      </c>
      <c r="B41" s="18" t="s">
        <v>65</v>
      </c>
      <c r="C41" s="19"/>
      <c r="D41" s="19"/>
      <c r="E41" s="21">
        <f>(500+200)*12</f>
        <v>8400</v>
      </c>
      <c r="G41" s="12"/>
      <c r="H41" s="12"/>
      <c r="I41" s="12"/>
      <c r="J41" s="12"/>
    </row>
    <row r="42" spans="1:17" ht="13.2" x14ac:dyDescent="0.25">
      <c r="A42" s="146">
        <f t="shared" si="0"/>
        <v>42</v>
      </c>
      <c r="B42" s="18" t="s">
        <v>90</v>
      </c>
      <c r="C42" s="19"/>
      <c r="D42" s="19"/>
      <c r="E42" s="21">
        <v>0</v>
      </c>
      <c r="G42" s="12"/>
      <c r="H42" s="12"/>
      <c r="I42" s="12"/>
      <c r="J42" s="12"/>
    </row>
    <row r="43" spans="1:17" ht="13.2" x14ac:dyDescent="0.25">
      <c r="A43" s="146">
        <f t="shared" si="0"/>
        <v>43</v>
      </c>
      <c r="B43" s="18" t="s">
        <v>135</v>
      </c>
      <c r="C43" s="19"/>
      <c r="D43" s="19"/>
      <c r="E43" s="21">
        <v>30000</v>
      </c>
    </row>
    <row r="44" spans="1:17" ht="13.2" x14ac:dyDescent="0.25">
      <c r="A44" s="146">
        <f t="shared" si="0"/>
        <v>44</v>
      </c>
      <c r="B44" s="18" t="s">
        <v>100</v>
      </c>
      <c r="C44" s="19"/>
      <c r="D44" s="19"/>
      <c r="E44" s="30">
        <v>0.04</v>
      </c>
    </row>
    <row r="45" spans="1:17" s="1" customFormat="1" ht="13.2" x14ac:dyDescent="0.25">
      <c r="A45" s="146">
        <f t="shared" si="0"/>
        <v>45</v>
      </c>
      <c r="B45" s="18" t="s">
        <v>14</v>
      </c>
      <c r="C45" s="31"/>
      <c r="D45" s="31"/>
      <c r="E45" s="26">
        <v>0.03</v>
      </c>
    </row>
    <row r="46" spans="1:17" ht="13.2" x14ac:dyDescent="0.25">
      <c r="A46" s="146">
        <f t="shared" si="0"/>
        <v>46</v>
      </c>
      <c r="B46" s="18" t="s">
        <v>38</v>
      </c>
      <c r="C46" s="19"/>
      <c r="D46" s="19"/>
      <c r="E46" s="30">
        <v>0.4</v>
      </c>
      <c r="O46" s="7"/>
    </row>
    <row r="47" spans="1:17" ht="13.2" x14ac:dyDescent="0.25">
      <c r="A47" s="146">
        <f t="shared" si="0"/>
        <v>47</v>
      </c>
      <c r="B47" s="18" t="s">
        <v>62</v>
      </c>
      <c r="C47" s="19"/>
      <c r="D47" s="19"/>
      <c r="E47" s="26">
        <v>0.08</v>
      </c>
    </row>
    <row r="48" spans="1:17" ht="13.2" x14ac:dyDescent="0.25">
      <c r="A48" s="146">
        <f t="shared" si="0"/>
        <v>48</v>
      </c>
      <c r="B48" s="37" t="s">
        <v>18</v>
      </c>
      <c r="C48" s="38"/>
      <c r="D48" s="38"/>
      <c r="E48" s="39">
        <v>250</v>
      </c>
    </row>
    <row r="49" spans="1:14" ht="13.2" x14ac:dyDescent="0.25">
      <c r="A49" s="146">
        <f t="shared" si="0"/>
        <v>49</v>
      </c>
      <c r="B49" s="19"/>
      <c r="C49" s="19"/>
      <c r="D49" s="19"/>
      <c r="E49" s="29"/>
    </row>
    <row r="50" spans="1:14" ht="18" x14ac:dyDescent="0.35">
      <c r="A50" s="146">
        <f t="shared" si="0"/>
        <v>50</v>
      </c>
      <c r="B50" s="19"/>
      <c r="C50" s="19"/>
      <c r="D50" s="19"/>
      <c r="E50" s="115" t="s">
        <v>139</v>
      </c>
    </row>
    <row r="51" spans="1:14" ht="17.399999999999999" x14ac:dyDescent="0.3">
      <c r="A51" s="146">
        <f t="shared" si="0"/>
        <v>51</v>
      </c>
      <c r="B51" s="105" t="s">
        <v>138</v>
      </c>
      <c r="C51" s="104"/>
      <c r="F51" s="12"/>
    </row>
    <row r="52" spans="1:14" ht="13.2" x14ac:dyDescent="0.25">
      <c r="A52" s="146">
        <f t="shared" si="0"/>
        <v>52</v>
      </c>
      <c r="B52" s="13"/>
      <c r="C52" s="14"/>
      <c r="D52" s="16" t="s">
        <v>2</v>
      </c>
      <c r="E52" s="59"/>
      <c r="F52" s="59"/>
      <c r="G52" s="59"/>
      <c r="H52" s="59"/>
      <c r="I52" s="59"/>
      <c r="J52" s="60"/>
      <c r="K52" s="2"/>
      <c r="L52" s="2"/>
      <c r="M52" s="2"/>
      <c r="N52" s="2"/>
    </row>
    <row r="53" spans="1:14" ht="17.399999999999999" x14ac:dyDescent="0.3">
      <c r="A53" s="146">
        <f t="shared" si="0"/>
        <v>53</v>
      </c>
      <c r="B53" s="33" t="s">
        <v>22</v>
      </c>
      <c r="C53" s="19"/>
      <c r="D53" s="116">
        <v>40</v>
      </c>
      <c r="E53" s="54" t="s">
        <v>164</v>
      </c>
      <c r="F53" s="54"/>
      <c r="G53" s="54"/>
      <c r="H53" s="54"/>
      <c r="I53" s="54"/>
      <c r="J53" s="62"/>
      <c r="K53" s="2"/>
      <c r="L53" s="2"/>
      <c r="M53" s="2"/>
      <c r="N53" s="2"/>
    </row>
    <row r="54" spans="1:14" ht="13.2" x14ac:dyDescent="0.25">
      <c r="A54" s="146">
        <f t="shared" si="0"/>
        <v>54</v>
      </c>
      <c r="B54" s="33"/>
      <c r="C54" s="19"/>
      <c r="D54" s="19"/>
      <c r="E54" s="19"/>
      <c r="F54" s="19"/>
      <c r="G54" s="19"/>
      <c r="H54" s="19"/>
      <c r="I54" s="19"/>
      <c r="J54" s="20"/>
      <c r="K54" s="2"/>
      <c r="L54" s="2"/>
      <c r="M54" s="2"/>
      <c r="N54" s="2"/>
    </row>
    <row r="55" spans="1:14" ht="13.2" x14ac:dyDescent="0.25">
      <c r="A55" s="146">
        <f t="shared" si="0"/>
        <v>55</v>
      </c>
      <c r="B55" s="33"/>
      <c r="C55" s="19"/>
      <c r="D55" s="22" t="s">
        <v>2</v>
      </c>
      <c r="E55" s="22" t="s">
        <v>3</v>
      </c>
      <c r="F55" s="22" t="s">
        <v>4</v>
      </c>
      <c r="G55" s="22" t="s">
        <v>21</v>
      </c>
      <c r="H55" s="22" t="s">
        <v>5</v>
      </c>
      <c r="I55" s="22" t="s">
        <v>39</v>
      </c>
      <c r="J55" s="23" t="s">
        <v>49</v>
      </c>
      <c r="K55" s="124" t="s">
        <v>137</v>
      </c>
      <c r="L55" s="2"/>
      <c r="M55" s="2"/>
      <c r="N55" s="2"/>
    </row>
    <row r="56" spans="1:14" ht="13.2" x14ac:dyDescent="0.25">
      <c r="A56" s="146">
        <f t="shared" si="0"/>
        <v>56</v>
      </c>
      <c r="B56" s="33" t="s">
        <v>130</v>
      </c>
      <c r="C56" s="19"/>
      <c r="D56" s="24">
        <v>0</v>
      </c>
      <c r="E56" s="25">
        <v>0.15</v>
      </c>
      <c r="F56" s="25">
        <v>7.0000000000000007E-2</v>
      </c>
      <c r="G56" s="25">
        <v>0.04</v>
      </c>
      <c r="H56" s="25">
        <v>0.04</v>
      </c>
      <c r="I56" s="25">
        <v>0.04</v>
      </c>
      <c r="J56" s="26">
        <v>0.03</v>
      </c>
      <c r="K56" s="125"/>
      <c r="L56" s="2"/>
      <c r="M56" s="2"/>
      <c r="N56" s="2"/>
    </row>
    <row r="57" spans="1:14" ht="13.2" x14ac:dyDescent="0.25">
      <c r="A57" s="146">
        <f t="shared" si="0"/>
        <v>57</v>
      </c>
      <c r="B57" s="18"/>
      <c r="C57" s="19"/>
      <c r="D57" s="24"/>
      <c r="E57" s="19"/>
      <c r="F57" s="19"/>
      <c r="G57" s="19"/>
      <c r="H57" s="19"/>
      <c r="I57" s="19"/>
      <c r="J57" s="20"/>
      <c r="K57" s="126"/>
      <c r="L57" s="2"/>
      <c r="M57" s="2"/>
      <c r="N57" s="2"/>
    </row>
    <row r="58" spans="1:14" s="115" customFormat="1" ht="18" x14ac:dyDescent="0.35">
      <c r="A58" s="146">
        <f t="shared" si="0"/>
        <v>58</v>
      </c>
      <c r="B58" s="111" t="s">
        <v>92</v>
      </c>
      <c r="C58" s="112"/>
      <c r="D58" s="113">
        <f>D53</f>
        <v>40</v>
      </c>
      <c r="E58" s="113">
        <f t="shared" ref="E58:J58" si="4">D58*(1+E56)</f>
        <v>46</v>
      </c>
      <c r="F58" s="113">
        <f t="shared" si="4"/>
        <v>49.220000000000006</v>
      </c>
      <c r="G58" s="113">
        <f t="shared" si="4"/>
        <v>51.188800000000008</v>
      </c>
      <c r="H58" s="113">
        <f t="shared" si="4"/>
        <v>53.236352000000011</v>
      </c>
      <c r="I58" s="113">
        <f t="shared" si="4"/>
        <v>55.365806080000013</v>
      </c>
      <c r="J58" s="113">
        <f t="shared" si="4"/>
        <v>57.026780262400017</v>
      </c>
      <c r="K58" s="127">
        <f>AVERAGE(D58:J58)</f>
        <v>50.291105477485715</v>
      </c>
      <c r="L58" s="114"/>
      <c r="M58" s="114"/>
      <c r="N58" s="114"/>
    </row>
    <row r="59" spans="1:14" ht="13.2" x14ac:dyDescent="0.25">
      <c r="A59" s="146">
        <f t="shared" si="0"/>
        <v>59</v>
      </c>
      <c r="B59" s="37"/>
      <c r="C59" s="38"/>
      <c r="D59" s="38"/>
      <c r="E59" s="38"/>
      <c r="F59" s="38"/>
      <c r="G59" s="38"/>
      <c r="H59" s="38"/>
      <c r="I59" s="38"/>
      <c r="J59" s="90"/>
      <c r="K59" s="128"/>
      <c r="L59" s="2"/>
      <c r="M59" s="2"/>
      <c r="N59" s="2"/>
    </row>
    <row r="60" spans="1:14" ht="13.2" x14ac:dyDescent="0.25">
      <c r="A60" s="146">
        <f t="shared" si="0"/>
        <v>60</v>
      </c>
      <c r="B60" s="18"/>
      <c r="C60" s="19"/>
      <c r="D60" s="19"/>
      <c r="E60" s="19"/>
      <c r="F60" s="19"/>
      <c r="G60" s="14"/>
      <c r="H60" s="14"/>
      <c r="I60" s="14"/>
      <c r="J60" s="14"/>
      <c r="K60" s="2"/>
      <c r="L60" s="2"/>
      <c r="M60" s="2"/>
      <c r="N60" s="2"/>
    </row>
    <row r="61" spans="1:14" ht="13.2" x14ac:dyDescent="0.25">
      <c r="A61" s="146">
        <f t="shared" si="0"/>
        <v>61</v>
      </c>
      <c r="B61" s="13" t="s">
        <v>70</v>
      </c>
      <c r="C61" s="14"/>
      <c r="D61" s="92">
        <v>1825</v>
      </c>
      <c r="E61" s="14"/>
      <c r="F61" s="14"/>
      <c r="G61" s="14"/>
      <c r="H61" s="17"/>
      <c r="I61" s="19"/>
      <c r="J61" s="19"/>
      <c r="L61" s="2"/>
      <c r="M61" s="2"/>
      <c r="N61" s="2"/>
    </row>
    <row r="62" spans="1:14" ht="13.2" x14ac:dyDescent="0.25">
      <c r="A62" s="146">
        <f t="shared" si="0"/>
        <v>62</v>
      </c>
      <c r="B62" s="18" t="s">
        <v>81</v>
      </c>
      <c r="C62" s="19"/>
      <c r="D62" s="84">
        <v>4.4999999999999998E-2</v>
      </c>
      <c r="E62" s="19" t="s">
        <v>101</v>
      </c>
      <c r="F62" s="19"/>
      <c r="G62" s="19"/>
      <c r="H62" s="20"/>
      <c r="I62" s="19"/>
      <c r="J62" s="19"/>
      <c r="K62" s="2"/>
      <c r="L62" s="2"/>
      <c r="M62" s="2"/>
      <c r="N62" s="2"/>
    </row>
    <row r="63" spans="1:14" ht="13.2" x14ac:dyDescent="0.25">
      <c r="A63" s="146">
        <f t="shared" si="0"/>
        <v>63</v>
      </c>
      <c r="B63" s="18" t="s">
        <v>53</v>
      </c>
      <c r="C63" s="19"/>
      <c r="D63" s="8">
        <v>400</v>
      </c>
      <c r="E63" s="19"/>
      <c r="F63" s="19"/>
      <c r="G63" s="19"/>
      <c r="H63" s="20"/>
      <c r="I63" s="19"/>
      <c r="J63" s="19"/>
      <c r="K63" s="2"/>
      <c r="L63" s="2"/>
      <c r="M63" s="2"/>
      <c r="N63" s="2"/>
    </row>
    <row r="64" spans="1:14" ht="13.2" x14ac:dyDescent="0.25">
      <c r="A64" s="146">
        <f t="shared" si="0"/>
        <v>64</v>
      </c>
      <c r="B64" s="18" t="s">
        <v>78</v>
      </c>
      <c r="C64" s="19"/>
      <c r="D64" s="8">
        <v>25</v>
      </c>
      <c r="E64" s="19" t="s">
        <v>110</v>
      </c>
      <c r="F64" s="19"/>
      <c r="G64" s="19"/>
      <c r="H64" s="20"/>
      <c r="I64" s="19"/>
      <c r="J64" s="19"/>
      <c r="K64" s="2"/>
      <c r="L64" s="2"/>
      <c r="M64" s="2"/>
      <c r="N64" s="2"/>
    </row>
    <row r="65" spans="1:14" ht="13.2" x14ac:dyDescent="0.25">
      <c r="A65" s="146">
        <f t="shared" si="0"/>
        <v>65</v>
      </c>
      <c r="B65" s="18" t="s">
        <v>19</v>
      </c>
      <c r="C65" s="19"/>
      <c r="D65" s="28">
        <v>0.05</v>
      </c>
      <c r="E65" s="19" t="s">
        <v>111</v>
      </c>
      <c r="F65" s="19"/>
      <c r="G65" s="19"/>
      <c r="H65" s="20"/>
      <c r="I65" s="19"/>
      <c r="J65" s="57"/>
      <c r="K65" s="2"/>
      <c r="L65" s="2"/>
      <c r="M65" s="2"/>
      <c r="N65" s="2"/>
    </row>
    <row r="66" spans="1:14" ht="13.2" x14ac:dyDescent="0.25">
      <c r="A66" s="146">
        <f t="shared" si="0"/>
        <v>66</v>
      </c>
      <c r="B66" s="18" t="s">
        <v>126</v>
      </c>
      <c r="C66" s="19"/>
      <c r="D66" s="28">
        <v>0.05</v>
      </c>
      <c r="E66" s="19" t="s">
        <v>136</v>
      </c>
      <c r="F66" s="19"/>
      <c r="G66" s="19"/>
      <c r="H66" s="20"/>
      <c r="I66" s="19"/>
      <c r="J66" s="57"/>
      <c r="K66" s="80"/>
      <c r="L66" s="2"/>
      <c r="M66" s="2"/>
      <c r="N66" s="2"/>
    </row>
    <row r="67" spans="1:14" ht="13.2" x14ac:dyDescent="0.25">
      <c r="A67" s="146">
        <f t="shared" si="0"/>
        <v>67</v>
      </c>
      <c r="B67" s="18"/>
      <c r="C67" s="19"/>
      <c r="D67" s="19"/>
      <c r="E67" s="19"/>
      <c r="F67" s="19"/>
      <c r="G67" s="19"/>
      <c r="H67" s="20"/>
      <c r="I67" s="19"/>
      <c r="J67" s="19"/>
      <c r="K67" s="2"/>
      <c r="L67" s="2"/>
      <c r="M67" s="2"/>
      <c r="N67" s="2"/>
    </row>
    <row r="68" spans="1:14" ht="13.2" x14ac:dyDescent="0.25">
      <c r="A68" s="146">
        <f t="shared" si="0"/>
        <v>68</v>
      </c>
      <c r="B68" s="18"/>
      <c r="C68" s="19"/>
      <c r="D68" s="19"/>
      <c r="E68" s="19"/>
      <c r="F68" s="19"/>
      <c r="G68" s="19"/>
      <c r="H68" s="20"/>
      <c r="I68" s="19"/>
      <c r="J68" s="19"/>
      <c r="K68" s="2"/>
      <c r="L68" s="2"/>
      <c r="M68" s="2"/>
      <c r="N68" s="2"/>
    </row>
    <row r="69" spans="1:14" ht="13.2" x14ac:dyDescent="0.25">
      <c r="A69" s="146">
        <f t="shared" ref="A69:A133" si="5">A68+1</f>
        <v>69</v>
      </c>
      <c r="B69" s="18" t="s">
        <v>112</v>
      </c>
      <c r="C69" s="19"/>
      <c r="D69" s="34" t="s">
        <v>115</v>
      </c>
      <c r="E69" s="19" t="s">
        <v>151</v>
      </c>
      <c r="F69" s="19"/>
      <c r="G69" s="19"/>
      <c r="H69" s="20"/>
      <c r="I69" s="19"/>
      <c r="J69" s="19"/>
      <c r="K69" s="2"/>
      <c r="L69" s="2"/>
      <c r="M69" s="2"/>
      <c r="N69" s="2"/>
    </row>
    <row r="70" spans="1:14" ht="13.2" x14ac:dyDescent="0.25">
      <c r="A70" s="146">
        <f t="shared" si="5"/>
        <v>70</v>
      </c>
      <c r="B70" s="18"/>
      <c r="C70" s="19" t="s">
        <v>12</v>
      </c>
      <c r="D70" s="8">
        <v>25000</v>
      </c>
      <c r="E70" s="19" t="s">
        <v>152</v>
      </c>
      <c r="F70" s="19"/>
      <c r="G70" s="19"/>
      <c r="H70" s="20"/>
      <c r="I70" s="19"/>
      <c r="J70" s="19"/>
      <c r="K70" s="2"/>
      <c r="L70" s="2"/>
      <c r="M70" s="2"/>
      <c r="N70" s="2"/>
    </row>
    <row r="71" spans="1:14" ht="13.2" x14ac:dyDescent="0.25">
      <c r="A71" s="146">
        <f t="shared" si="5"/>
        <v>71</v>
      </c>
      <c r="B71" s="18"/>
      <c r="C71" s="19"/>
      <c r="D71" s="19"/>
      <c r="E71" s="19"/>
      <c r="F71" s="19"/>
      <c r="G71" s="19"/>
      <c r="H71" s="20"/>
      <c r="I71" s="19"/>
      <c r="J71" s="19"/>
      <c r="K71" s="2"/>
      <c r="L71" s="2"/>
      <c r="M71" s="2"/>
      <c r="N71" s="2"/>
    </row>
    <row r="72" spans="1:14" ht="13.2" x14ac:dyDescent="0.25">
      <c r="A72" s="146">
        <f t="shared" si="5"/>
        <v>72</v>
      </c>
      <c r="B72" s="18"/>
      <c r="C72" s="19" t="s">
        <v>10</v>
      </c>
      <c r="D72" s="8">
        <v>56000</v>
      </c>
      <c r="E72" s="36" t="s">
        <v>114</v>
      </c>
      <c r="F72" s="19" t="s">
        <v>153</v>
      </c>
      <c r="G72" s="19"/>
      <c r="H72" s="20"/>
      <c r="I72" s="19"/>
      <c r="J72" s="19"/>
      <c r="K72" s="2"/>
      <c r="L72" s="2"/>
      <c r="M72" s="2"/>
      <c r="N72" s="2"/>
    </row>
    <row r="73" spans="1:14" ht="13.2" x14ac:dyDescent="0.25">
      <c r="A73" s="146">
        <f t="shared" si="5"/>
        <v>73</v>
      </c>
      <c r="B73" s="18"/>
      <c r="C73" s="19" t="s">
        <v>83</v>
      </c>
      <c r="D73" s="8">
        <v>0</v>
      </c>
      <c r="E73" s="140">
        <v>1</v>
      </c>
      <c r="F73" s="19" t="s">
        <v>154</v>
      </c>
      <c r="G73" s="19"/>
      <c r="H73" s="20"/>
      <c r="I73" s="19"/>
      <c r="J73" s="19"/>
      <c r="K73" s="2"/>
      <c r="L73" s="2"/>
      <c r="M73" s="2"/>
      <c r="N73" s="2"/>
    </row>
    <row r="74" spans="1:14" ht="13.2" x14ac:dyDescent="0.25">
      <c r="A74" s="146">
        <f t="shared" si="5"/>
        <v>74</v>
      </c>
      <c r="B74" s="18"/>
      <c r="C74" s="19" t="s">
        <v>84</v>
      </c>
      <c r="D74" s="8">
        <v>0</v>
      </c>
      <c r="E74" s="140">
        <v>1</v>
      </c>
      <c r="F74" s="19"/>
      <c r="G74" s="19"/>
      <c r="H74" s="20"/>
      <c r="I74" s="19"/>
      <c r="J74" s="19"/>
      <c r="K74" s="2"/>
      <c r="L74" s="2"/>
      <c r="M74" s="2"/>
      <c r="N74" s="2"/>
    </row>
    <row r="75" spans="1:14" ht="13.2" x14ac:dyDescent="0.25">
      <c r="A75" s="146">
        <f t="shared" si="5"/>
        <v>75</v>
      </c>
      <c r="B75" s="18"/>
      <c r="C75" s="19" t="s">
        <v>25</v>
      </c>
      <c r="D75" s="8">
        <v>0</v>
      </c>
      <c r="E75" s="140">
        <v>1</v>
      </c>
      <c r="F75" s="19"/>
      <c r="G75" s="19"/>
      <c r="H75" s="20"/>
      <c r="I75" s="19"/>
      <c r="J75" s="19"/>
      <c r="K75" s="2"/>
      <c r="L75" s="2"/>
      <c r="M75" s="2"/>
      <c r="N75" s="2"/>
    </row>
    <row r="76" spans="1:14" ht="13.2" x14ac:dyDescent="0.25">
      <c r="A76" s="146">
        <f t="shared" si="5"/>
        <v>76</v>
      </c>
      <c r="B76" s="18" t="s">
        <v>45</v>
      </c>
      <c r="C76" s="19"/>
      <c r="D76" s="25">
        <v>0.35</v>
      </c>
      <c r="E76" s="19"/>
      <c r="F76" s="19"/>
      <c r="G76" s="19"/>
      <c r="H76" s="20"/>
      <c r="I76" s="19"/>
      <c r="J76" s="31"/>
      <c r="K76" s="2"/>
      <c r="L76" s="2"/>
      <c r="M76" s="2"/>
      <c r="N76" s="2"/>
    </row>
    <row r="77" spans="1:14" ht="13.2" x14ac:dyDescent="0.25">
      <c r="A77" s="146">
        <f t="shared" si="5"/>
        <v>77</v>
      </c>
      <c r="B77" s="33"/>
      <c r="C77" s="31"/>
      <c r="D77" s="31"/>
      <c r="E77" s="31"/>
      <c r="F77" s="31"/>
      <c r="G77" s="31"/>
      <c r="H77" s="32"/>
      <c r="I77" s="31"/>
      <c r="J77" s="19"/>
      <c r="K77" s="2"/>
      <c r="L77" s="2"/>
      <c r="M77" s="2"/>
      <c r="N77" s="2"/>
    </row>
    <row r="78" spans="1:14" x14ac:dyDescent="0.25">
      <c r="A78" s="146">
        <f t="shared" si="5"/>
        <v>78</v>
      </c>
      <c r="B78" s="61"/>
      <c r="C78" s="54"/>
      <c r="D78" s="54"/>
      <c r="E78" s="54"/>
      <c r="F78" s="54"/>
      <c r="G78" s="54"/>
      <c r="H78" s="62"/>
      <c r="I78" s="54"/>
      <c r="J78" s="54"/>
      <c r="K78" s="2"/>
      <c r="L78" s="2"/>
      <c r="M78" s="2"/>
      <c r="N78" s="2"/>
    </row>
    <row r="79" spans="1:14" ht="13.2" x14ac:dyDescent="0.25">
      <c r="A79" s="146">
        <f t="shared" si="5"/>
        <v>79</v>
      </c>
      <c r="B79" s="18"/>
      <c r="C79" s="88" t="s">
        <v>142</v>
      </c>
      <c r="D79" s="141" t="s">
        <v>143</v>
      </c>
      <c r="E79" s="35" t="s">
        <v>11</v>
      </c>
      <c r="F79" s="19"/>
      <c r="G79" s="19"/>
      <c r="H79" s="20"/>
      <c r="I79" s="19"/>
      <c r="J79" s="19"/>
      <c r="K79" s="2"/>
      <c r="L79" s="2"/>
      <c r="M79" s="2"/>
      <c r="N79" s="2"/>
    </row>
    <row r="80" spans="1:14" ht="13.2" x14ac:dyDescent="0.25">
      <c r="A80" s="146">
        <f t="shared" si="5"/>
        <v>80</v>
      </c>
      <c r="B80" s="18" t="s">
        <v>113</v>
      </c>
      <c r="C80" s="142" t="s">
        <v>144</v>
      </c>
      <c r="D80" s="143">
        <v>59</v>
      </c>
      <c r="E80" s="25">
        <v>1.2</v>
      </c>
      <c r="F80" s="19"/>
      <c r="G80" s="19"/>
      <c r="H80" s="20"/>
      <c r="I80" s="19"/>
      <c r="J80" s="19"/>
      <c r="K80" s="2"/>
      <c r="L80" s="2"/>
      <c r="M80" s="2"/>
      <c r="N80" s="2"/>
    </row>
    <row r="81" spans="1:18" ht="13.2" x14ac:dyDescent="0.25">
      <c r="A81" s="146">
        <f t="shared" si="5"/>
        <v>81</v>
      </c>
      <c r="B81" s="18"/>
      <c r="C81" s="142" t="s">
        <v>145</v>
      </c>
      <c r="D81" s="143">
        <v>119</v>
      </c>
      <c r="E81" s="25">
        <v>1.5</v>
      </c>
      <c r="F81" s="19"/>
      <c r="G81" s="19"/>
      <c r="H81" s="20"/>
      <c r="I81" s="19"/>
      <c r="J81" s="19"/>
      <c r="K81" s="2"/>
      <c r="L81" s="2"/>
      <c r="M81" s="2"/>
      <c r="N81" s="2"/>
    </row>
    <row r="82" spans="1:18" ht="13.2" x14ac:dyDescent="0.25">
      <c r="A82" s="146">
        <f t="shared" si="5"/>
        <v>82</v>
      </c>
      <c r="B82" s="18"/>
      <c r="C82" s="142" t="s">
        <v>146</v>
      </c>
      <c r="D82" s="143">
        <v>179</v>
      </c>
      <c r="E82" s="25">
        <v>2</v>
      </c>
      <c r="F82" s="19"/>
      <c r="G82" s="19"/>
      <c r="H82" s="20"/>
      <c r="I82" s="19"/>
      <c r="J82" s="19"/>
      <c r="K82" s="2"/>
      <c r="L82" s="2"/>
      <c r="M82" s="2"/>
      <c r="N82" s="2"/>
    </row>
    <row r="83" spans="1:18" ht="13.2" x14ac:dyDescent="0.25">
      <c r="A83" s="146">
        <f t="shared" si="5"/>
        <v>83</v>
      </c>
      <c r="B83" s="18"/>
      <c r="C83" s="144" t="s">
        <v>147</v>
      </c>
      <c r="D83" s="145">
        <v>180</v>
      </c>
      <c r="E83" s="25">
        <v>2.5</v>
      </c>
      <c r="F83" s="19"/>
      <c r="G83" s="19"/>
      <c r="H83" s="20"/>
      <c r="I83" s="19"/>
      <c r="J83" s="19"/>
      <c r="K83" s="2"/>
      <c r="L83" s="2"/>
      <c r="M83" s="2"/>
      <c r="N83" s="2"/>
    </row>
    <row r="84" spans="1:18" ht="13.2" x14ac:dyDescent="0.25">
      <c r="A84" s="146">
        <f t="shared" si="5"/>
        <v>84</v>
      </c>
      <c r="B84" s="18"/>
      <c r="F84" s="19"/>
      <c r="G84" s="19"/>
      <c r="H84" s="20"/>
      <c r="I84" s="19"/>
      <c r="J84" s="19"/>
      <c r="K84" s="2"/>
      <c r="L84" s="2"/>
      <c r="M84" s="2"/>
      <c r="N84" s="2"/>
    </row>
    <row r="85" spans="1:18" ht="13.2" x14ac:dyDescent="0.25">
      <c r="A85" s="146">
        <f t="shared" si="5"/>
        <v>85</v>
      </c>
      <c r="B85" s="18" t="s">
        <v>16</v>
      </c>
      <c r="C85" s="19"/>
      <c r="D85" s="34" t="s">
        <v>140</v>
      </c>
      <c r="E85" s="35" t="s">
        <v>35</v>
      </c>
      <c r="F85" s="19"/>
      <c r="G85" s="19"/>
      <c r="H85" s="20"/>
      <c r="I85" s="19"/>
      <c r="J85" s="19"/>
      <c r="K85" s="2"/>
      <c r="L85" s="2"/>
      <c r="M85" s="2"/>
      <c r="N85" s="2"/>
    </row>
    <row r="86" spans="1:18" ht="13.2" x14ac:dyDescent="0.25">
      <c r="A86" s="146">
        <f t="shared" si="5"/>
        <v>86</v>
      </c>
      <c r="B86" s="18"/>
      <c r="C86" s="19"/>
      <c r="D86" s="8">
        <v>35000</v>
      </c>
      <c r="E86" s="8">
        <v>3000</v>
      </c>
      <c r="F86" s="19"/>
      <c r="G86" s="19"/>
      <c r="H86" s="20"/>
      <c r="I86" s="19"/>
      <c r="J86" s="19"/>
      <c r="K86" s="2"/>
      <c r="L86" s="2"/>
      <c r="M86" s="2"/>
      <c r="N86" s="2"/>
    </row>
    <row r="87" spans="1:18" ht="13.2" x14ac:dyDescent="0.25">
      <c r="A87" s="146">
        <f t="shared" si="5"/>
        <v>87</v>
      </c>
      <c r="B87" s="18"/>
      <c r="C87" s="19"/>
      <c r="D87" s="19"/>
      <c r="E87" s="19"/>
      <c r="F87" s="19"/>
      <c r="G87" s="19"/>
      <c r="H87" s="20"/>
      <c r="I87" s="19"/>
      <c r="J87" s="31"/>
      <c r="K87" s="2"/>
      <c r="L87" s="2"/>
      <c r="M87" s="2"/>
      <c r="N87" s="2"/>
    </row>
    <row r="88" spans="1:18" ht="13.2" x14ac:dyDescent="0.25">
      <c r="A88" s="146">
        <f t="shared" si="5"/>
        <v>88</v>
      </c>
      <c r="B88" s="18"/>
      <c r="C88" s="19"/>
      <c r="D88" s="34" t="s">
        <v>140</v>
      </c>
      <c r="E88" s="35" t="s">
        <v>35</v>
      </c>
      <c r="F88" s="19"/>
      <c r="G88" s="19"/>
      <c r="H88" s="20"/>
      <c r="I88" s="19"/>
      <c r="J88" s="19"/>
      <c r="K88" s="2"/>
      <c r="L88" s="2"/>
      <c r="M88" s="2"/>
      <c r="N88" s="2"/>
    </row>
    <row r="89" spans="1:18" ht="13.2" x14ac:dyDescent="0.25">
      <c r="A89" s="146">
        <f t="shared" si="5"/>
        <v>89</v>
      </c>
      <c r="B89" s="18" t="s">
        <v>34</v>
      </c>
      <c r="C89" s="19"/>
      <c r="D89" s="8">
        <v>4000</v>
      </c>
      <c r="E89" s="8">
        <v>2500</v>
      </c>
      <c r="F89" s="19"/>
      <c r="G89" s="19"/>
      <c r="H89" s="20"/>
      <c r="I89" s="19"/>
      <c r="J89" s="31"/>
      <c r="K89" s="2"/>
      <c r="L89" s="2"/>
      <c r="M89" s="2"/>
      <c r="N89" s="2"/>
    </row>
    <row r="90" spans="1:18" ht="13.2" x14ac:dyDescent="0.25">
      <c r="A90" s="146">
        <f t="shared" si="5"/>
        <v>90</v>
      </c>
      <c r="B90" s="18"/>
      <c r="C90" s="19"/>
      <c r="D90" s="19"/>
      <c r="E90" s="19"/>
      <c r="F90" s="19"/>
      <c r="G90" s="19"/>
      <c r="H90" s="20"/>
      <c r="I90" s="19"/>
      <c r="J90" s="31"/>
      <c r="K90" s="2"/>
      <c r="L90" s="2"/>
      <c r="M90" s="2"/>
      <c r="N90" s="2"/>
    </row>
    <row r="91" spans="1:18" ht="13.2" x14ac:dyDescent="0.25">
      <c r="A91" s="146">
        <f t="shared" si="5"/>
        <v>91</v>
      </c>
      <c r="B91" s="18"/>
      <c r="C91" s="19"/>
      <c r="D91" s="34" t="s">
        <v>140</v>
      </c>
      <c r="E91" s="35" t="s">
        <v>35</v>
      </c>
      <c r="F91" s="19"/>
      <c r="G91" s="19"/>
      <c r="H91" s="20"/>
      <c r="I91" s="19"/>
      <c r="J91" s="31"/>
      <c r="K91" s="2"/>
      <c r="L91" s="2"/>
      <c r="M91" s="2"/>
      <c r="N91" s="2"/>
    </row>
    <row r="92" spans="1:18" ht="13.2" x14ac:dyDescent="0.25">
      <c r="A92" s="146">
        <f t="shared" si="5"/>
        <v>92</v>
      </c>
      <c r="B92" s="18" t="s">
        <v>52</v>
      </c>
      <c r="C92" s="19"/>
      <c r="D92" s="8">
        <v>2500</v>
      </c>
      <c r="E92" s="8">
        <v>1000</v>
      </c>
      <c r="F92" s="19"/>
      <c r="G92" s="19"/>
      <c r="H92" s="20"/>
      <c r="I92" s="19"/>
      <c r="J92" s="31"/>
      <c r="K92" s="2"/>
      <c r="L92" s="2"/>
      <c r="M92" s="2"/>
      <c r="N92" s="2"/>
    </row>
    <row r="93" spans="1:18" ht="13.2" x14ac:dyDescent="0.25">
      <c r="A93" s="146">
        <f t="shared" si="5"/>
        <v>93</v>
      </c>
      <c r="B93" s="18"/>
      <c r="C93" s="19"/>
      <c r="D93" s="27"/>
      <c r="E93" s="19"/>
      <c r="F93" s="19"/>
      <c r="G93" s="19"/>
      <c r="H93" s="20"/>
      <c r="I93" s="19"/>
      <c r="J93" s="31"/>
      <c r="K93" s="2"/>
      <c r="L93" s="2"/>
      <c r="M93" s="2"/>
      <c r="N93" s="2"/>
    </row>
    <row r="94" spans="1:18" ht="13.2" x14ac:dyDescent="0.25">
      <c r="A94" s="146">
        <f t="shared" si="5"/>
        <v>94</v>
      </c>
      <c r="B94" s="18"/>
      <c r="C94" s="19"/>
      <c r="D94" s="22" t="s">
        <v>2</v>
      </c>
      <c r="E94" s="22" t="s">
        <v>17</v>
      </c>
      <c r="F94" s="19"/>
      <c r="G94" s="19"/>
      <c r="H94" s="20"/>
      <c r="I94" s="19"/>
      <c r="J94" s="19"/>
      <c r="K94" s="2"/>
      <c r="L94" s="2"/>
      <c r="M94" s="2"/>
      <c r="N94" s="2"/>
    </row>
    <row r="95" spans="1:18" ht="13.2" x14ac:dyDescent="0.25">
      <c r="A95" s="146">
        <f t="shared" si="5"/>
        <v>95</v>
      </c>
      <c r="B95" s="37" t="s">
        <v>13</v>
      </c>
      <c r="C95" s="38"/>
      <c r="D95" s="40">
        <v>20000</v>
      </c>
      <c r="E95" s="40">
        <v>10000</v>
      </c>
      <c r="F95" s="38"/>
      <c r="G95" s="38"/>
      <c r="H95" s="90"/>
      <c r="I95" s="19"/>
      <c r="J95" s="31"/>
      <c r="K95" s="2"/>
      <c r="L95" s="2"/>
      <c r="M95" s="2"/>
      <c r="N95" s="2"/>
    </row>
    <row r="96" spans="1:18" ht="13.2" x14ac:dyDescent="0.25">
      <c r="A96" s="146">
        <f t="shared" si="5"/>
        <v>96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2"/>
      <c r="N96" s="2"/>
      <c r="O96" s="2"/>
      <c r="P96" s="2"/>
      <c r="Q96" s="2"/>
      <c r="R96" s="2"/>
    </row>
    <row r="97" spans="1:18" ht="13.2" x14ac:dyDescent="0.25">
      <c r="A97" s="146">
        <f t="shared" si="5"/>
        <v>97</v>
      </c>
      <c r="B97" s="13" t="s">
        <v>128</v>
      </c>
      <c r="C97" s="14"/>
      <c r="D97" s="14"/>
      <c r="E97" s="14"/>
      <c r="F97" s="14"/>
      <c r="G97" s="14"/>
      <c r="H97" s="17"/>
      <c r="I97" s="12"/>
      <c r="J97" s="12"/>
      <c r="K97" s="12"/>
      <c r="L97" s="12"/>
      <c r="M97" s="2"/>
      <c r="N97" s="2"/>
      <c r="O97" s="2"/>
      <c r="P97" s="2"/>
      <c r="Q97" s="2"/>
      <c r="R97" s="2"/>
    </row>
    <row r="98" spans="1:18" ht="13.2" x14ac:dyDescent="0.25">
      <c r="A98" s="146">
        <f t="shared" si="5"/>
        <v>98</v>
      </c>
      <c r="B98" s="18"/>
      <c r="C98" s="19" t="s">
        <v>155</v>
      </c>
      <c r="D98" s="19"/>
      <c r="E98" s="19"/>
      <c r="F98" s="19"/>
      <c r="G98" s="19"/>
      <c r="H98" s="20"/>
      <c r="I98" s="12"/>
      <c r="J98" s="12"/>
      <c r="K98" s="12"/>
      <c r="L98" s="12"/>
      <c r="M98" s="2"/>
      <c r="N98" s="2"/>
      <c r="O98" s="2"/>
      <c r="P98" s="2"/>
      <c r="Q98" s="2"/>
      <c r="R98" s="2"/>
    </row>
    <row r="99" spans="1:18" ht="13.2" x14ac:dyDescent="0.25">
      <c r="A99" s="146">
        <f t="shared" si="5"/>
        <v>99</v>
      </c>
      <c r="B99" s="18"/>
      <c r="C99" s="19" t="s">
        <v>156</v>
      </c>
      <c r="D99" s="19"/>
      <c r="E99" s="19"/>
      <c r="F99" s="19"/>
      <c r="G99" s="19"/>
      <c r="H99" s="20"/>
      <c r="I99" s="12"/>
      <c r="J99" s="12"/>
      <c r="K99" s="12"/>
      <c r="L99" s="12"/>
      <c r="M99" s="2"/>
      <c r="N99" s="2"/>
      <c r="O99" s="2"/>
      <c r="P99" s="2"/>
      <c r="Q99" s="2"/>
      <c r="R99" s="2"/>
    </row>
    <row r="100" spans="1:18" ht="13.2" x14ac:dyDescent="0.25">
      <c r="A100" s="146">
        <f t="shared" si="5"/>
        <v>100</v>
      </c>
      <c r="B100" s="37"/>
      <c r="C100" s="38" t="s">
        <v>129</v>
      </c>
      <c r="D100" s="38"/>
      <c r="E100" s="38"/>
      <c r="F100" s="38"/>
      <c r="G100" s="38"/>
      <c r="H100" s="90"/>
      <c r="I100" s="12"/>
      <c r="J100" s="12"/>
      <c r="K100" s="12"/>
      <c r="L100" s="12"/>
      <c r="M100" s="2"/>
      <c r="N100" s="2"/>
      <c r="O100" s="2"/>
      <c r="P100" s="2"/>
      <c r="Q100" s="2"/>
      <c r="R100" s="2"/>
    </row>
    <row r="101" spans="1:18" ht="13.2" x14ac:dyDescent="0.25">
      <c r="A101" s="146">
        <f t="shared" si="5"/>
        <v>101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2"/>
      <c r="N101" s="2"/>
      <c r="O101" s="2"/>
      <c r="P101" s="2"/>
      <c r="Q101" s="2"/>
      <c r="R101" s="2"/>
    </row>
    <row r="102" spans="1:18" ht="13.2" x14ac:dyDescent="0.25">
      <c r="A102" s="146">
        <f t="shared" si="5"/>
        <v>102</v>
      </c>
      <c r="B102" s="41" t="s">
        <v>8</v>
      </c>
      <c r="C102" s="41"/>
      <c r="D102" s="41"/>
      <c r="E102" s="41"/>
      <c r="F102" s="41"/>
      <c r="G102" s="41"/>
      <c r="H102" s="41"/>
      <c r="I102" s="12"/>
      <c r="J102" s="12"/>
      <c r="K102" s="12"/>
      <c r="L102" s="12"/>
      <c r="M102" s="2"/>
      <c r="N102" s="2"/>
      <c r="O102" s="2"/>
      <c r="P102" s="2"/>
      <c r="Q102" s="2"/>
      <c r="R102" s="2"/>
    </row>
    <row r="103" spans="1:18" ht="13.2" x14ac:dyDescent="0.25">
      <c r="A103" s="146">
        <f t="shared" si="5"/>
        <v>103</v>
      </c>
      <c r="B103" s="41" t="s">
        <v>29</v>
      </c>
      <c r="C103" s="41"/>
      <c r="D103" s="41"/>
      <c r="E103" s="41"/>
      <c r="F103" s="41"/>
      <c r="G103" s="41"/>
      <c r="H103" s="41"/>
      <c r="I103" s="12"/>
      <c r="J103" s="12"/>
      <c r="K103" s="12"/>
      <c r="L103" s="12"/>
      <c r="M103" s="2"/>
      <c r="N103" s="2"/>
      <c r="O103" s="2"/>
      <c r="P103" s="2"/>
      <c r="Q103" s="2"/>
      <c r="R103" s="2"/>
    </row>
    <row r="104" spans="1:18" s="65" customFormat="1" ht="15.6" x14ac:dyDescent="0.25">
      <c r="A104" s="146">
        <f t="shared" si="5"/>
        <v>104</v>
      </c>
      <c r="B104" s="66"/>
      <c r="C104" s="67"/>
      <c r="D104" s="67"/>
      <c r="E104" s="67"/>
      <c r="F104" s="67"/>
      <c r="G104" s="101" t="s">
        <v>102</v>
      </c>
      <c r="H104" s="68"/>
      <c r="I104" s="67"/>
      <c r="J104" s="67"/>
      <c r="K104" s="67"/>
      <c r="L104" s="67"/>
      <c r="M104" s="69"/>
      <c r="N104"/>
      <c r="O104"/>
      <c r="P104"/>
      <c r="Q104"/>
      <c r="R104"/>
    </row>
    <row r="105" spans="1:18" ht="13.2" x14ac:dyDescent="0.25">
      <c r="A105" s="146">
        <f t="shared" si="5"/>
        <v>105</v>
      </c>
      <c r="B105" s="13"/>
      <c r="C105" s="14"/>
      <c r="D105" s="14"/>
      <c r="E105" s="14"/>
      <c r="F105" s="16" t="s">
        <v>20</v>
      </c>
      <c r="G105" s="16" t="s">
        <v>20</v>
      </c>
      <c r="H105" s="16" t="s">
        <v>20</v>
      </c>
      <c r="I105" s="16" t="s">
        <v>20</v>
      </c>
      <c r="J105" s="16" t="s">
        <v>20</v>
      </c>
      <c r="K105" s="16" t="s">
        <v>20</v>
      </c>
      <c r="L105" s="16" t="s">
        <v>20</v>
      </c>
      <c r="M105" s="16" t="s">
        <v>20</v>
      </c>
      <c r="N105" s="16" t="s">
        <v>20</v>
      </c>
    </row>
    <row r="106" spans="1:18" ht="13.2" x14ac:dyDescent="0.25">
      <c r="A106" s="146">
        <f t="shared" si="5"/>
        <v>106</v>
      </c>
      <c r="B106" s="9" t="s">
        <v>1</v>
      </c>
      <c r="C106" s="10"/>
      <c r="D106" s="43"/>
      <c r="E106" s="31"/>
      <c r="F106" s="22">
        <v>0</v>
      </c>
      <c r="G106" s="22">
        <v>1</v>
      </c>
      <c r="H106" s="22">
        <v>2</v>
      </c>
      <c r="I106" s="22">
        <v>3</v>
      </c>
      <c r="J106" s="22">
        <v>4</v>
      </c>
      <c r="K106" s="70">
        <v>5</v>
      </c>
      <c r="L106" s="70">
        <v>6</v>
      </c>
      <c r="M106" s="70">
        <v>7</v>
      </c>
      <c r="N106" s="70">
        <v>8</v>
      </c>
    </row>
    <row r="107" spans="1:18" ht="13.2" x14ac:dyDescent="0.25">
      <c r="A107" s="146">
        <f t="shared" si="5"/>
        <v>107</v>
      </c>
      <c r="B107" s="18"/>
      <c r="C107" s="19"/>
      <c r="D107" s="19"/>
      <c r="E107" s="19"/>
      <c r="F107" s="36"/>
      <c r="G107" s="36"/>
      <c r="H107" s="36"/>
      <c r="I107" s="36"/>
      <c r="J107" s="36"/>
      <c r="K107" s="36"/>
      <c r="L107" s="36"/>
      <c r="M107" s="54"/>
      <c r="N107" s="54"/>
    </row>
    <row r="108" spans="1:18" ht="13.2" x14ac:dyDescent="0.25">
      <c r="A108" s="146">
        <f t="shared" si="5"/>
        <v>108</v>
      </c>
      <c r="B108" s="18" t="s">
        <v>9</v>
      </c>
      <c r="C108" s="19"/>
      <c r="D108" s="19"/>
      <c r="E108" s="19"/>
      <c r="F108" s="29"/>
      <c r="G108" s="29">
        <f t="shared" ref="G108:M108" si="6">D58</f>
        <v>40</v>
      </c>
      <c r="H108" s="29">
        <f t="shared" si="6"/>
        <v>46</v>
      </c>
      <c r="I108" s="29">
        <f t="shared" si="6"/>
        <v>49.220000000000006</v>
      </c>
      <c r="J108" s="29">
        <f t="shared" si="6"/>
        <v>51.188800000000008</v>
      </c>
      <c r="K108" s="29">
        <f t="shared" si="6"/>
        <v>53.236352000000011</v>
      </c>
      <c r="L108" s="29">
        <f t="shared" si="6"/>
        <v>55.365806080000013</v>
      </c>
      <c r="M108" s="29">
        <f t="shared" si="6"/>
        <v>57.026780262400017</v>
      </c>
      <c r="N108" s="29"/>
    </row>
    <row r="109" spans="1:18" ht="13.2" x14ac:dyDescent="0.25">
      <c r="A109" s="146">
        <f t="shared" si="5"/>
        <v>109</v>
      </c>
      <c r="B109" s="18"/>
      <c r="C109" s="19" t="s">
        <v>37</v>
      </c>
      <c r="D109" s="19"/>
      <c r="E109" s="19"/>
      <c r="F109" s="29"/>
      <c r="G109" s="29">
        <f t="shared" ref="G109:M109" si="7">G108*12</f>
        <v>480</v>
      </c>
      <c r="H109" s="29">
        <f t="shared" si="7"/>
        <v>552</v>
      </c>
      <c r="I109" s="29">
        <f t="shared" si="7"/>
        <v>590.6400000000001</v>
      </c>
      <c r="J109" s="29">
        <f t="shared" si="7"/>
        <v>614.26560000000006</v>
      </c>
      <c r="K109" s="29">
        <f t="shared" si="7"/>
        <v>638.83622400000013</v>
      </c>
      <c r="L109" s="29">
        <f t="shared" si="7"/>
        <v>664.3896729600001</v>
      </c>
      <c r="M109" s="29">
        <f t="shared" si="7"/>
        <v>684.32136314880017</v>
      </c>
      <c r="N109" s="54"/>
    </row>
    <row r="110" spans="1:18" ht="13.2" x14ac:dyDescent="0.25">
      <c r="A110" s="146">
        <f t="shared" si="5"/>
        <v>110</v>
      </c>
      <c r="B110" s="18" t="s">
        <v>24</v>
      </c>
      <c r="C110" s="19"/>
      <c r="D110" s="19"/>
      <c r="E110" s="19"/>
      <c r="F110" s="29"/>
      <c r="G110" s="29">
        <f>$D61</f>
        <v>1825</v>
      </c>
      <c r="H110" s="29">
        <f t="shared" ref="H110:M110" si="8">$D61</f>
        <v>1825</v>
      </c>
      <c r="I110" s="29">
        <f t="shared" si="8"/>
        <v>1825</v>
      </c>
      <c r="J110" s="29">
        <f t="shared" si="8"/>
        <v>1825</v>
      </c>
      <c r="K110" s="29">
        <f t="shared" si="8"/>
        <v>1825</v>
      </c>
      <c r="L110" s="29">
        <f t="shared" si="8"/>
        <v>1825</v>
      </c>
      <c r="M110" s="29">
        <f t="shared" si="8"/>
        <v>1825</v>
      </c>
      <c r="N110" s="29"/>
    </row>
    <row r="111" spans="1:18" ht="13.2" x14ac:dyDescent="0.25">
      <c r="A111" s="146">
        <f t="shared" si="5"/>
        <v>111</v>
      </c>
      <c r="B111" s="71"/>
      <c r="C111" s="57"/>
      <c r="D111" s="57"/>
      <c r="E111" s="57"/>
      <c r="F111" s="58"/>
      <c r="G111" s="27"/>
      <c r="H111" s="27"/>
      <c r="I111" s="27"/>
      <c r="J111" s="27"/>
      <c r="K111" s="27"/>
      <c r="L111" s="27"/>
      <c r="M111" s="54"/>
      <c r="N111" s="54"/>
    </row>
    <row r="112" spans="1:18" ht="13.2" x14ac:dyDescent="0.25">
      <c r="A112" s="146">
        <f t="shared" si="5"/>
        <v>112</v>
      </c>
      <c r="B112" s="18" t="s">
        <v>118</v>
      </c>
      <c r="C112" s="19"/>
      <c r="D112" s="19"/>
      <c r="E112" s="19"/>
      <c r="F112" s="29"/>
      <c r="G112" s="27">
        <f t="shared" ref="G112:M112" si="9">G109*G110</f>
        <v>876000</v>
      </c>
      <c r="H112" s="27">
        <f t="shared" si="9"/>
        <v>1007400</v>
      </c>
      <c r="I112" s="27">
        <f t="shared" si="9"/>
        <v>1077918.0000000002</v>
      </c>
      <c r="J112" s="27">
        <f t="shared" si="9"/>
        <v>1121034.7200000002</v>
      </c>
      <c r="K112" s="27">
        <f t="shared" si="9"/>
        <v>1165876.1088000003</v>
      </c>
      <c r="L112" s="27">
        <f t="shared" si="9"/>
        <v>1212511.1531520002</v>
      </c>
      <c r="M112" s="27">
        <f t="shared" si="9"/>
        <v>1248886.4877465602</v>
      </c>
      <c r="N112" s="27"/>
    </row>
    <row r="113" spans="1:18" ht="13.8" thickBot="1" x14ac:dyDescent="0.3">
      <c r="A113" s="146">
        <f t="shared" si="5"/>
        <v>113</v>
      </c>
      <c r="B113" s="72" t="s">
        <v>119</v>
      </c>
      <c r="C113" s="44"/>
      <c r="D113" s="44"/>
      <c r="E113" s="44"/>
      <c r="F113" s="45"/>
      <c r="G113" s="46">
        <f>$D65*G112</f>
        <v>43800</v>
      </c>
      <c r="H113" s="46">
        <f t="shared" ref="H113:M113" si="10">$D65*H112</f>
        <v>50370</v>
      </c>
      <c r="I113" s="46">
        <f t="shared" si="10"/>
        <v>53895.900000000016</v>
      </c>
      <c r="J113" s="46">
        <f t="shared" si="10"/>
        <v>56051.736000000012</v>
      </c>
      <c r="K113" s="46">
        <f t="shared" si="10"/>
        <v>58293.805440000018</v>
      </c>
      <c r="L113" s="46">
        <f t="shared" si="10"/>
        <v>60625.557657600009</v>
      </c>
      <c r="M113" s="46">
        <f t="shared" si="10"/>
        <v>62444.324387328015</v>
      </c>
      <c r="N113" s="46"/>
    </row>
    <row r="114" spans="1:18" s="5" customFormat="1" ht="13.8" thickTop="1" x14ac:dyDescent="0.25">
      <c r="A114" s="146">
        <f t="shared" si="5"/>
        <v>114</v>
      </c>
      <c r="B114" s="73" t="s">
        <v>117</v>
      </c>
      <c r="C114" s="53"/>
      <c r="D114" s="53"/>
      <c r="E114" s="53"/>
      <c r="F114" s="47"/>
      <c r="G114" s="47">
        <f>(G112-G113)*0.75</f>
        <v>624150</v>
      </c>
      <c r="H114" s="47">
        <f t="shared" ref="H114:N114" si="11">((G112-G113)*0.25)+((H112-H113)*0.75)</f>
        <v>925822.5</v>
      </c>
      <c r="I114" s="47">
        <f t="shared" si="11"/>
        <v>1007274.0750000002</v>
      </c>
      <c r="J114" s="47">
        <f t="shared" si="11"/>
        <v>1054742.7630000003</v>
      </c>
      <c r="K114" s="47">
        <f t="shared" si="11"/>
        <v>1096932.4735200002</v>
      </c>
      <c r="L114" s="47">
        <f t="shared" si="11"/>
        <v>1140809.7724608001</v>
      </c>
      <c r="M114" s="47">
        <f t="shared" si="11"/>
        <v>1177803.0213930244</v>
      </c>
      <c r="N114" s="47">
        <f t="shared" si="11"/>
        <v>296610.54083980806</v>
      </c>
      <c r="O114"/>
      <c r="P114"/>
      <c r="Q114"/>
      <c r="R114"/>
    </row>
    <row r="115" spans="1:18" ht="13.2" x14ac:dyDescent="0.25">
      <c r="A115" s="146">
        <f t="shared" si="5"/>
        <v>115</v>
      </c>
      <c r="B115" s="18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54"/>
      <c r="N115" s="54"/>
    </row>
    <row r="116" spans="1:18" ht="13.2" x14ac:dyDescent="0.25">
      <c r="A116" s="146">
        <f t="shared" si="5"/>
        <v>116</v>
      </c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4"/>
      <c r="N116" s="54"/>
    </row>
    <row r="117" spans="1:18" ht="13.2" x14ac:dyDescent="0.25">
      <c r="A117" s="146">
        <f t="shared" si="5"/>
        <v>117</v>
      </c>
      <c r="B117" s="9" t="s">
        <v>6</v>
      </c>
      <c r="C117" s="48"/>
      <c r="D117" s="11"/>
      <c r="E117" s="19"/>
      <c r="F117" s="22"/>
      <c r="G117" s="22"/>
      <c r="H117" s="22"/>
      <c r="I117" s="22"/>
      <c r="J117" s="22"/>
      <c r="K117" s="22"/>
      <c r="L117" s="19"/>
      <c r="M117" s="54"/>
      <c r="N117" s="54"/>
    </row>
    <row r="118" spans="1:18" ht="13.2" x14ac:dyDescent="0.25">
      <c r="A118" s="146">
        <f t="shared" si="5"/>
        <v>118</v>
      </c>
      <c r="B118" s="33" t="s">
        <v>40</v>
      </c>
      <c r="C118" s="31"/>
      <c r="D118" s="31"/>
      <c r="E118" s="31"/>
      <c r="F118" s="22"/>
      <c r="G118" s="22"/>
      <c r="H118" s="22"/>
      <c r="I118" s="22"/>
      <c r="J118" s="22"/>
      <c r="K118" s="22"/>
      <c r="L118" s="31"/>
      <c r="M118" s="54"/>
      <c r="N118" s="54"/>
    </row>
    <row r="119" spans="1:18" ht="13.2" x14ac:dyDescent="0.25">
      <c r="A119" s="146">
        <f t="shared" si="5"/>
        <v>119</v>
      </c>
      <c r="B119" s="18" t="s">
        <v>58</v>
      </c>
      <c r="C119" s="19"/>
      <c r="D119" s="19"/>
      <c r="E119" s="19"/>
      <c r="F119" s="27"/>
      <c r="G119" s="27">
        <f t="shared" ref="G119:M119" si="12">IF($E15&gt;0,IF($E10&gt;0,"Lease or Loan?",-SUM(C28:C29)),-SUM(C28:C29))</f>
        <v>-260000</v>
      </c>
      <c r="H119" s="27">
        <f t="shared" si="12"/>
        <v>-260000</v>
      </c>
      <c r="I119" s="27">
        <f t="shared" si="12"/>
        <v>-260000</v>
      </c>
      <c r="J119" s="27">
        <f t="shared" si="12"/>
        <v>-260000</v>
      </c>
      <c r="K119" s="27">
        <f t="shared" si="12"/>
        <v>-260000</v>
      </c>
      <c r="L119" s="27">
        <f t="shared" si="12"/>
        <v>0</v>
      </c>
      <c r="M119" s="27">
        <f t="shared" si="12"/>
        <v>0</v>
      </c>
      <c r="N119" s="27">
        <v>0</v>
      </c>
    </row>
    <row r="120" spans="1:18" ht="13.2" x14ac:dyDescent="0.25">
      <c r="A120" s="146">
        <f t="shared" si="5"/>
        <v>120</v>
      </c>
      <c r="B120" s="18" t="s">
        <v>69</v>
      </c>
      <c r="C120" s="19"/>
      <c r="D120" s="19"/>
      <c r="E120" s="19"/>
      <c r="F120" s="27"/>
      <c r="G120" s="27"/>
      <c r="H120" s="27">
        <f>-'PET Financial Worksheet'!$E22</f>
        <v>-125000</v>
      </c>
      <c r="I120" s="27">
        <f>H120*(1+$E23)</f>
        <v>-128750</v>
      </c>
      <c r="J120" s="27">
        <f>I120*(1+$E23)</f>
        <v>-132612.5</v>
      </c>
      <c r="K120" s="27">
        <f>J120*(1+$E23)</f>
        <v>-136590.875</v>
      </c>
      <c r="L120" s="27">
        <f>K120*(1+$E23)</f>
        <v>-140688.60125000001</v>
      </c>
      <c r="M120" s="27">
        <f>L120*(1+$E23)</f>
        <v>-144909.2592875</v>
      </c>
      <c r="N120" s="27">
        <v>0</v>
      </c>
    </row>
    <row r="121" spans="1:18" ht="13.2" x14ac:dyDescent="0.25">
      <c r="A121" s="146">
        <f t="shared" si="5"/>
        <v>121</v>
      </c>
      <c r="B121" s="18"/>
      <c r="C121" s="19"/>
      <c r="D121" s="19"/>
      <c r="E121" s="19"/>
      <c r="F121" s="27"/>
      <c r="G121" s="27"/>
      <c r="H121" s="27"/>
      <c r="I121" s="27"/>
      <c r="J121" s="27"/>
      <c r="K121" s="27"/>
      <c r="L121" s="27"/>
      <c r="M121" s="27"/>
      <c r="N121" s="27"/>
    </row>
    <row r="122" spans="1:18" ht="13.2" x14ac:dyDescent="0.25">
      <c r="A122" s="146">
        <f t="shared" si="5"/>
        <v>122</v>
      </c>
      <c r="B122" s="18" t="s">
        <v>116</v>
      </c>
      <c r="C122" s="19"/>
      <c r="D122" s="19"/>
      <c r="E122" s="19"/>
      <c r="F122" s="27"/>
      <c r="G122" s="27">
        <f t="shared" ref="G122:M122" si="13">-SUM(C30:C30)</f>
        <v>-36583.604166206118</v>
      </c>
      <c r="H122" s="27">
        <f t="shared" si="13"/>
        <v>-36583.604166206118</v>
      </c>
      <c r="I122" s="27">
        <f t="shared" si="13"/>
        <v>-36583.604166206118</v>
      </c>
      <c r="J122" s="27">
        <f t="shared" si="13"/>
        <v>-36583.604166206118</v>
      </c>
      <c r="K122" s="27">
        <f t="shared" si="13"/>
        <v>-36583.604166206118</v>
      </c>
      <c r="L122" s="27">
        <f t="shared" si="13"/>
        <v>0</v>
      </c>
      <c r="M122" s="27">
        <f t="shared" si="13"/>
        <v>0</v>
      </c>
      <c r="N122" s="27">
        <v>0</v>
      </c>
    </row>
    <row r="123" spans="1:18" ht="13.2" x14ac:dyDescent="0.25">
      <c r="A123" s="146">
        <f t="shared" si="5"/>
        <v>123</v>
      </c>
      <c r="B123" s="18" t="s">
        <v>68</v>
      </c>
      <c r="C123" s="19"/>
      <c r="D123" s="19"/>
      <c r="E123" s="19"/>
      <c r="F123" s="27"/>
      <c r="G123" s="27">
        <f>-D37*12</f>
        <v>-11196</v>
      </c>
      <c r="H123" s="27">
        <f t="shared" ref="H123:M123" si="14">-E37*12</f>
        <v>-11196</v>
      </c>
      <c r="I123" s="27">
        <f t="shared" si="14"/>
        <v>-11196</v>
      </c>
      <c r="J123" s="27">
        <f t="shared" si="14"/>
        <v>-11196</v>
      </c>
      <c r="K123" s="27">
        <f t="shared" si="14"/>
        <v>-11196</v>
      </c>
      <c r="L123" s="27">
        <f t="shared" si="14"/>
        <v>-12000</v>
      </c>
      <c r="M123" s="27">
        <f t="shared" si="14"/>
        <v>-12000</v>
      </c>
      <c r="N123" s="27">
        <v>0</v>
      </c>
    </row>
    <row r="124" spans="1:18" ht="13.2" x14ac:dyDescent="0.25">
      <c r="A124" s="146">
        <f t="shared" si="5"/>
        <v>124</v>
      </c>
      <c r="B124" s="18" t="s">
        <v>66</v>
      </c>
      <c r="C124" s="19"/>
      <c r="D124" s="19"/>
      <c r="E124" s="19"/>
      <c r="F124" s="27"/>
      <c r="G124" s="27">
        <f t="shared" ref="G124:M124" si="15">-$E41*(1+$E44)^G106</f>
        <v>-8736</v>
      </c>
      <c r="H124" s="27">
        <f t="shared" si="15"/>
        <v>-9085.44</v>
      </c>
      <c r="I124" s="27">
        <f t="shared" si="15"/>
        <v>-9448.8576000000012</v>
      </c>
      <c r="J124" s="27">
        <f t="shared" si="15"/>
        <v>-9826.811904000002</v>
      </c>
      <c r="K124" s="27">
        <f t="shared" si="15"/>
        <v>-10219.884380160003</v>
      </c>
      <c r="L124" s="27">
        <f t="shared" si="15"/>
        <v>-10628.679755366404</v>
      </c>
      <c r="M124" s="27">
        <f t="shared" si="15"/>
        <v>-11053.826945581059</v>
      </c>
      <c r="N124" s="27"/>
    </row>
    <row r="125" spans="1:18" x14ac:dyDescent="0.25">
      <c r="A125" s="146">
        <f t="shared" si="5"/>
        <v>125</v>
      </c>
      <c r="B125" s="61"/>
    </row>
    <row r="126" spans="1:18" ht="13.2" x14ac:dyDescent="0.25">
      <c r="A126" s="146">
        <f t="shared" si="5"/>
        <v>126</v>
      </c>
      <c r="B126" s="18" t="s">
        <v>33</v>
      </c>
      <c r="C126" s="19"/>
      <c r="D126" s="19"/>
      <c r="E126" s="19"/>
      <c r="F126" s="27">
        <f>-'PET Financial Worksheet'!E39</f>
        <v>-20000</v>
      </c>
      <c r="G126" s="27"/>
      <c r="H126" s="27"/>
      <c r="I126" s="27"/>
      <c r="J126" s="27"/>
      <c r="K126" s="27"/>
      <c r="L126" s="27"/>
      <c r="M126" s="54"/>
      <c r="N126" s="54"/>
    </row>
    <row r="127" spans="1:18" ht="13.2" x14ac:dyDescent="0.25">
      <c r="A127" s="146">
        <f t="shared" si="5"/>
        <v>127</v>
      </c>
      <c r="B127" s="18" t="s">
        <v>89</v>
      </c>
      <c r="C127" s="19"/>
      <c r="D127" s="19"/>
      <c r="E127" s="19"/>
      <c r="F127" s="27"/>
      <c r="G127" s="27">
        <f>-$E42</f>
        <v>0</v>
      </c>
      <c r="H127" s="27">
        <f t="shared" ref="H127:M127" si="16">G127*0.02</f>
        <v>0</v>
      </c>
      <c r="I127" s="27">
        <f t="shared" si="16"/>
        <v>0</v>
      </c>
      <c r="J127" s="27">
        <f t="shared" si="16"/>
        <v>0</v>
      </c>
      <c r="K127" s="27">
        <f t="shared" si="16"/>
        <v>0</v>
      </c>
      <c r="L127" s="27">
        <f t="shared" si="16"/>
        <v>0</v>
      </c>
      <c r="M127" s="27">
        <f t="shared" si="16"/>
        <v>0</v>
      </c>
      <c r="N127" s="54"/>
    </row>
    <row r="128" spans="1:18" ht="13.2" x14ac:dyDescent="0.25">
      <c r="A128" s="146">
        <f t="shared" si="5"/>
        <v>128</v>
      </c>
      <c r="B128" s="18" t="s">
        <v>48</v>
      </c>
      <c r="C128" s="19"/>
      <c r="D128" s="19"/>
      <c r="E128" s="19"/>
      <c r="F128" s="27"/>
      <c r="G128" s="27"/>
      <c r="H128" s="27"/>
      <c r="I128" s="27"/>
      <c r="J128" s="27"/>
      <c r="K128" s="27"/>
      <c r="L128" s="27"/>
      <c r="M128" s="54"/>
      <c r="N128" s="54"/>
    </row>
    <row r="129" spans="1:18" ht="13.2" x14ac:dyDescent="0.25">
      <c r="A129" s="146">
        <f t="shared" si="5"/>
        <v>129</v>
      </c>
      <c r="B129" s="18" t="s">
        <v>85</v>
      </c>
      <c r="C129" s="19"/>
      <c r="D129" s="19"/>
      <c r="E129" s="19"/>
      <c r="F129" s="27"/>
      <c r="G129" s="27">
        <f t="shared" ref="G129:M129" si="17">-((IF(G108&lt;=$D80,($D72*$E80)*((1+$E45)^G106),IF(G108&lt;=$D81,($D72*$E81)*((1+$E45)^G106),IF(G108&lt;=$D82,($D72*$E82)*((1+$E45)^G106),($D72*$E83)*((1+$E45)^G106))))))</f>
        <v>-69216</v>
      </c>
      <c r="H129" s="27">
        <f t="shared" si="17"/>
        <v>-71292.479999999996</v>
      </c>
      <c r="I129" s="27">
        <f t="shared" si="17"/>
        <v>-73431.254400000005</v>
      </c>
      <c r="J129" s="27">
        <f t="shared" si="17"/>
        <v>-75634.192031999992</v>
      </c>
      <c r="K129" s="27">
        <f t="shared" si="17"/>
        <v>-77903.217792959986</v>
      </c>
      <c r="L129" s="27">
        <f t="shared" si="17"/>
        <v>-80240.31432674879</v>
      </c>
      <c r="M129" s="27">
        <f t="shared" si="17"/>
        <v>-82647.523756551265</v>
      </c>
      <c r="N129" s="27">
        <v>0</v>
      </c>
    </row>
    <row r="130" spans="1:18" ht="13.2" x14ac:dyDescent="0.25">
      <c r="A130" s="146">
        <f t="shared" si="5"/>
        <v>130</v>
      </c>
      <c r="B130" s="18" t="s">
        <v>86</v>
      </c>
      <c r="C130" s="19"/>
      <c r="D130" s="19"/>
      <c r="E130" s="19"/>
      <c r="F130" s="27"/>
      <c r="G130" s="27">
        <f t="shared" ref="G130:M132" si="18">-$D73*$E73</f>
        <v>0</v>
      </c>
      <c r="H130" s="27">
        <f t="shared" si="18"/>
        <v>0</v>
      </c>
      <c r="I130" s="27">
        <f t="shared" si="18"/>
        <v>0</v>
      </c>
      <c r="J130" s="27">
        <f t="shared" si="18"/>
        <v>0</v>
      </c>
      <c r="K130" s="27">
        <f t="shared" si="18"/>
        <v>0</v>
      </c>
      <c r="L130" s="27">
        <f t="shared" si="18"/>
        <v>0</v>
      </c>
      <c r="M130" s="27">
        <f t="shared" si="18"/>
        <v>0</v>
      </c>
      <c r="N130" s="27"/>
    </row>
    <row r="131" spans="1:18" ht="13.2" x14ac:dyDescent="0.25">
      <c r="A131" s="146">
        <f t="shared" si="5"/>
        <v>131</v>
      </c>
      <c r="B131" s="18" t="s">
        <v>87</v>
      </c>
      <c r="C131" s="19"/>
      <c r="D131" s="19"/>
      <c r="E131" s="19"/>
      <c r="F131" s="27"/>
      <c r="G131" s="27">
        <f t="shared" si="18"/>
        <v>0</v>
      </c>
      <c r="H131" s="27">
        <f t="shared" si="18"/>
        <v>0</v>
      </c>
      <c r="I131" s="27">
        <f t="shared" si="18"/>
        <v>0</v>
      </c>
      <c r="J131" s="27">
        <f t="shared" si="18"/>
        <v>0</v>
      </c>
      <c r="K131" s="27">
        <f t="shared" si="18"/>
        <v>0</v>
      </c>
      <c r="L131" s="27">
        <f t="shared" si="18"/>
        <v>0</v>
      </c>
      <c r="M131" s="27">
        <f t="shared" si="18"/>
        <v>0</v>
      </c>
      <c r="N131" s="27"/>
    </row>
    <row r="132" spans="1:18" ht="13.2" x14ac:dyDescent="0.25">
      <c r="A132" s="146">
        <f t="shared" si="5"/>
        <v>132</v>
      </c>
      <c r="B132" s="18" t="s">
        <v>88</v>
      </c>
      <c r="C132" s="19"/>
      <c r="D132" s="19"/>
      <c r="E132" s="19"/>
      <c r="F132" s="27"/>
      <c r="G132" s="27">
        <f t="shared" si="18"/>
        <v>0</v>
      </c>
      <c r="H132" s="27">
        <f t="shared" si="18"/>
        <v>0</v>
      </c>
      <c r="I132" s="27">
        <f t="shared" si="18"/>
        <v>0</v>
      </c>
      <c r="J132" s="27">
        <f t="shared" si="18"/>
        <v>0</v>
      </c>
      <c r="K132" s="27">
        <f t="shared" si="18"/>
        <v>0</v>
      </c>
      <c r="L132" s="27">
        <f t="shared" si="18"/>
        <v>0</v>
      </c>
      <c r="M132" s="27">
        <f t="shared" si="18"/>
        <v>0</v>
      </c>
      <c r="N132" s="27"/>
    </row>
    <row r="133" spans="1:18" ht="13.2" x14ac:dyDescent="0.25">
      <c r="A133" s="146">
        <f t="shared" si="5"/>
        <v>133</v>
      </c>
      <c r="B133" s="18" t="s">
        <v>26</v>
      </c>
      <c r="C133" s="19"/>
      <c r="D133" s="19"/>
      <c r="E133" s="19"/>
      <c r="F133" s="27"/>
      <c r="G133" s="27">
        <f>SUM(G129:G132)*'PET Financial Worksheet'!$D76</f>
        <v>-24225.599999999999</v>
      </c>
      <c r="H133" s="27">
        <f>SUM(H129:H132)*'PET Financial Worksheet'!$D76</f>
        <v>-24952.367999999999</v>
      </c>
      <c r="I133" s="27">
        <f>SUM(I129:I132)*'PET Financial Worksheet'!$D76</f>
        <v>-25700.939040000001</v>
      </c>
      <c r="J133" s="27">
        <f>SUM(J129:J132)*'PET Financial Worksheet'!$D76</f>
        <v>-26471.967211199997</v>
      </c>
      <c r="K133" s="27">
        <f>SUM(K129:K132)*'PET Financial Worksheet'!$D76</f>
        <v>-27266.126227535995</v>
      </c>
      <c r="L133" s="27">
        <f>SUM(L129:L132)*'PET Financial Worksheet'!$D76</f>
        <v>-28084.110014362075</v>
      </c>
      <c r="M133" s="27">
        <f>SUM(M129:M132)*'PET Financial Worksheet'!$D76</f>
        <v>-28926.63331479294</v>
      </c>
      <c r="N133" s="27">
        <v>0</v>
      </c>
    </row>
    <row r="134" spans="1:18" ht="13.2" x14ac:dyDescent="0.25">
      <c r="A134" s="146">
        <f t="shared" ref="A134:A179" si="19">A133+1</f>
        <v>134</v>
      </c>
      <c r="B134" s="18" t="s">
        <v>27</v>
      </c>
      <c r="C134" s="19"/>
      <c r="D134" s="19"/>
      <c r="E134" s="19"/>
      <c r="F134" s="27"/>
      <c r="G134" s="27">
        <f>-'PET Financial Worksheet'!$D70</f>
        <v>-25000</v>
      </c>
      <c r="H134" s="27">
        <f t="shared" ref="H134:M134" si="20">$G134*(1+$E45)^H106</f>
        <v>-26522.5</v>
      </c>
      <c r="I134" s="27">
        <f t="shared" si="20"/>
        <v>-27318.174999999999</v>
      </c>
      <c r="J134" s="27">
        <f t="shared" si="20"/>
        <v>-28137.720249999998</v>
      </c>
      <c r="K134" s="27">
        <f t="shared" si="20"/>
        <v>-28981.851857499994</v>
      </c>
      <c r="L134" s="27">
        <f t="shared" si="20"/>
        <v>-29851.307413224997</v>
      </c>
      <c r="M134" s="27">
        <f t="shared" si="20"/>
        <v>-30746.84663562175</v>
      </c>
      <c r="N134" s="27">
        <v>0</v>
      </c>
    </row>
    <row r="135" spans="1:18" ht="13.2" x14ac:dyDescent="0.25">
      <c r="A135" s="146">
        <f t="shared" si="19"/>
        <v>135</v>
      </c>
      <c r="B135" s="18" t="s">
        <v>52</v>
      </c>
      <c r="C135" s="19"/>
      <c r="D135" s="19"/>
      <c r="E135" s="19"/>
      <c r="F135" s="27">
        <f>-D92</f>
        <v>-2500</v>
      </c>
      <c r="G135" s="27">
        <f t="shared" ref="G135:M135" si="21">-$E92</f>
        <v>-1000</v>
      </c>
      <c r="H135" s="27">
        <f t="shared" si="21"/>
        <v>-1000</v>
      </c>
      <c r="I135" s="27">
        <f t="shared" si="21"/>
        <v>-1000</v>
      </c>
      <c r="J135" s="27">
        <f t="shared" si="21"/>
        <v>-1000</v>
      </c>
      <c r="K135" s="27">
        <f t="shared" si="21"/>
        <v>-1000</v>
      </c>
      <c r="L135" s="27">
        <f t="shared" si="21"/>
        <v>-1000</v>
      </c>
      <c r="M135" s="27">
        <f t="shared" si="21"/>
        <v>-1000</v>
      </c>
      <c r="N135" s="27">
        <v>0</v>
      </c>
    </row>
    <row r="136" spans="1:18" ht="13.2" x14ac:dyDescent="0.25">
      <c r="A136" s="146">
        <f t="shared" si="19"/>
        <v>136</v>
      </c>
      <c r="B136" s="18" t="s">
        <v>36</v>
      </c>
      <c r="C136" s="19"/>
      <c r="D136" s="19"/>
      <c r="E136" s="19"/>
      <c r="F136" s="27">
        <f>-D89</f>
        <v>-4000</v>
      </c>
      <c r="G136" s="27">
        <f>-$E89</f>
        <v>-2500</v>
      </c>
      <c r="H136" s="27">
        <f>-'PET Financial Worksheet'!$E89*(1+'PET Financial Worksheet'!$E44)^H106</f>
        <v>-2704.0000000000005</v>
      </c>
      <c r="I136" s="27">
        <f>-'PET Financial Worksheet'!$E89*(1+'PET Financial Worksheet'!$E44)^I106</f>
        <v>-2812.1600000000003</v>
      </c>
      <c r="J136" s="27">
        <f>-'PET Financial Worksheet'!$E89*(1+'PET Financial Worksheet'!$E44)^J106</f>
        <v>-2924.6464000000005</v>
      </c>
      <c r="K136" s="27">
        <f>-'PET Financial Worksheet'!$E89*(1+'PET Financial Worksheet'!$E44)^K106</f>
        <v>-3041.6322560000008</v>
      </c>
      <c r="L136" s="27">
        <f>-'PET Financial Worksheet'!$E89*(1+'PET Financial Worksheet'!$E44)^L106</f>
        <v>-3163.2975462400009</v>
      </c>
      <c r="M136" s="27">
        <f>-'PET Financial Worksheet'!$E89*(1+'PET Financial Worksheet'!$E44)^M106</f>
        <v>-3289.8294480896006</v>
      </c>
      <c r="N136" s="27">
        <v>0</v>
      </c>
    </row>
    <row r="137" spans="1:18" ht="13.2" x14ac:dyDescent="0.25">
      <c r="A137" s="146">
        <f t="shared" si="19"/>
        <v>137</v>
      </c>
      <c r="B137" s="18" t="s">
        <v>15</v>
      </c>
      <c r="C137" s="19"/>
      <c r="D137" s="19"/>
      <c r="E137" s="19"/>
      <c r="F137" s="27">
        <f>-'PET Financial Worksheet'!D86</f>
        <v>-35000</v>
      </c>
      <c r="G137" s="27">
        <f>-('PET Financial Worksheet'!$E86*(1+'PET Financial Worksheet'!$E44)^G106)</f>
        <v>-3120</v>
      </c>
      <c r="H137" s="27">
        <f>-('PET Financial Worksheet'!$E86*(1+'PET Financial Worksheet'!$E44)^H106)</f>
        <v>-3244.8</v>
      </c>
      <c r="I137" s="27">
        <f>-('PET Financial Worksheet'!$E86*(1+'PET Financial Worksheet'!$E44)^I106)</f>
        <v>-3374.5920000000001</v>
      </c>
      <c r="J137" s="27">
        <f>-('PET Financial Worksheet'!$E86*(1+'PET Financial Worksheet'!$E44)^J106)</f>
        <v>-3509.5756800000008</v>
      </c>
      <c r="K137" s="27">
        <f>-('PET Financial Worksheet'!$E86*(1+'PET Financial Worksheet'!$E44)^K106)</f>
        <v>-3649.9587072000008</v>
      </c>
      <c r="L137" s="27">
        <f>-('PET Financial Worksheet'!$E86*(1+'PET Financial Worksheet'!$E44)^L106)</f>
        <v>-3795.9570554880011</v>
      </c>
      <c r="M137" s="27">
        <f>-('PET Financial Worksheet'!$E86*(1+'PET Financial Worksheet'!$E44)^M106)</f>
        <v>-3947.795337707521</v>
      </c>
      <c r="N137" s="27">
        <v>0</v>
      </c>
    </row>
    <row r="138" spans="1:18" ht="13.2" x14ac:dyDescent="0.25">
      <c r="A138" s="146">
        <f t="shared" si="19"/>
        <v>138</v>
      </c>
      <c r="B138" s="18" t="s">
        <v>94</v>
      </c>
      <c r="C138" s="19"/>
      <c r="D138" s="19"/>
      <c r="E138" s="19"/>
      <c r="F138" s="27"/>
      <c r="G138" s="27">
        <f>-('PET Financial Worksheet'!$E43*((1+'PET Financial Worksheet'!$E44)^G106))</f>
        <v>-31200</v>
      </c>
      <c r="H138" s="27">
        <f>-('PET Financial Worksheet'!$E43*((1+'PET Financial Worksheet'!$E44)^H106))</f>
        <v>-32448.000000000004</v>
      </c>
      <c r="I138" s="27">
        <f>-('PET Financial Worksheet'!$E43*((1+'PET Financial Worksheet'!$E44)^I106))</f>
        <v>-33745.920000000006</v>
      </c>
      <c r="J138" s="27">
        <f>-('PET Financial Worksheet'!$E43*((1+'PET Financial Worksheet'!$E44)^J106))</f>
        <v>-35095.756800000003</v>
      </c>
      <c r="K138" s="27">
        <f>-('PET Financial Worksheet'!$E43*((1+'PET Financial Worksheet'!$E44)^K106))</f>
        <v>-36499.587072000009</v>
      </c>
      <c r="L138" s="27">
        <f>-('PET Financial Worksheet'!$E43*((1+'PET Financial Worksheet'!$E44)^L106))</f>
        <v>-37959.570554880011</v>
      </c>
      <c r="M138" s="27">
        <f>-('PET Financial Worksheet'!$E43*((1+'PET Financial Worksheet'!$E44)^M106))</f>
        <v>-39477.95337707521</v>
      </c>
      <c r="N138" s="27">
        <v>0</v>
      </c>
    </row>
    <row r="139" spans="1:18" ht="13.2" x14ac:dyDescent="0.25">
      <c r="A139" s="146">
        <f t="shared" si="19"/>
        <v>139</v>
      </c>
      <c r="B139" s="18" t="s">
        <v>51</v>
      </c>
      <c r="C139" s="19"/>
      <c r="D139" s="19"/>
      <c r="E139" s="19"/>
      <c r="F139" s="27">
        <f>-D95</f>
        <v>-20000</v>
      </c>
      <c r="G139" s="27">
        <f>-E95</f>
        <v>-10000</v>
      </c>
      <c r="H139" s="27">
        <f t="shared" ref="H139:M139" si="22">G139*(1+$E44)</f>
        <v>-10400</v>
      </c>
      <c r="I139" s="27">
        <f t="shared" si="22"/>
        <v>-10816</v>
      </c>
      <c r="J139" s="27">
        <f t="shared" si="22"/>
        <v>-11248.640000000001</v>
      </c>
      <c r="K139" s="27">
        <f t="shared" si="22"/>
        <v>-11698.585600000002</v>
      </c>
      <c r="L139" s="27">
        <f t="shared" si="22"/>
        <v>-12166.529024000003</v>
      </c>
      <c r="M139" s="27">
        <f t="shared" si="22"/>
        <v>-12653.190184960004</v>
      </c>
      <c r="N139" s="27">
        <v>0</v>
      </c>
    </row>
    <row r="140" spans="1:18" ht="13.2" x14ac:dyDescent="0.25">
      <c r="A140" s="146">
        <f t="shared" si="19"/>
        <v>140</v>
      </c>
      <c r="B140" s="18" t="s">
        <v>76</v>
      </c>
      <c r="C140" s="19"/>
      <c r="D140" s="19"/>
      <c r="E140" s="19"/>
      <c r="F140" s="27"/>
      <c r="G140" s="27" t="str">
        <f>IF($E15&gt;0,IF(G106=$E16,-$E17,""),"")</f>
        <v/>
      </c>
      <c r="H140" s="27" t="str">
        <f t="shared" ref="H140:M140" si="23">IF($E15&gt;0,IF(G106=$E16,-$E17,""),"")</f>
        <v/>
      </c>
      <c r="I140" s="27" t="str">
        <f t="shared" si="23"/>
        <v/>
      </c>
      <c r="J140" s="27" t="str">
        <f t="shared" si="23"/>
        <v/>
      </c>
      <c r="K140" s="27" t="str">
        <f t="shared" si="23"/>
        <v/>
      </c>
      <c r="L140" s="27">
        <f t="shared" si="23"/>
        <v>-256400</v>
      </c>
      <c r="M140" s="27" t="str">
        <f t="shared" si="23"/>
        <v/>
      </c>
      <c r="N140" s="27"/>
    </row>
    <row r="141" spans="1:18" ht="13.2" x14ac:dyDescent="0.25">
      <c r="A141" s="146">
        <f t="shared" si="19"/>
        <v>141</v>
      </c>
      <c r="B141" s="18" t="s">
        <v>123</v>
      </c>
      <c r="C141" s="19"/>
      <c r="D141" s="19"/>
      <c r="E141" s="19"/>
      <c r="F141" s="27">
        <f>-E40</f>
        <v>0</v>
      </c>
      <c r="G141" s="27"/>
      <c r="H141" s="27"/>
      <c r="I141" s="27"/>
      <c r="J141" s="27"/>
      <c r="K141" s="27"/>
      <c r="L141" s="27"/>
      <c r="M141" s="27"/>
      <c r="N141" s="27"/>
    </row>
    <row r="142" spans="1:18" ht="13.2" x14ac:dyDescent="0.25">
      <c r="A142" s="146">
        <f t="shared" si="19"/>
        <v>142</v>
      </c>
      <c r="B142" s="18" t="s">
        <v>23</v>
      </c>
      <c r="C142" s="19"/>
      <c r="D142" s="19"/>
      <c r="E142" s="19"/>
      <c r="F142" s="27"/>
      <c r="G142" s="19"/>
      <c r="H142" s="19"/>
      <c r="I142" s="19"/>
      <c r="J142" s="27"/>
      <c r="K142" s="54"/>
      <c r="L142" s="27"/>
      <c r="M142" s="27">
        <v>100000</v>
      </c>
      <c r="N142" s="27">
        <v>0</v>
      </c>
    </row>
    <row r="143" spans="1:18" ht="13.8" thickBot="1" x14ac:dyDescent="0.3">
      <c r="A143" s="146">
        <f t="shared" si="19"/>
        <v>143</v>
      </c>
      <c r="B143" s="72" t="s">
        <v>72</v>
      </c>
      <c r="C143" s="44"/>
      <c r="D143" s="44"/>
      <c r="E143" s="44"/>
      <c r="F143" s="46"/>
      <c r="G143" s="46" t="str">
        <f>IF($E15&gt;0,"",'PET Financial Worksheet'!$E5/5*'PET Financial Worksheet'!$E46)</f>
        <v/>
      </c>
      <c r="H143" s="46" t="str">
        <f>IF($E15&gt;0,"",'PET Financial Worksheet'!$E5/5*'PET Financial Worksheet'!$E46)</f>
        <v/>
      </c>
      <c r="I143" s="46" t="str">
        <f>IF($E15&gt;0,"",'PET Financial Worksheet'!$E5/5*'PET Financial Worksheet'!$E46)</f>
        <v/>
      </c>
      <c r="J143" s="46" t="str">
        <f>IF($E15&gt;0,"",'PET Financial Worksheet'!$E5/5*'PET Financial Worksheet'!$E46)</f>
        <v/>
      </c>
      <c r="K143" s="46" t="str">
        <f>IF($E15&gt;0,"",'PET Financial Worksheet'!$E5/5*'PET Financial Worksheet'!$E46)</f>
        <v/>
      </c>
      <c r="L143" s="46"/>
      <c r="M143" s="46"/>
      <c r="N143" s="46"/>
    </row>
    <row r="144" spans="1:18" s="5" customFormat="1" ht="13.8" thickTop="1" x14ac:dyDescent="0.25">
      <c r="A144" s="146">
        <f t="shared" si="19"/>
        <v>144</v>
      </c>
      <c r="B144" s="73" t="s">
        <v>42</v>
      </c>
      <c r="C144" s="53"/>
      <c r="D144" s="53"/>
      <c r="E144" s="53"/>
      <c r="F144" s="47">
        <f t="shared" ref="F144:M144" si="24">SUM(F119:F143)</f>
        <v>-81500</v>
      </c>
      <c r="G144" s="47">
        <f t="shared" si="24"/>
        <v>-482777.20416620607</v>
      </c>
      <c r="H144" s="47">
        <f t="shared" si="24"/>
        <v>-614429.19216620608</v>
      </c>
      <c r="I144" s="47">
        <f t="shared" si="24"/>
        <v>-624177.50220620609</v>
      </c>
      <c r="J144" s="47">
        <f t="shared" si="24"/>
        <v>-634241.41444340616</v>
      </c>
      <c r="K144" s="47">
        <f t="shared" si="24"/>
        <v>-644631.32305956213</v>
      </c>
      <c r="L144" s="47">
        <f t="shared" si="24"/>
        <v>-615978.36694031022</v>
      </c>
      <c r="M144" s="47">
        <f t="shared" si="24"/>
        <v>-270652.85828787932</v>
      </c>
      <c r="N144" s="47">
        <v>0</v>
      </c>
      <c r="O144"/>
      <c r="P144"/>
      <c r="Q144"/>
      <c r="R144"/>
    </row>
    <row r="145" spans="1:18" ht="13.2" x14ac:dyDescent="0.25">
      <c r="A145" s="146">
        <f t="shared" si="19"/>
        <v>145</v>
      </c>
      <c r="B145" s="18"/>
      <c r="C145" s="19"/>
      <c r="D145" s="19"/>
      <c r="E145" s="19"/>
      <c r="F145" s="27"/>
      <c r="G145" s="27"/>
      <c r="H145" s="27"/>
      <c r="I145" s="27"/>
      <c r="J145" s="27"/>
      <c r="K145" s="27"/>
      <c r="L145" s="27"/>
      <c r="M145" s="27"/>
      <c r="N145" s="27"/>
    </row>
    <row r="146" spans="1:18" ht="13.2" x14ac:dyDescent="0.25">
      <c r="A146" s="146">
        <f t="shared" si="19"/>
        <v>146</v>
      </c>
      <c r="B146" s="33" t="s">
        <v>41</v>
      </c>
      <c r="C146" s="31"/>
      <c r="D146" s="31"/>
      <c r="E146" s="31"/>
      <c r="F146" s="49"/>
      <c r="G146" s="49"/>
      <c r="H146" s="49"/>
      <c r="I146" s="49"/>
      <c r="J146" s="49"/>
      <c r="K146" s="49"/>
      <c r="L146" s="49"/>
      <c r="M146" s="49"/>
      <c r="N146" s="49"/>
    </row>
    <row r="147" spans="1:18" ht="13.2" x14ac:dyDescent="0.25">
      <c r="A147" s="146">
        <f t="shared" si="19"/>
        <v>147</v>
      </c>
      <c r="B147" s="18" t="s">
        <v>79</v>
      </c>
      <c r="C147" s="19"/>
      <c r="D147" s="19"/>
      <c r="E147" s="19"/>
      <c r="F147" s="27"/>
      <c r="G147" s="27">
        <f>-(('PET Financial Worksheet'!$D63*((1+'PET Financial Worksheet'!$E44)^G106))*G108)*12</f>
        <v>-199680</v>
      </c>
      <c r="H147" s="27">
        <f>-(('PET Financial Worksheet'!$D63*((1+'PET Financial Worksheet'!$E44)^H106))*H108)*12</f>
        <v>-238817.28000000003</v>
      </c>
      <c r="I147" s="27">
        <f>-(('PET Financial Worksheet'!$D63*((1+'PET Financial Worksheet'!$E44)^I106))*I108)*12</f>
        <v>-265755.86918400007</v>
      </c>
      <c r="J147" s="27">
        <f>-(('PET Financial Worksheet'!$D63*((1+'PET Financial Worksheet'!$E44)^J106))*J108)*12</f>
        <v>-287441.54810941452</v>
      </c>
      <c r="K147" s="27">
        <f>-(('PET Financial Worksheet'!$D63*((1+'PET Financial Worksheet'!$E44)^K106))*K108)*12</f>
        <v>-310896.77843514277</v>
      </c>
      <c r="L147" s="27">
        <f>-(('PET Financial Worksheet'!$D63*((1+'PET Financial Worksheet'!$E44)^L106))*L108)*12</f>
        <v>-336265.9555554504</v>
      </c>
      <c r="M147" s="27">
        <f>-(('PET Financial Worksheet'!$D63*((1+'PET Financial Worksheet'!$E44)^M106))*M108)*12</f>
        <v>-360208.09159099846</v>
      </c>
      <c r="N147" s="27">
        <v>0</v>
      </c>
    </row>
    <row r="148" spans="1:18" ht="13.2" x14ac:dyDescent="0.25">
      <c r="A148" s="146">
        <f t="shared" si="19"/>
        <v>148</v>
      </c>
      <c r="B148" s="18"/>
      <c r="C148" s="19"/>
      <c r="D148" s="19"/>
      <c r="E148" s="19"/>
      <c r="F148" s="27"/>
      <c r="G148" s="27"/>
      <c r="H148" s="27"/>
      <c r="I148" s="27"/>
      <c r="J148" s="27"/>
      <c r="K148" s="27"/>
      <c r="L148" s="27"/>
      <c r="M148" s="27"/>
      <c r="N148" s="27"/>
    </row>
    <row r="149" spans="1:18" ht="13.2" x14ac:dyDescent="0.25">
      <c r="A149" s="146">
        <f t="shared" si="19"/>
        <v>149</v>
      </c>
      <c r="B149" s="18" t="s">
        <v>80</v>
      </c>
      <c r="C149" s="19"/>
      <c r="D149" s="19"/>
      <c r="E149" s="19"/>
      <c r="F149" s="27"/>
      <c r="G149" s="27">
        <f t="shared" ref="G149:M149" si="25">-$D64*G109*(1+$E45)^G106</f>
        <v>-12360</v>
      </c>
      <c r="H149" s="27">
        <f t="shared" si="25"/>
        <v>-14640.42</v>
      </c>
      <c r="I149" s="27">
        <f t="shared" si="25"/>
        <v>-16135.206882000002</v>
      </c>
      <c r="J149" s="27">
        <f t="shared" si="25"/>
        <v>-17284.033611998399</v>
      </c>
      <c r="K149" s="27">
        <f t="shared" si="25"/>
        <v>-18514.656805172686</v>
      </c>
      <c r="L149" s="27">
        <f t="shared" si="25"/>
        <v>-19832.900369700987</v>
      </c>
      <c r="M149" s="27">
        <f t="shared" si="25"/>
        <v>-21040.724002215775</v>
      </c>
      <c r="N149" s="27"/>
    </row>
    <row r="150" spans="1:18" ht="13.2" x14ac:dyDescent="0.25">
      <c r="A150" s="146">
        <f t="shared" si="19"/>
        <v>150</v>
      </c>
      <c r="B150" s="18" t="s">
        <v>71</v>
      </c>
      <c r="C150" s="19"/>
      <c r="D150" s="19"/>
      <c r="E150" s="19"/>
      <c r="F150" s="27"/>
      <c r="G150" s="27">
        <f t="shared" ref="G150:N150" si="26">-G114*$D62</f>
        <v>-28086.75</v>
      </c>
      <c r="H150" s="27">
        <f t="shared" si="26"/>
        <v>-41662.012499999997</v>
      </c>
      <c r="I150" s="27">
        <f t="shared" si="26"/>
        <v>-45327.333375000009</v>
      </c>
      <c r="J150" s="27">
        <f t="shared" si="26"/>
        <v>-47463.424335000011</v>
      </c>
      <c r="K150" s="27">
        <f t="shared" si="26"/>
        <v>-49361.961308400008</v>
      </c>
      <c r="L150" s="27">
        <f t="shared" si="26"/>
        <v>-51336.439760736001</v>
      </c>
      <c r="M150" s="27">
        <f t="shared" si="26"/>
        <v>-53001.135962686094</v>
      </c>
      <c r="N150" s="27">
        <f t="shared" si="26"/>
        <v>-13347.474337791362</v>
      </c>
    </row>
    <row r="151" spans="1:18" ht="13.8" thickBot="1" x14ac:dyDescent="0.3">
      <c r="A151" s="146">
        <f t="shared" si="19"/>
        <v>151</v>
      </c>
      <c r="B151" s="72" t="s">
        <v>50</v>
      </c>
      <c r="C151" s="44"/>
      <c r="D151" s="44"/>
      <c r="E151" s="44"/>
      <c r="F151" s="46"/>
      <c r="G151" s="46">
        <f>-'PET Financial Worksheet'!$D66*G114</f>
        <v>-31207.5</v>
      </c>
      <c r="H151" s="46">
        <f>-'PET Financial Worksheet'!$D66*H114</f>
        <v>-46291.125</v>
      </c>
      <c r="I151" s="46">
        <f>-'PET Financial Worksheet'!$D66*I114</f>
        <v>-50363.703750000015</v>
      </c>
      <c r="J151" s="46">
        <f>-'PET Financial Worksheet'!$D66*J114</f>
        <v>-52737.138150000013</v>
      </c>
      <c r="K151" s="46">
        <f>-'PET Financial Worksheet'!$D66*K114</f>
        <v>-54846.623676000017</v>
      </c>
      <c r="L151" s="46">
        <f>-'PET Financial Worksheet'!$D66*L114</f>
        <v>-57040.488623040008</v>
      </c>
      <c r="M151" s="46">
        <f>-'PET Financial Worksheet'!$D66*M114</f>
        <v>-58890.15106965122</v>
      </c>
      <c r="N151" s="46">
        <f>-'PET Financial Worksheet'!$D66*N114</f>
        <v>-14830.527041990405</v>
      </c>
    </row>
    <row r="152" spans="1:18" s="5" customFormat="1" ht="13.8" thickTop="1" x14ac:dyDescent="0.25">
      <c r="A152" s="146">
        <f t="shared" si="19"/>
        <v>152</v>
      </c>
      <c r="B152" s="73" t="s">
        <v>43</v>
      </c>
      <c r="C152" s="53"/>
      <c r="D152" s="53"/>
      <c r="E152" s="53"/>
      <c r="F152" s="35"/>
      <c r="G152" s="50">
        <f t="shared" ref="G152:N152" si="27">SUM(G147:G151)</f>
        <v>-271334.25</v>
      </c>
      <c r="H152" s="50">
        <f t="shared" si="27"/>
        <v>-341410.83750000002</v>
      </c>
      <c r="I152" s="50">
        <f t="shared" si="27"/>
        <v>-377582.11319100007</v>
      </c>
      <c r="J152" s="50">
        <f t="shared" si="27"/>
        <v>-404926.14420641295</v>
      </c>
      <c r="K152" s="50">
        <f t="shared" si="27"/>
        <v>-433620.02022471547</v>
      </c>
      <c r="L152" s="50">
        <f t="shared" si="27"/>
        <v>-464475.78430892742</v>
      </c>
      <c r="M152" s="50">
        <f t="shared" si="27"/>
        <v>-493140.10262555158</v>
      </c>
      <c r="N152" s="50">
        <f t="shared" si="27"/>
        <v>-28178.001379781766</v>
      </c>
      <c r="O152"/>
      <c r="P152"/>
      <c r="Q152"/>
      <c r="R152"/>
    </row>
    <row r="153" spans="1:18" ht="13.8" thickBot="1" x14ac:dyDescent="0.3">
      <c r="A153" s="146">
        <f t="shared" si="19"/>
        <v>153</v>
      </c>
      <c r="B153" s="72"/>
      <c r="C153" s="44"/>
      <c r="D153" s="44"/>
      <c r="E153" s="44"/>
      <c r="F153" s="51"/>
      <c r="G153" s="52"/>
      <c r="H153" s="52"/>
      <c r="I153" s="52"/>
      <c r="J153" s="52"/>
      <c r="K153" s="52"/>
      <c r="L153" s="52"/>
      <c r="M153" s="52"/>
      <c r="N153" s="52"/>
    </row>
    <row r="154" spans="1:18" s="5" customFormat="1" ht="13.8" thickTop="1" x14ac:dyDescent="0.25">
      <c r="A154" s="146">
        <f t="shared" si="19"/>
        <v>154</v>
      </c>
      <c r="B154" s="73" t="s">
        <v>7</v>
      </c>
      <c r="C154" s="53"/>
      <c r="D154" s="53"/>
      <c r="E154" s="53"/>
      <c r="F154" s="47">
        <f t="shared" ref="F154:N154" si="28">F152+F144</f>
        <v>-81500</v>
      </c>
      <c r="G154" s="47">
        <f t="shared" si="28"/>
        <v>-754111.45416620607</v>
      </c>
      <c r="H154" s="47">
        <f t="shared" si="28"/>
        <v>-955840.0296662061</v>
      </c>
      <c r="I154" s="47">
        <f t="shared" si="28"/>
        <v>-1001759.6153972062</v>
      </c>
      <c r="J154" s="47">
        <f t="shared" si="28"/>
        <v>-1039167.5586498191</v>
      </c>
      <c r="K154" s="47">
        <f t="shared" si="28"/>
        <v>-1078251.3432842777</v>
      </c>
      <c r="L154" s="47">
        <f t="shared" si="28"/>
        <v>-1080454.1512492376</v>
      </c>
      <c r="M154" s="47">
        <f t="shared" si="28"/>
        <v>-763792.9609134309</v>
      </c>
      <c r="N154" s="47">
        <f t="shared" si="28"/>
        <v>-28178.001379781766</v>
      </c>
      <c r="O154"/>
      <c r="P154"/>
      <c r="Q154"/>
      <c r="R154"/>
    </row>
    <row r="155" spans="1:18" ht="13.2" x14ac:dyDescent="0.25">
      <c r="A155" s="146">
        <f t="shared" si="19"/>
        <v>155</v>
      </c>
      <c r="B155" s="18"/>
      <c r="C155" s="19"/>
      <c r="D155" s="19"/>
      <c r="E155" s="19"/>
      <c r="F155" s="27"/>
      <c r="G155" s="27"/>
      <c r="H155" s="27"/>
      <c r="I155" s="27"/>
      <c r="J155" s="27"/>
      <c r="K155" s="27"/>
      <c r="L155" s="27"/>
      <c r="M155" s="27"/>
      <c r="N155" s="27"/>
    </row>
    <row r="156" spans="1:18" ht="13.8" thickBot="1" x14ac:dyDescent="0.3">
      <c r="A156" s="146">
        <f t="shared" si="19"/>
        <v>156</v>
      </c>
      <c r="B156" s="72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</row>
    <row r="157" spans="1:18" s="5" customFormat="1" ht="13.8" thickTop="1" x14ac:dyDescent="0.25">
      <c r="A157" s="146">
        <f t="shared" si="19"/>
        <v>157</v>
      </c>
      <c r="B157" s="73" t="s">
        <v>46</v>
      </c>
      <c r="C157" s="53"/>
      <c r="D157" s="53"/>
      <c r="E157" s="53"/>
      <c r="F157" s="47">
        <f t="shared" ref="F157:N157" si="29">F114+F154</f>
        <v>-81500</v>
      </c>
      <c r="G157" s="47">
        <f t="shared" si="29"/>
        <v>-129961.45416620607</v>
      </c>
      <c r="H157" s="47">
        <f t="shared" si="29"/>
        <v>-30017.529666206101</v>
      </c>
      <c r="I157" s="47">
        <f t="shared" si="29"/>
        <v>5514.4596027940279</v>
      </c>
      <c r="J157" s="47">
        <f t="shared" si="29"/>
        <v>15575.204350181157</v>
      </c>
      <c r="K157" s="47">
        <f t="shared" si="29"/>
        <v>18681.130235722521</v>
      </c>
      <c r="L157" s="47">
        <f t="shared" si="29"/>
        <v>60355.621211562539</v>
      </c>
      <c r="M157" s="47">
        <f t="shared" si="29"/>
        <v>414010.06047959346</v>
      </c>
      <c r="N157" s="47">
        <f t="shared" si="29"/>
        <v>268432.53946002631</v>
      </c>
      <c r="O157"/>
      <c r="P157"/>
      <c r="Q157"/>
      <c r="R157"/>
    </row>
    <row r="158" spans="1:18" s="4" customFormat="1" ht="13.2" x14ac:dyDescent="0.25">
      <c r="A158" s="146">
        <f t="shared" si="19"/>
        <v>158</v>
      </c>
      <c r="B158" s="148" t="s">
        <v>77</v>
      </c>
      <c r="C158" s="53"/>
      <c r="D158" s="53"/>
      <c r="E158" s="53"/>
      <c r="F158" s="47">
        <f>SUM($F157:F157)</f>
        <v>-81500</v>
      </c>
      <c r="G158" s="47">
        <f>SUM($F157:G157)</f>
        <v>-211461.45416620607</v>
      </c>
      <c r="H158" s="47">
        <f>SUM($F157:H157)</f>
        <v>-241478.98383241217</v>
      </c>
      <c r="I158" s="47">
        <f>SUM($F157:I157)</f>
        <v>-235964.52422961814</v>
      </c>
      <c r="J158" s="47">
        <f>SUM($F157:J157)</f>
        <v>-220389.31987943698</v>
      </c>
      <c r="K158" s="47">
        <f>SUM($F157:K157)</f>
        <v>-201708.18964371446</v>
      </c>
      <c r="L158" s="47">
        <f>SUM($F157:L157)</f>
        <v>-141352.56843215192</v>
      </c>
      <c r="M158" s="47">
        <f>SUM($F157:M157)</f>
        <v>272657.49204744154</v>
      </c>
      <c r="N158" s="47">
        <f>SUM($F157:N157)</f>
        <v>541090.03150746785</v>
      </c>
      <c r="O158"/>
      <c r="P158"/>
      <c r="Q158"/>
      <c r="R158"/>
    </row>
    <row r="159" spans="1:18" ht="13.2" x14ac:dyDescent="0.25">
      <c r="A159" s="146">
        <f t="shared" si="19"/>
        <v>159</v>
      </c>
      <c r="B159" s="18"/>
      <c r="C159" s="19"/>
      <c r="D159" s="19"/>
      <c r="E159" s="19"/>
      <c r="F159" s="27"/>
      <c r="G159" s="27"/>
      <c r="H159" s="27"/>
      <c r="I159" s="27"/>
      <c r="J159" s="27"/>
      <c r="K159" s="27"/>
      <c r="L159" s="27"/>
      <c r="M159" s="54"/>
    </row>
    <row r="160" spans="1:18" ht="13.2" x14ac:dyDescent="0.25">
      <c r="A160" s="146">
        <f t="shared" si="19"/>
        <v>160</v>
      </c>
      <c r="B160" s="18"/>
      <c r="C160" s="19"/>
      <c r="D160" s="19"/>
      <c r="E160" s="19"/>
      <c r="F160" s="36"/>
      <c r="G160" s="36"/>
      <c r="H160" s="36"/>
      <c r="I160" s="36"/>
      <c r="J160" s="36"/>
      <c r="K160" s="36"/>
      <c r="L160" s="36"/>
      <c r="M160" s="54"/>
    </row>
    <row r="161" spans="1:14" ht="13.2" x14ac:dyDescent="0.25">
      <c r="A161" s="146">
        <f t="shared" si="19"/>
        <v>161</v>
      </c>
      <c r="B161" s="93" t="s">
        <v>32</v>
      </c>
      <c r="C161" s="94"/>
      <c r="D161" s="95"/>
      <c r="E161" s="17"/>
      <c r="F161" s="27"/>
      <c r="G161" s="27"/>
      <c r="H161" s="27"/>
      <c r="I161" s="27"/>
      <c r="J161" s="27"/>
      <c r="K161" s="27"/>
      <c r="L161" s="27"/>
      <c r="M161" s="54"/>
    </row>
    <row r="162" spans="1:14" ht="13.2" x14ac:dyDescent="0.25">
      <c r="A162" s="146">
        <f t="shared" si="19"/>
        <v>162</v>
      </c>
      <c r="B162" s="93"/>
      <c r="C162" s="94"/>
      <c r="D162" s="94"/>
      <c r="E162" s="94"/>
      <c r="F162" s="96"/>
      <c r="G162" s="27"/>
      <c r="H162" s="27"/>
      <c r="I162" s="27"/>
      <c r="J162" s="27"/>
      <c r="K162" s="27"/>
      <c r="L162" s="27"/>
      <c r="M162" s="54"/>
    </row>
    <row r="163" spans="1:14" ht="13.2" x14ac:dyDescent="0.25">
      <c r="A163" s="146">
        <f t="shared" si="19"/>
        <v>163</v>
      </c>
      <c r="B163" s="33" t="s">
        <v>77</v>
      </c>
      <c r="C163" s="31"/>
      <c r="D163" s="31"/>
      <c r="E163" s="31"/>
      <c r="F163" s="97">
        <f>SUM(F157:N157)</f>
        <v>541090.03150746785</v>
      </c>
      <c r="G163" s="27"/>
      <c r="H163" s="27"/>
      <c r="I163" s="27"/>
      <c r="J163" s="27"/>
      <c r="K163" s="27"/>
      <c r="L163" s="27"/>
      <c r="M163" s="54"/>
    </row>
    <row r="164" spans="1:14" ht="13.2" x14ac:dyDescent="0.25">
      <c r="A164" s="146">
        <f t="shared" si="19"/>
        <v>164</v>
      </c>
      <c r="B164" s="33" t="s">
        <v>28</v>
      </c>
      <c r="C164" s="31"/>
      <c r="D164" s="31"/>
      <c r="E164" s="31"/>
      <c r="F164" s="97">
        <f>NPV('PET Financial Worksheet'!E47,F157:N157)</f>
        <v>208889.72949854226</v>
      </c>
      <c r="G164" s="27"/>
      <c r="H164" s="27"/>
      <c r="I164" s="27"/>
      <c r="J164" s="27"/>
      <c r="K164" s="36"/>
      <c r="L164" s="27"/>
      <c r="M164" s="54"/>
    </row>
    <row r="165" spans="1:14" ht="13.2" x14ac:dyDescent="0.25">
      <c r="A165" s="146">
        <f t="shared" si="19"/>
        <v>165</v>
      </c>
      <c r="B165" s="98" t="s">
        <v>31</v>
      </c>
      <c r="C165" s="99"/>
      <c r="D165" s="99"/>
      <c r="E165" s="99"/>
      <c r="F165" s="100">
        <f>IRR(F157:N157)</f>
        <v>0.20518057026985237</v>
      </c>
      <c r="G165" s="29"/>
      <c r="H165" s="29"/>
      <c r="I165" s="29"/>
      <c r="J165" s="29"/>
      <c r="K165" s="29"/>
      <c r="L165" s="29"/>
      <c r="M165" s="54"/>
    </row>
    <row r="166" spans="1:14" x14ac:dyDescent="0.25">
      <c r="A166" s="146">
        <f t="shared" si="19"/>
        <v>166</v>
      </c>
    </row>
    <row r="167" spans="1:14" x14ac:dyDescent="0.25">
      <c r="A167" s="146">
        <f t="shared" si="19"/>
        <v>167</v>
      </c>
    </row>
    <row r="168" spans="1:14" x14ac:dyDescent="0.25">
      <c r="A168" s="146">
        <f t="shared" si="19"/>
        <v>168</v>
      </c>
    </row>
    <row r="169" spans="1:14" ht="13.2" x14ac:dyDescent="0.25">
      <c r="A169" s="146">
        <f t="shared" si="19"/>
        <v>169</v>
      </c>
      <c r="B169" s="19"/>
      <c r="C169" s="19"/>
      <c r="D169" s="19"/>
      <c r="E169" s="19"/>
      <c r="F169" s="138" t="s">
        <v>20</v>
      </c>
      <c r="G169" s="138" t="s">
        <v>20</v>
      </c>
      <c r="H169" s="138" t="s">
        <v>20</v>
      </c>
      <c r="I169" s="138" t="s">
        <v>20</v>
      </c>
      <c r="J169" s="138" t="s">
        <v>20</v>
      </c>
      <c r="K169" s="138" t="s">
        <v>20</v>
      </c>
      <c r="L169" s="138" t="s">
        <v>20</v>
      </c>
      <c r="M169" s="138" t="s">
        <v>20</v>
      </c>
      <c r="N169" s="138" t="s">
        <v>20</v>
      </c>
    </row>
    <row r="170" spans="1:14" ht="13.2" x14ac:dyDescent="0.25">
      <c r="A170" s="146">
        <f t="shared" si="19"/>
        <v>170</v>
      </c>
      <c r="F170" s="139">
        <v>0</v>
      </c>
      <c r="G170" s="139">
        <v>1</v>
      </c>
      <c r="H170" s="139">
        <v>2</v>
      </c>
      <c r="I170" s="139">
        <v>3</v>
      </c>
      <c r="J170" s="139">
        <v>4</v>
      </c>
      <c r="K170" s="139">
        <v>5</v>
      </c>
      <c r="L170" s="139">
        <v>6</v>
      </c>
      <c r="M170" s="139">
        <v>7</v>
      </c>
      <c r="N170" s="139">
        <v>8</v>
      </c>
    </row>
    <row r="171" spans="1:14" x14ac:dyDescent="0.25">
      <c r="A171" s="146">
        <f t="shared" si="19"/>
        <v>171</v>
      </c>
      <c r="E171" s="102" t="s">
        <v>47</v>
      </c>
      <c r="F171" s="129">
        <f>F144</f>
        <v>-81500</v>
      </c>
      <c r="G171" s="129">
        <f>G144</f>
        <v>-482777.20416620607</v>
      </c>
      <c r="H171" s="129">
        <f t="shared" ref="H171:M171" si="30">H144</f>
        <v>-614429.19216620608</v>
      </c>
      <c r="I171" s="129">
        <f t="shared" si="30"/>
        <v>-624177.50220620609</v>
      </c>
      <c r="J171" s="129">
        <f t="shared" si="30"/>
        <v>-634241.41444340616</v>
      </c>
      <c r="K171" s="129">
        <f t="shared" si="30"/>
        <v>-644631.32305956213</v>
      </c>
      <c r="L171" s="129">
        <f t="shared" si="30"/>
        <v>-615978.36694031022</v>
      </c>
      <c r="M171" s="129">
        <f t="shared" si="30"/>
        <v>-270652.85828787932</v>
      </c>
      <c r="N171" s="130"/>
    </row>
    <row r="172" spans="1:14" x14ac:dyDescent="0.25">
      <c r="A172" s="146">
        <f t="shared" si="19"/>
        <v>172</v>
      </c>
      <c r="E172" s="117" t="s">
        <v>43</v>
      </c>
      <c r="F172" s="54">
        <f>F152</f>
        <v>0</v>
      </c>
      <c r="G172" s="131">
        <f>G152</f>
        <v>-271334.25</v>
      </c>
      <c r="H172" s="131">
        <f t="shared" ref="H172:M172" si="31">H152</f>
        <v>-341410.83750000002</v>
      </c>
      <c r="I172" s="131">
        <f t="shared" si="31"/>
        <v>-377582.11319100007</v>
      </c>
      <c r="J172" s="131">
        <f t="shared" si="31"/>
        <v>-404926.14420641295</v>
      </c>
      <c r="K172" s="131">
        <f t="shared" si="31"/>
        <v>-433620.02022471547</v>
      </c>
      <c r="L172" s="131">
        <f t="shared" si="31"/>
        <v>-464475.78430892742</v>
      </c>
      <c r="M172" s="131">
        <f t="shared" si="31"/>
        <v>-493140.10262555158</v>
      </c>
      <c r="N172" s="132"/>
    </row>
    <row r="173" spans="1:14" x14ac:dyDescent="0.25">
      <c r="A173" s="146">
        <f t="shared" si="19"/>
        <v>173</v>
      </c>
      <c r="E173" s="117" t="s">
        <v>104</v>
      </c>
      <c r="F173" s="131">
        <f>SUM(F171:F172)</f>
        <v>-81500</v>
      </c>
      <c r="G173" s="131">
        <f>SUM(G171:G172)</f>
        <v>-754111.45416620607</v>
      </c>
      <c r="H173" s="131">
        <f t="shared" ref="H173:M173" si="32">SUM(H171:H172)</f>
        <v>-955840.0296662061</v>
      </c>
      <c r="I173" s="131">
        <f t="shared" si="32"/>
        <v>-1001759.6153972062</v>
      </c>
      <c r="J173" s="131">
        <f t="shared" si="32"/>
        <v>-1039167.5586498191</v>
      </c>
      <c r="K173" s="131">
        <f t="shared" si="32"/>
        <v>-1078251.3432842777</v>
      </c>
      <c r="L173" s="131">
        <f t="shared" si="32"/>
        <v>-1080454.1512492376</v>
      </c>
      <c r="M173" s="131">
        <f t="shared" si="32"/>
        <v>-763792.9609134309</v>
      </c>
      <c r="N173" s="132"/>
    </row>
    <row r="174" spans="1:14" x14ac:dyDescent="0.25">
      <c r="A174" s="146">
        <f t="shared" si="19"/>
        <v>174</v>
      </c>
      <c r="E174" s="117"/>
      <c r="F174" s="54"/>
      <c r="G174" s="54"/>
      <c r="H174" s="54"/>
      <c r="I174" s="54"/>
      <c r="J174" s="54"/>
      <c r="K174" s="54"/>
      <c r="L174" s="54"/>
      <c r="M174" s="54"/>
      <c r="N174" s="62"/>
    </row>
    <row r="175" spans="1:14" x14ac:dyDescent="0.25">
      <c r="A175" s="146">
        <f t="shared" si="19"/>
        <v>175</v>
      </c>
      <c r="E175" s="117" t="s">
        <v>105</v>
      </c>
      <c r="F175" s="54"/>
      <c r="G175" s="133">
        <f t="shared" ref="G175:M175" si="33">G171/G109</f>
        <v>-1005.7858420129293</v>
      </c>
      <c r="H175" s="133">
        <f t="shared" si="33"/>
        <v>-1113.0963626199386</v>
      </c>
      <c r="I175" s="133">
        <f t="shared" si="33"/>
        <v>-1056.7816304452899</v>
      </c>
      <c r="J175" s="133">
        <f t="shared" si="33"/>
        <v>-1032.5198325340148</v>
      </c>
      <c r="K175" s="133">
        <f t="shared" si="33"/>
        <v>-1009.071337600859</v>
      </c>
      <c r="L175" s="133">
        <f t="shared" si="33"/>
        <v>-927.13416841052481</v>
      </c>
      <c r="M175" s="133">
        <f t="shared" si="33"/>
        <v>-395.50549327075157</v>
      </c>
      <c r="N175" s="134"/>
    </row>
    <row r="176" spans="1:14" x14ac:dyDescent="0.25">
      <c r="A176" s="146">
        <f t="shared" si="19"/>
        <v>176</v>
      </c>
      <c r="E176" s="117" t="s">
        <v>106</v>
      </c>
      <c r="F176" s="54"/>
      <c r="G176" s="133">
        <f t="shared" ref="G176:M176" si="34">G152/G109</f>
        <v>-565.27968750000002</v>
      </c>
      <c r="H176" s="133">
        <f t="shared" si="34"/>
        <v>-618.49789402173917</v>
      </c>
      <c r="I176" s="133">
        <f t="shared" si="34"/>
        <v>-639.27623119158875</v>
      </c>
      <c r="J176" s="133">
        <f t="shared" si="34"/>
        <v>-659.20368030769248</v>
      </c>
      <c r="K176" s="133">
        <f t="shared" si="34"/>
        <v>-678.76554887519239</v>
      </c>
      <c r="L176" s="133">
        <f t="shared" si="34"/>
        <v>-699.10145086931755</v>
      </c>
      <c r="M176" s="133">
        <f t="shared" si="34"/>
        <v>-720.62649097558892</v>
      </c>
      <c r="N176" s="134"/>
    </row>
    <row r="177" spans="1:14" x14ac:dyDescent="0.25">
      <c r="A177" s="146">
        <f t="shared" si="19"/>
        <v>177</v>
      </c>
      <c r="E177" s="135" t="s">
        <v>107</v>
      </c>
      <c r="F177" s="55"/>
      <c r="G177" s="136">
        <f t="shared" ref="G177:M177" si="35">G173/G109</f>
        <v>-1571.0655295129293</v>
      </c>
      <c r="H177" s="136">
        <f t="shared" si="35"/>
        <v>-1731.5942566416777</v>
      </c>
      <c r="I177" s="136">
        <f t="shared" si="35"/>
        <v>-1696.0578616368787</v>
      </c>
      <c r="J177" s="136">
        <f t="shared" si="35"/>
        <v>-1691.7235128417071</v>
      </c>
      <c r="K177" s="136">
        <f t="shared" si="35"/>
        <v>-1687.8368864760516</v>
      </c>
      <c r="L177" s="136">
        <f t="shared" si="35"/>
        <v>-1626.2356192798422</v>
      </c>
      <c r="M177" s="136">
        <f t="shared" si="35"/>
        <v>-1116.1319842463406</v>
      </c>
      <c r="N177" s="137"/>
    </row>
    <row r="178" spans="1:14" x14ac:dyDescent="0.25">
      <c r="A178" s="146">
        <f t="shared" si="19"/>
        <v>178</v>
      </c>
    </row>
    <row r="179" spans="1:14" x14ac:dyDescent="0.25">
      <c r="A179" s="146">
        <f t="shared" si="19"/>
        <v>179</v>
      </c>
    </row>
    <row r="180" spans="1:14" x14ac:dyDescent="0.25">
      <c r="A180" s="147"/>
    </row>
  </sheetData>
  <sheetProtection password="E428" sheet="1" objects="1" scenarios="1"/>
  <scenarios current="9" show="7" sqref="F167:L169">
    <scenario name="10" locked="1" count="1" user="Michael A. Bohl" comment="Created by Michael A. Bohl on 09/05/2001_x000a_Modified by Michael A. Bohl on 09/05/2001_x000a_Modified by Michael Bohl on 9/22/2001_x000a_Modified by Michael A. Bohl on 08/22/2002">
      <inputCells r="D53" val="10" numFmtId="165"/>
    </scenario>
    <scenario name="20" locked="1" count="1" user="Michael A. Bohl" comment="Created by Michael A. Bohl on 09/05/2001_x000a_Modified by Michael Bohl on 9/22/2001_x000a_Modified by Michael A. Bohl on 08/22/2002">
      <inputCells r="D53" val="20" numFmtId="165"/>
    </scenario>
    <scenario name="30" locked="1" count="1" user="Michael A. Bohl" comment="Created by Michael A. Bohl on 09/05/2001_x000a_Modified by Michael Bohl on 9/22/2001_x000a_Modified by Michael A. Bohl on 08/22/2002">
      <inputCells r="D53" val="30" numFmtId="165"/>
    </scenario>
    <scenario name="40" locked="1" count="1" user="Michael A. Bohl" comment="Created by Michael A. Bohl on 09/05/2001_x000a_Modified by Michael Bohl on 9/22/2001_x000a_Modified by Michael A. Bohl on 08/22/2002">
      <inputCells r="D53" val="40" numFmtId="165"/>
    </scenario>
    <scenario name="50" locked="1" count="1" user="Michael A. Bohl" comment="Created by Michael A. Bohl on 09/05/2001_x000a_Modified by Michael Bohl on 9/22/2001_x000a_Modified by Michael A. Bohl on 08/22/2002">
      <inputCells r="D53" val="50" numFmtId="165"/>
    </scenario>
    <scenario name="60" locked="1" count="1" user="Michael A. Bohl" comment="Created by Michael A. Bohl on 09/05/2001_x000a_Modified by Michael Bohl on 9/22/2001_x000a_Modified by Michael A. Bohl on 08/22/2002">
      <inputCells r="D53" val="60" numFmtId="165"/>
    </scenario>
    <scenario name="70" locked="1" count="1" user="Michael A. Bohl" comment="Created by Michael A. Bohl on 09/05/2001_x000a_Modified by Michael Bohl on 9/22/2001_x000a_Modified by Michael A. Bohl on 08/22/2002">
      <inputCells r="D53" val="70" numFmtId="165"/>
    </scenario>
    <scenario name="80" locked="1" count="1" user="Michael A. Bohl" comment="Created by Michael A. Bohl on 09/05/2001_x000a_Modified by Michael Bohl on 9/22/2001_x000a_Modified by Michael A. Bohl on 08/22/2002">
      <inputCells r="D53" val="80" numFmtId="165"/>
    </scenario>
    <scenario name="90" locked="1" count="1" user="Michael A. Bohl" comment="Created by Michael A. Bohl on 08/22/2002">
      <inputCells r="D53" val="90" numFmtId="165"/>
    </scenario>
    <scenario name="100" locked="1" count="1" user="Michael A. Bohl" comment="Created by Michael A. Bohl on 08/22/2002">
      <inputCells r="D53" val="100" numFmtId="165"/>
    </scenario>
  </scenarios>
  <phoneticPr fontId="4" type="noConversion"/>
  <printOptions horizontalCentered="1" verticalCentered="1"/>
  <pageMargins left="1" right="0.44" top="0.68" bottom="0.69" header="0.25" footer="0.5"/>
  <pageSetup scale="8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Instructions</vt:lpstr>
      <vt:lpstr>PET Financial Worksheet</vt:lpstr>
      <vt:lpstr>'PET Financial Worksheet'!Print_Area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cp:lastPrinted>2002-08-24T12:22:03Z</cp:lastPrinted>
  <dcterms:created xsi:type="dcterms:W3CDTF">1996-03-05T16:12:28Z</dcterms:created>
  <dcterms:modified xsi:type="dcterms:W3CDTF">2024-02-03T22:32:16Z</dcterms:modified>
</cp:coreProperties>
</file>