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D2781787-E164-4BD7-9C86-D5CB79CF18E1}" xr6:coauthVersionLast="47" xr6:coauthVersionMax="47" xr10:uidLastSave="{00000000-0000-0000-0000-000000000000}"/>
  <bookViews>
    <workbookView xWindow="768" yWindow="768" windowWidth="17280" windowHeight="8880" tabRatio="703"/>
  </bookViews>
  <sheets>
    <sheet name="Title" sheetId="1" r:id="rId1"/>
    <sheet name="TableOfContents" sheetId="10" r:id="rId2"/>
    <sheet name="Products" sheetId="2" r:id="rId3"/>
    <sheet name="Categories" sheetId="3" r:id="rId4"/>
    <sheet name="Requirements" sheetId="8" r:id="rId5"/>
    <sheet name="Configurations" sheetId="7" r:id="rId6"/>
    <sheet name="ConfigSummary" sheetId="9" r:id="rId7"/>
    <sheet name="Enterprise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D8" i="7"/>
  <c r="G8" i="7" s="1"/>
  <c r="D9" i="7"/>
  <c r="G9" i="7"/>
  <c r="D10" i="7"/>
  <c r="G10" i="7"/>
  <c r="D11" i="7"/>
  <c r="G11" i="7" s="1"/>
  <c r="D30" i="7"/>
  <c r="G30" i="7" s="1"/>
  <c r="D31" i="7"/>
  <c r="G31" i="7" s="1"/>
  <c r="D32" i="7"/>
  <c r="G32" i="7"/>
  <c r="D33" i="7"/>
  <c r="G33" i="7"/>
  <c r="D118" i="7"/>
  <c r="G118" i="7" s="1"/>
  <c r="G121" i="7" s="1"/>
  <c r="C115" i="7" s="1"/>
  <c r="D119" i="7"/>
  <c r="G119" i="7" s="1"/>
  <c r="D96" i="7"/>
  <c r="G96" i="7" s="1"/>
  <c r="G101" i="7" s="1"/>
  <c r="C93" i="7" s="1"/>
  <c r="D97" i="7"/>
  <c r="G97" i="7"/>
  <c r="D98" i="7"/>
  <c r="G98" i="7"/>
  <c r="D99" i="7"/>
  <c r="G99" i="7" s="1"/>
  <c r="D52" i="7"/>
  <c r="G52" i="7" s="1"/>
  <c r="G57" i="7" s="1"/>
  <c r="C49" i="7" s="1"/>
  <c r="D53" i="7"/>
  <c r="G53" i="7"/>
  <c r="D54" i="7"/>
  <c r="G54" i="7"/>
  <c r="D55" i="7"/>
  <c r="G55" i="7" s="1"/>
  <c r="D74" i="7"/>
  <c r="G74" i="7"/>
  <c r="G79" i="7" s="1"/>
  <c r="C71" i="7" s="1"/>
  <c r="D75" i="7"/>
  <c r="G75" i="7" s="1"/>
  <c r="D76" i="7"/>
  <c r="G76" i="7" s="1"/>
  <c r="D77" i="7"/>
  <c r="G77" i="7"/>
  <c r="D137" i="7"/>
  <c r="G137" i="7" s="1"/>
  <c r="D138" i="7"/>
  <c r="G138" i="7"/>
  <c r="D139" i="7"/>
  <c r="G139" i="7" s="1"/>
  <c r="D157" i="7"/>
  <c r="G157" i="7" s="1"/>
  <c r="G163" i="7" s="1"/>
  <c r="C154" i="7" s="1"/>
  <c r="D158" i="7"/>
  <c r="G158" i="7"/>
  <c r="D159" i="7"/>
  <c r="G159" i="7"/>
  <c r="D160" i="7"/>
  <c r="G160" i="7" s="1"/>
  <c r="D161" i="7"/>
  <c r="G161" i="7" s="1"/>
  <c r="E54" i="7"/>
  <c r="C54" i="7"/>
  <c r="B54" i="7"/>
  <c r="D86" i="7"/>
  <c r="G86" i="7"/>
  <c r="E86" i="7"/>
  <c r="C86" i="7"/>
  <c r="B86" i="7"/>
  <c r="D169" i="7"/>
  <c r="G169" i="7" s="1"/>
  <c r="D170" i="7"/>
  <c r="G170" i="7" s="1"/>
  <c r="D171" i="7"/>
  <c r="G171" i="7"/>
  <c r="D172" i="7"/>
  <c r="G172" i="7"/>
  <c r="D173" i="7"/>
  <c r="G173" i="7" s="1"/>
  <c r="D147" i="7"/>
  <c r="G147" i="7"/>
  <c r="D148" i="7"/>
  <c r="G148" i="7" s="1"/>
  <c r="D149" i="7"/>
  <c r="G149" i="7" s="1"/>
  <c r="D85" i="7"/>
  <c r="G85" i="7" s="1"/>
  <c r="D87" i="7"/>
  <c r="G87" i="7" s="1"/>
  <c r="D88" i="7"/>
  <c r="G88" i="7"/>
  <c r="D63" i="7"/>
  <c r="G63" i="7" s="1"/>
  <c r="D64" i="7"/>
  <c r="G64" i="7"/>
  <c r="D65" i="7"/>
  <c r="G65" i="7"/>
  <c r="D66" i="7"/>
  <c r="G66" i="7" s="1"/>
  <c r="D107" i="7"/>
  <c r="G107" i="7" s="1"/>
  <c r="G112" i="7" s="1"/>
  <c r="C104" i="7" s="1"/>
  <c r="D108" i="7"/>
  <c r="G108" i="7" s="1"/>
  <c r="D109" i="7"/>
  <c r="G109" i="7"/>
  <c r="D110" i="7"/>
  <c r="G110" i="7"/>
  <c r="D127" i="7"/>
  <c r="G127" i="7"/>
  <c r="G131" i="7" s="1"/>
  <c r="C124" i="7" s="1"/>
  <c r="D128" i="7"/>
  <c r="G128" i="7"/>
  <c r="D129" i="7"/>
  <c r="G129" i="7" s="1"/>
  <c r="D41" i="7"/>
  <c r="G41" i="7"/>
  <c r="D42" i="7"/>
  <c r="G42" i="7" s="1"/>
  <c r="D43" i="7"/>
  <c r="G43" i="7" s="1"/>
  <c r="D44" i="7"/>
  <c r="G44" i="7"/>
  <c r="D19" i="7"/>
  <c r="G19" i="7" s="1"/>
  <c r="D20" i="7"/>
  <c r="G20" i="7"/>
  <c r="D21" i="7"/>
  <c r="G21" i="7"/>
  <c r="D22" i="7"/>
  <c r="G22" i="7" s="1"/>
  <c r="E110" i="7"/>
  <c r="C110" i="7"/>
  <c r="B110" i="7"/>
  <c r="E88" i="7"/>
  <c r="C88" i="7"/>
  <c r="B88" i="7"/>
  <c r="E66" i="7"/>
  <c r="C66" i="7"/>
  <c r="B66" i="7"/>
  <c r="E44" i="7"/>
  <c r="C44" i="7"/>
  <c r="B44" i="7"/>
  <c r="E139" i="7"/>
  <c r="C139" i="7"/>
  <c r="B139" i="7"/>
  <c r="E99" i="7"/>
  <c r="C99" i="7"/>
  <c r="B99" i="7"/>
  <c r="E77" i="7"/>
  <c r="C77" i="7"/>
  <c r="B77" i="7"/>
  <c r="E55" i="7"/>
  <c r="C55" i="7"/>
  <c r="B55" i="7"/>
  <c r="E33" i="7"/>
  <c r="C33" i="7"/>
  <c r="B33" i="7"/>
  <c r="E22" i="7"/>
  <c r="C22" i="7"/>
  <c r="B22" i="7"/>
  <c r="E10" i="7"/>
  <c r="C10" i="7"/>
  <c r="B10" i="7"/>
  <c r="G13" i="8"/>
  <c r="G20" i="8" s="1"/>
  <c r="G15" i="8"/>
  <c r="G16" i="8"/>
  <c r="G14" i="8"/>
  <c r="G12" i="8"/>
  <c r="G11" i="8"/>
  <c r="B8" i="7"/>
  <c r="B27" i="9"/>
  <c r="B26" i="9"/>
  <c r="B24" i="9"/>
  <c r="B23" i="9"/>
  <c r="B21" i="9"/>
  <c r="B20" i="9"/>
  <c r="B18" i="9"/>
  <c r="B17" i="9"/>
  <c r="B15" i="9"/>
  <c r="B14" i="9"/>
  <c r="B12" i="9"/>
  <c r="B11" i="9"/>
  <c r="B9" i="9"/>
  <c r="B8" i="9"/>
  <c r="B6" i="9"/>
  <c r="D182" i="7"/>
  <c r="G182" i="7"/>
  <c r="G191" i="7" s="1"/>
  <c r="C179" i="7" s="1"/>
  <c r="D183" i="7"/>
  <c r="G183" i="7"/>
  <c r="D184" i="7"/>
  <c r="G184" i="7" s="1"/>
  <c r="D185" i="7"/>
  <c r="G185" i="7" s="1"/>
  <c r="D186" i="7"/>
  <c r="G186" i="7"/>
  <c r="D187" i="7"/>
  <c r="G187" i="7"/>
  <c r="D188" i="7"/>
  <c r="G188" i="7" s="1"/>
  <c r="D189" i="7"/>
  <c r="G189" i="7" s="1"/>
  <c r="B5" i="9"/>
  <c r="E171" i="7"/>
  <c r="C171" i="7"/>
  <c r="B171" i="7"/>
  <c r="E170" i="7"/>
  <c r="C170" i="7"/>
  <c r="B170" i="7"/>
  <c r="E169" i="7"/>
  <c r="C169" i="7"/>
  <c r="B169" i="7"/>
  <c r="B158" i="7"/>
  <c r="E43" i="7"/>
  <c r="C43" i="7"/>
  <c r="B43" i="7"/>
  <c r="E42" i="7"/>
  <c r="C42" i="7"/>
  <c r="B42" i="7"/>
  <c r="E41" i="7"/>
  <c r="C41" i="7"/>
  <c r="B41" i="7"/>
  <c r="E32" i="7"/>
  <c r="C32" i="7"/>
  <c r="B32" i="7"/>
  <c r="E31" i="7"/>
  <c r="C31" i="7"/>
  <c r="B31" i="7"/>
  <c r="E30" i="7"/>
  <c r="C30" i="7"/>
  <c r="B30" i="7"/>
  <c r="E189" i="7"/>
  <c r="E188" i="7"/>
  <c r="E187" i="7"/>
  <c r="E186" i="7"/>
  <c r="E185" i="7"/>
  <c r="E184" i="7"/>
  <c r="E183" i="7"/>
  <c r="E182" i="7"/>
  <c r="E173" i="7"/>
  <c r="E172" i="7"/>
  <c r="E161" i="7"/>
  <c r="E160" i="7"/>
  <c r="E159" i="7"/>
  <c r="E158" i="7"/>
  <c r="E157" i="7"/>
  <c r="E149" i="7"/>
  <c r="E148" i="7"/>
  <c r="E147" i="7"/>
  <c r="E138" i="7"/>
  <c r="E137" i="7"/>
  <c r="E129" i="7"/>
  <c r="E128" i="7"/>
  <c r="E127" i="7"/>
  <c r="E119" i="7"/>
  <c r="E118" i="7"/>
  <c r="E109" i="7"/>
  <c r="E108" i="7"/>
  <c r="E107" i="7"/>
  <c r="E98" i="7"/>
  <c r="E97" i="7"/>
  <c r="E96" i="7"/>
  <c r="E87" i="7"/>
  <c r="E85" i="7"/>
  <c r="E76" i="7"/>
  <c r="E75" i="7"/>
  <c r="E74" i="7"/>
  <c r="E65" i="7"/>
  <c r="E64" i="7"/>
  <c r="E63" i="7"/>
  <c r="E53" i="7"/>
  <c r="E52" i="7"/>
  <c r="E21" i="7"/>
  <c r="E20" i="7"/>
  <c r="E19" i="7"/>
  <c r="E11" i="7"/>
  <c r="E9" i="7"/>
  <c r="E8" i="7"/>
  <c r="C173" i="7"/>
  <c r="B173" i="7"/>
  <c r="C172" i="7"/>
  <c r="B172" i="7"/>
  <c r="C149" i="7"/>
  <c r="B149" i="7"/>
  <c r="C148" i="7"/>
  <c r="B148" i="7"/>
  <c r="C147" i="7"/>
  <c r="B147" i="7"/>
  <c r="C129" i="7"/>
  <c r="B129" i="7"/>
  <c r="C128" i="7"/>
  <c r="B128" i="7"/>
  <c r="C127" i="7"/>
  <c r="B127" i="7"/>
  <c r="C109" i="7"/>
  <c r="B109" i="7"/>
  <c r="C108" i="7"/>
  <c r="B108" i="7"/>
  <c r="C107" i="7"/>
  <c r="B107" i="7"/>
  <c r="C87" i="7"/>
  <c r="B87" i="7"/>
  <c r="C85" i="7"/>
  <c r="B85" i="7"/>
  <c r="C65" i="7"/>
  <c r="B65" i="7"/>
  <c r="C64" i="7"/>
  <c r="B64" i="7"/>
  <c r="C63" i="7"/>
  <c r="B63" i="7"/>
  <c r="C21" i="7"/>
  <c r="B21" i="7"/>
  <c r="C20" i="7"/>
  <c r="B20" i="7"/>
  <c r="C19" i="7"/>
  <c r="B19" i="7"/>
  <c r="C119" i="7"/>
  <c r="B119" i="7"/>
  <c r="C118" i="7"/>
  <c r="B118" i="7"/>
  <c r="C138" i="7"/>
  <c r="B138" i="7"/>
  <c r="C137" i="7"/>
  <c r="B137" i="7"/>
  <c r="C161" i="7"/>
  <c r="B161" i="7"/>
  <c r="C160" i="7"/>
  <c r="B160" i="7"/>
  <c r="C159" i="7"/>
  <c r="B159" i="7"/>
  <c r="C158" i="7"/>
  <c r="C157" i="7"/>
  <c r="B157" i="7"/>
  <c r="C53" i="7"/>
  <c r="B53" i="7"/>
  <c r="C52" i="7"/>
  <c r="B52" i="7"/>
  <c r="C76" i="7"/>
  <c r="B76" i="7"/>
  <c r="C75" i="7"/>
  <c r="B75" i="7"/>
  <c r="C74" i="7"/>
  <c r="B74" i="7"/>
  <c r="C98" i="7"/>
  <c r="B98" i="7"/>
  <c r="C97" i="7"/>
  <c r="B97" i="7"/>
  <c r="C96" i="7"/>
  <c r="B96" i="7"/>
  <c r="C11" i="7"/>
  <c r="B11" i="7"/>
  <c r="C9" i="7"/>
  <c r="B9" i="7"/>
  <c r="C8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G90" i="7" l="1"/>
  <c r="C82" i="7" s="1"/>
  <c r="C22" i="4"/>
  <c r="C17" i="9"/>
  <c r="G35" i="7"/>
  <c r="C27" i="7" s="1"/>
  <c r="G46" i="7"/>
  <c r="C38" i="7" s="1"/>
  <c r="C24" i="4"/>
  <c r="C11" i="9"/>
  <c r="C23" i="4"/>
  <c r="C20" i="9"/>
  <c r="C21" i="4"/>
  <c r="C25" i="4"/>
  <c r="C14" i="9"/>
  <c r="C26" i="9"/>
  <c r="C27" i="4"/>
  <c r="G151" i="7"/>
  <c r="C144" i="7" s="1"/>
  <c r="G175" i="7"/>
  <c r="C166" i="7" s="1"/>
  <c r="G68" i="7"/>
  <c r="C60" i="7" s="1"/>
  <c r="G24" i="7"/>
  <c r="C16" i="7" s="1"/>
  <c r="F22" i="4"/>
  <c r="G22" i="4" s="1"/>
  <c r="C18" i="9"/>
  <c r="G141" i="7"/>
  <c r="C134" i="7" s="1"/>
  <c r="G13" i="7"/>
  <c r="C5" i="7" s="1"/>
  <c r="F21" i="4"/>
  <c r="G21" i="4" s="1"/>
  <c r="C21" i="9"/>
  <c r="C24" i="9" l="1"/>
  <c r="F26" i="4"/>
  <c r="C12" i="9"/>
  <c r="F24" i="4"/>
  <c r="G24" i="4" s="1"/>
  <c r="F23" i="4"/>
  <c r="G23" i="4" s="1"/>
  <c r="C19" i="4"/>
  <c r="C5" i="9"/>
  <c r="F20" i="4"/>
  <c r="G20" i="4" s="1"/>
  <c r="C9" i="9"/>
  <c r="F27" i="4"/>
  <c r="G27" i="4" s="1"/>
  <c r="C27" i="9"/>
  <c r="C26" i="4"/>
  <c r="C23" i="9"/>
  <c r="C8" i="9"/>
  <c r="C20" i="4"/>
  <c r="C6" i="9"/>
  <c r="F19" i="4"/>
  <c r="F25" i="4"/>
  <c r="G25" i="4" s="1"/>
  <c r="C15" i="9"/>
  <c r="F29" i="4" l="1"/>
  <c r="B6" i="4" s="1"/>
  <c r="G19" i="4"/>
  <c r="C29" i="4"/>
  <c r="B5" i="4" s="1"/>
  <c r="G26" i="4"/>
  <c r="B11" i="4" l="1"/>
  <c r="B10" i="4"/>
  <c r="B9" i="4"/>
  <c r="B8" i="4"/>
  <c r="A13" i="4" l="1"/>
</calcChain>
</file>

<file path=xl/sharedStrings.xml><?xml version="1.0" encoding="utf-8"?>
<sst xmlns="http://schemas.openxmlformats.org/spreadsheetml/2006/main" count="636" uniqueCount="233">
  <si>
    <t>Price</t>
  </si>
  <si>
    <t>Functionality</t>
  </si>
  <si>
    <t>HIS</t>
  </si>
  <si>
    <t>MSMQ</t>
  </si>
  <si>
    <t>WebSphere MQ</t>
  </si>
  <si>
    <t>Business Application Fortress</t>
  </si>
  <si>
    <t>Treaty Management Fortress</t>
  </si>
  <si>
    <t>Legacy Fortress</t>
  </si>
  <si>
    <t>Service Fortress</t>
  </si>
  <si>
    <t>Asynchronous Backend</t>
  </si>
  <si>
    <t>Microsoft Prices</t>
  </si>
  <si>
    <t>IBM Prices</t>
  </si>
  <si>
    <t>Red Hat Prices</t>
  </si>
  <si>
    <t>Product</t>
  </si>
  <si>
    <t>Per</t>
  </si>
  <si>
    <t>box</t>
  </si>
  <si>
    <t>treaty management</t>
  </si>
  <si>
    <t>BizTalk Ent. Ed.</t>
  </si>
  <si>
    <t>Dell/EMC DS16B</t>
  </si>
  <si>
    <t>Dell/EMC CX600</t>
  </si>
  <si>
    <t>high-end database</t>
  </si>
  <si>
    <t>SQLServer Enterprise Ed.</t>
  </si>
  <si>
    <t>proc</t>
  </si>
  <si>
    <t>message queue</t>
  </si>
  <si>
    <t>legacy bridge</t>
  </si>
  <si>
    <t>legacy  bridge</t>
  </si>
  <si>
    <t>component infrastructure</t>
  </si>
  <si>
    <t>HTTP infrastructure</t>
  </si>
  <si>
    <t>ASP.NET/IIS</t>
  </si>
  <si>
    <t>Extended Price</t>
  </si>
  <si>
    <t>Total</t>
  </si>
  <si>
    <t>Dell Prices</t>
  </si>
  <si>
    <t>SAN interconnect</t>
  </si>
  <si>
    <t>unit</t>
  </si>
  <si>
    <t>normal availability OS</t>
  </si>
  <si>
    <t>high availability OS</t>
  </si>
  <si>
    <t>Unit</t>
  </si>
  <si>
    <t>Total Units</t>
  </si>
  <si>
    <t>Enterprise Database</t>
  </si>
  <si>
    <t>test functionality</t>
  </si>
  <si>
    <t>test product</t>
  </si>
  <si>
    <t>Configurations</t>
  </si>
  <si>
    <t>Categories</t>
  </si>
  <si>
    <t>Category Code</t>
  </si>
  <si>
    <t>C-PF</t>
  </si>
  <si>
    <t>Presentation Fortress Worker</t>
  </si>
  <si>
    <t>C-WSF</t>
  </si>
  <si>
    <t>Web Service Fortress Worker</t>
  </si>
  <si>
    <t>C-BAF</t>
  </si>
  <si>
    <t>C-LF</t>
  </si>
  <si>
    <t>C-TMF</t>
  </si>
  <si>
    <t>C-SF</t>
  </si>
  <si>
    <t>Requirements</t>
  </si>
  <si>
    <t>R-001</t>
  </si>
  <si>
    <t>C-ASB</t>
  </si>
  <si>
    <t>C-EDB</t>
  </si>
  <si>
    <t>HTTP requests</t>
  </si>
  <si>
    <t>SOAP/HTTP</t>
  </si>
  <si>
    <t>update transactions</t>
  </si>
  <si>
    <t>workflow requests</t>
  </si>
  <si>
    <t>read transactions</t>
  </si>
  <si>
    <t>messages</t>
  </si>
  <si>
    <t>DB transaction</t>
  </si>
  <si>
    <t>=======================================================================================</t>
  </si>
  <si>
    <t>Products</t>
  </si>
  <si>
    <t>Configuration Template</t>
  </si>
  <si>
    <t>MS Presentation Fortress</t>
  </si>
  <si>
    <t>IBM Presentation Fortress</t>
  </si>
  <si>
    <t>MS Web Service Fortress</t>
  </si>
  <si>
    <t>IBM Web Service Fortress</t>
  </si>
  <si>
    <t>MS Business Application Fortress</t>
  </si>
  <si>
    <t>IBM Business Application Fortress</t>
  </si>
  <si>
    <t>MS Legacy Fortress</t>
  </si>
  <si>
    <t>IBM Legacy Fortress</t>
  </si>
  <si>
    <t>MS Treaty Management Fortress</t>
  </si>
  <si>
    <t>IBM Treaty Management Fortress</t>
  </si>
  <si>
    <t>MS Service Fortress</t>
  </si>
  <si>
    <t>IBM Service Fortress</t>
  </si>
  <si>
    <t>MS Asynchronous Back-end</t>
  </si>
  <si>
    <t>IBM Asynchronous Back-end</t>
  </si>
  <si>
    <t>MS Enterprise Data Services</t>
  </si>
  <si>
    <t>IBM Enterprise Data Services</t>
  </si>
  <si>
    <t>Configuration Summaries</t>
  </si>
  <si>
    <t>Description</t>
  </si>
  <si>
    <t>Cost</t>
  </si>
  <si>
    <t>This is a configuration template</t>
  </si>
  <si>
    <t>Our Enterprise</t>
  </si>
  <si>
    <t>Fortress</t>
  </si>
  <si>
    <t>Customer Browser Gateway</t>
  </si>
  <si>
    <t>Customer Programmatic Gateway</t>
  </si>
  <si>
    <t>Security</t>
  </si>
  <si>
    <t>Order Management</t>
  </si>
  <si>
    <t>Shipping Management</t>
  </si>
  <si>
    <t>Inventory Management</t>
  </si>
  <si>
    <t>Accounts Receivable</t>
  </si>
  <si>
    <t>Messaging</t>
  </si>
  <si>
    <t>Enterprise Data Services</t>
  </si>
  <si>
    <t>web front-end OS</t>
  </si>
  <si>
    <t>small hardware box</t>
  </si>
  <si>
    <t>large hardware box</t>
  </si>
  <si>
    <t>database box</t>
  </si>
  <si>
    <t>external shared disks</t>
  </si>
  <si>
    <t>Summary</t>
  </si>
  <si>
    <t>Dell 1750/2 Proc</t>
  </si>
  <si>
    <t>WorkSheet</t>
  </si>
  <si>
    <t>Purpose</t>
  </si>
  <si>
    <t>Lists the requirements for each category</t>
  </si>
  <si>
    <t>Defines both Microsoft and IBM implementations of the requirements</t>
  </si>
  <si>
    <t>ConfigSummary</t>
  </si>
  <si>
    <t>Enterprise</t>
  </si>
  <si>
    <t>Lists each fortress in the enterprise, and compares the MS and IBM costs</t>
  </si>
  <si>
    <t>by Roger Sessions</t>
  </si>
  <si>
    <t>ObjectWatch, Inc.</t>
  </si>
  <si>
    <t>Acceptable Downtime</t>
  </si>
  <si>
    <t>Other Requirements</t>
  </si>
  <si>
    <t>Messages Per Enterprise Request</t>
  </si>
  <si>
    <t>Internal Units of Work Per Message</t>
  </si>
  <si>
    <t>Workload Per Minute</t>
  </si>
  <si>
    <t>bridge requests</t>
  </si>
  <si>
    <t>Average Enterprise Requests Per Minute:</t>
  </si>
  <si>
    <t>Peak Enterprise Requests Per Minute:</t>
  </si>
  <si>
    <t>S(ync) or A(sync)</t>
  </si>
  <si>
    <t>s</t>
  </si>
  <si>
    <t>a</t>
  </si>
  <si>
    <t>na</t>
  </si>
  <si>
    <t>enterprise</t>
  </si>
  <si>
    <t>Dell 2650/2 Proc</t>
  </si>
  <si>
    <t>Dell 6650/4 Proc</t>
  </si>
  <si>
    <t>Prod Code</t>
  </si>
  <si>
    <t>Category Name</t>
  </si>
  <si>
    <t>Req Code</t>
  </si>
  <si>
    <t>Scalability Requirements</t>
  </si>
  <si>
    <t>high</t>
  </si>
  <si>
    <t>low</t>
  </si>
  <si>
    <t>medium</t>
  </si>
  <si>
    <t>R-PF</t>
  </si>
  <si>
    <t>R-WSF</t>
  </si>
  <si>
    <t>R-BAF</t>
  </si>
  <si>
    <t>R-LF</t>
  </si>
  <si>
    <t>R-TMF</t>
  </si>
  <si>
    <t>R-SF</t>
  </si>
  <si>
    <t>R-ASB</t>
  </si>
  <si>
    <t>R-EDB</t>
  </si>
  <si>
    <t>P-D001</t>
  </si>
  <si>
    <t>P-D002</t>
  </si>
  <si>
    <t>P-D003</t>
  </si>
  <si>
    <t>P-D005</t>
  </si>
  <si>
    <t>P-D006</t>
  </si>
  <si>
    <t>P-M001</t>
  </si>
  <si>
    <t>P-M002</t>
  </si>
  <si>
    <t>P-M003</t>
  </si>
  <si>
    <t>P-M004</t>
  </si>
  <si>
    <t>P-M005</t>
  </si>
  <si>
    <t>P-M006</t>
  </si>
  <si>
    <t>P-M007</t>
  </si>
  <si>
    <t>P-M008</t>
  </si>
  <si>
    <t>P-M009</t>
  </si>
  <si>
    <t>P-I001</t>
  </si>
  <si>
    <t>P-I002</t>
  </si>
  <si>
    <t>P-I003</t>
  </si>
  <si>
    <t>P-I004</t>
  </si>
  <si>
    <t>P-I005</t>
  </si>
  <si>
    <t>P-I006</t>
  </si>
  <si>
    <t>P-R001</t>
  </si>
  <si>
    <t>P-R002</t>
  </si>
  <si>
    <t>P-test</t>
  </si>
  <si>
    <t>5 min</t>
  </si>
  <si>
    <t>60 min</t>
  </si>
  <si>
    <t>2 min</t>
  </si>
  <si>
    <t>30 seconds</t>
  </si>
  <si>
    <t>MS Config.</t>
  </si>
  <si>
    <t>MS Total</t>
  </si>
  <si>
    <t>IBM Total</t>
  </si>
  <si>
    <t>Microsoft</t>
  </si>
  <si>
    <t>IBM</t>
  </si>
  <si>
    <t>Least Costly System:</t>
  </si>
  <si>
    <t>Most Costly System:</t>
  </si>
  <si>
    <t>Enterprise Details</t>
  </si>
  <si>
    <t>Absolute Cost Differential</t>
  </si>
  <si>
    <t>Multiplicative Differential</t>
  </si>
  <si>
    <t>IBM Config.</t>
  </si>
  <si>
    <t>WebSphere Adv. Server V5 ND</t>
  </si>
  <si>
    <t>WebSphere App Server V5 ND</t>
  </si>
  <si>
    <t>DB2 UDB V 8.1 ESE</t>
  </si>
  <si>
    <t>CICS Transaction Gateway V5</t>
  </si>
  <si>
    <t>Red Hat Ent. Linux AS Standard</t>
  </si>
  <si>
    <t>Red Hat Linux WS  Standard</t>
  </si>
  <si>
    <t>WebSphere Interchange Server v4.2</t>
  </si>
  <si>
    <t>Mult. Diff.</t>
  </si>
  <si>
    <t>testbox</t>
  </si>
  <si>
    <t>10 min</t>
  </si>
  <si>
    <t>High data resiliency</t>
  </si>
  <si>
    <t>CF-EDB/ms</t>
  </si>
  <si>
    <t>CF-EDB/ibm</t>
  </si>
  <si>
    <t>CF-test</t>
  </si>
  <si>
    <t>CF-PF/ms</t>
  </si>
  <si>
    <t>CF-PF/ibm</t>
  </si>
  <si>
    <t>CF-WSF/ms</t>
  </si>
  <si>
    <t>CF-WSF/ibm</t>
  </si>
  <si>
    <t>CF-BAF/ms</t>
  </si>
  <si>
    <t>CF-BAF/ibm</t>
  </si>
  <si>
    <t>CF-LF/ms</t>
  </si>
  <si>
    <t>CF-LF/ibm</t>
  </si>
  <si>
    <t>CF-TMF/ms</t>
  </si>
  <si>
    <t>CF-TMF/ibm</t>
  </si>
  <si>
    <t>CF-SF/ms</t>
  </si>
  <si>
    <t>CF-SF/ibm</t>
  </si>
  <si>
    <t>CF-ASB/ms</t>
  </si>
  <si>
    <t>CF-ASB/ibm</t>
  </si>
  <si>
    <t>i</t>
  </si>
  <si>
    <t>Modeling Software Architectures and Platform Choices</t>
  </si>
  <si>
    <t>Title</t>
  </si>
  <si>
    <t>TableOfContents</t>
  </si>
  <si>
    <t>Title, versions, and general welcome</t>
  </si>
  <si>
    <t>Gives a summary of each configuration, with Microsoft and IBM side by side</t>
  </si>
  <si>
    <t>For directions on the use and maintenance of this spreadsheet, see the accompanying white paper, Appendix 2</t>
  </si>
  <si>
    <t>For the most recent versions of the white paper and spreadsheet, go to www.objectwatch.com</t>
  </si>
  <si>
    <t>Windows Server 2003 Web Ed.</t>
  </si>
  <si>
    <t>Windows Server 2003 Std Ed.</t>
  </si>
  <si>
    <t>Windows Server 2003 Ent. Ed.</t>
  </si>
  <si>
    <t>Enterprise Services</t>
  </si>
  <si>
    <t>Internal Workload</t>
  </si>
  <si>
    <t>Config. Code</t>
  </si>
  <si>
    <t>Req. Code</t>
  </si>
  <si>
    <t>Total Cost</t>
  </si>
  <si>
    <t>Notes</t>
  </si>
  <si>
    <t>Config Code</t>
  </si>
  <si>
    <t>The Software Fortress Enterprise Evaluation Spreadsheet (SF-EES)</t>
  </si>
  <si>
    <t xml:space="preserve">The SF-EES is meant to accompany the white paper, </t>
  </si>
  <si>
    <t>Lists each worksheet and their purposes</t>
  </si>
  <si>
    <t>Lists the products used in the different configurations</t>
  </si>
  <si>
    <t>Gives the different categories of systems used in the enterprise</t>
  </si>
  <si>
    <t>Version 1.0 Last updated 09 June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</si>
</sst>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4"/>
      <color indexed="10"/>
      <name val="Arial"/>
    </font>
    <font>
      <sz val="10"/>
      <color indexed="10"/>
      <name val="Arial"/>
    </font>
    <font>
      <sz val="14"/>
      <name val="Arial"/>
    </font>
    <font>
      <sz val="14"/>
      <color indexed="10"/>
      <name val="Arial"/>
      <family val="2"/>
    </font>
    <font>
      <i/>
      <sz val="12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164" fontId="4" fillId="0" borderId="0" xfId="0" applyNumberFormat="1" applyFont="1" applyAlignment="1">
      <alignment horizontal="left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0" borderId="0" xfId="0" applyNumberFormat="1" applyFont="1"/>
    <xf numFmtId="0" fontId="8" fillId="0" borderId="0" xfId="0" applyFont="1"/>
    <xf numFmtId="164" fontId="3" fillId="0" borderId="0" xfId="0" applyNumberFormat="1" applyFont="1"/>
    <xf numFmtId="0" fontId="9" fillId="0" borderId="0" xfId="0" applyFont="1"/>
    <xf numFmtId="1" fontId="0" fillId="0" borderId="0" xfId="0" applyNumberFormat="1" applyAlignment="1">
      <alignment horizontal="left"/>
    </xf>
    <xf numFmtId="164" fontId="9" fillId="0" borderId="0" xfId="0" applyNumberFormat="1" applyFont="1"/>
    <xf numFmtId="0" fontId="3" fillId="0" borderId="0" xfId="0" applyFont="1" applyAlignment="1">
      <alignment horizontal="left"/>
    </xf>
    <xf numFmtId="164" fontId="8" fillId="0" borderId="0" xfId="0" applyNumberFormat="1" applyFont="1"/>
    <xf numFmtId="164" fontId="5" fillId="0" borderId="0" xfId="0" applyNumberFormat="1" applyFont="1"/>
    <xf numFmtId="0" fontId="11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3" fillId="0" borderId="0" xfId="0" applyFont="1" applyProtection="1">
      <protection locked="0"/>
    </xf>
    <xf numFmtId="3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3" fillId="0" borderId="0" xfId="0" quotePrefix="1" applyFont="1" applyProtection="1">
      <protection locked="0"/>
    </xf>
    <xf numFmtId="164" fontId="3" fillId="0" borderId="0" xfId="0" applyNumberFormat="1" applyFont="1" applyProtection="1">
      <protection locked="0"/>
    </xf>
    <xf numFmtId="0" fontId="0" fillId="0" borderId="0" xfId="0" quotePrefix="1" applyProtection="1">
      <protection locked="0"/>
    </xf>
    <xf numFmtId="0" fontId="10" fillId="0" borderId="0" xfId="0" quotePrefix="1" applyFont="1" applyProtection="1">
      <protection locked="0"/>
    </xf>
    <xf numFmtId="0" fontId="10" fillId="0" borderId="0" xfId="0" applyFont="1" applyProtection="1">
      <protection locked="0"/>
    </xf>
    <xf numFmtId="0" fontId="5" fillId="0" borderId="0" xfId="0" applyFont="1" applyProtection="1"/>
    <xf numFmtId="3" fontId="5" fillId="0" borderId="0" xfId="0" applyNumberFormat="1" applyFont="1" applyAlignment="1" applyProtection="1">
      <alignment horizontal="left"/>
    </xf>
    <xf numFmtId="0" fontId="8" fillId="0" borderId="0" xfId="0" applyFont="1" applyProtection="1"/>
    <xf numFmtId="3" fontId="8" fillId="0" borderId="0" xfId="0" applyNumberFormat="1" applyFont="1" applyAlignment="1" applyProtection="1">
      <alignment horizontal="left"/>
    </xf>
    <xf numFmtId="0" fontId="3" fillId="0" borderId="0" xfId="0" applyFont="1" applyProtection="1"/>
    <xf numFmtId="3" fontId="3" fillId="0" borderId="0" xfId="0" applyNumberFormat="1" applyFont="1" applyAlignment="1" applyProtection="1">
      <alignment horizontal="left"/>
    </xf>
    <xf numFmtId="0" fontId="0" fillId="0" borderId="0" xfId="0" applyProtection="1"/>
    <xf numFmtId="0" fontId="6" fillId="0" borderId="0" xfId="0" applyFont="1" applyProtection="1"/>
    <xf numFmtId="164" fontId="6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164" fontId="6" fillId="0" borderId="0" xfId="0" applyNumberFormat="1" applyFont="1" applyProtection="1"/>
    <xf numFmtId="0" fontId="6" fillId="0" borderId="0" xfId="0" applyFont="1" applyAlignment="1" applyProtection="1">
      <alignment horizontal="right"/>
    </xf>
    <xf numFmtId="0" fontId="10" fillId="0" borderId="0" xfId="0" applyFont="1" applyProtection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0" fontId="8" fillId="0" borderId="0" xfId="0" applyFont="1" applyBorder="1"/>
    <xf numFmtId="164" fontId="8" fillId="0" borderId="0" xfId="0" applyNumberFormat="1" applyFont="1" applyBorder="1"/>
    <xf numFmtId="164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/>
    <xf numFmtId="0" fontId="6" fillId="0" borderId="0" xfId="0" applyFont="1" applyBorder="1"/>
    <xf numFmtId="2" fontId="6" fillId="0" borderId="0" xfId="0" applyNumberFormat="1" applyFont="1" applyBorder="1" applyAlignment="1">
      <alignment horizontal="left"/>
    </xf>
    <xf numFmtId="165" fontId="6" fillId="0" borderId="0" xfId="0" applyNumberFormat="1" applyFont="1" applyBorder="1"/>
    <xf numFmtId="0" fontId="5" fillId="0" borderId="1" xfId="0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8" fillId="0" borderId="4" xfId="0" applyFont="1" applyBorder="1"/>
    <xf numFmtId="164" fontId="8" fillId="0" borderId="5" xfId="0" applyNumberFormat="1" applyFont="1" applyBorder="1"/>
    <xf numFmtId="0" fontId="6" fillId="0" borderId="4" xfId="0" applyFont="1" applyBorder="1"/>
    <xf numFmtId="164" fontId="6" fillId="0" borderId="5" xfId="0" applyNumberFormat="1" applyFont="1" applyBorder="1"/>
    <xf numFmtId="0" fontId="8" fillId="0" borderId="6" xfId="0" applyFont="1" applyBorder="1"/>
    <xf numFmtId="0" fontId="8" fillId="0" borderId="7" xfId="0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4" fontId="0" fillId="0" borderId="0" xfId="0" applyNumberFormat="1" applyAlignment="1">
      <alignment horizontal="left"/>
    </xf>
    <xf numFmtId="164" fontId="3" fillId="0" borderId="0" xfId="0" applyNumberFormat="1" applyFont="1" applyProtection="1"/>
    <xf numFmtId="0" fontId="1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wrapText="1"/>
    </xf>
    <xf numFmtId="49" fontId="3" fillId="0" borderId="0" xfId="0" applyNumberFormat="1" applyFont="1" applyAlignment="1" applyProtection="1">
      <alignment horizontal="left" wrapText="1"/>
    </xf>
    <xf numFmtId="49" fontId="0" fillId="0" borderId="0" xfId="0" applyNumberForma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0</xdr:row>
      <xdr:rowOff>106680</xdr:rowOff>
    </xdr:from>
    <xdr:to>
      <xdr:col>1</xdr:col>
      <xdr:colOff>3108960</xdr:colOff>
      <xdr:row>14</xdr:row>
      <xdr:rowOff>106680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DA6F4FA-B75D-8899-ECF6-02E4DE0B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106680"/>
          <a:ext cx="1973580" cy="2346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8"/>
  <sheetViews>
    <sheetView tabSelected="1" workbookViewId="0">
      <selection activeCell="E24" sqref="E24"/>
    </sheetView>
  </sheetViews>
  <sheetFormatPr defaultRowHeight="13.2" x14ac:dyDescent="0.25"/>
  <cols>
    <col min="1" max="1" width="26.6640625" customWidth="1"/>
    <col min="2" max="2" width="58.33203125" customWidth="1"/>
  </cols>
  <sheetData>
    <row r="10" spans="1:1" x14ac:dyDescent="0.25">
      <c r="A10" t="s">
        <v>209</v>
      </c>
    </row>
    <row r="17" spans="2:2" s="21" customFormat="1" ht="17.399999999999999" x14ac:dyDescent="0.3">
      <c r="B17" s="79" t="s">
        <v>227</v>
      </c>
    </row>
    <row r="18" spans="2:2" s="21" customFormat="1" ht="17.399999999999999" x14ac:dyDescent="0.3">
      <c r="B18" s="79" t="s">
        <v>111</v>
      </c>
    </row>
    <row r="19" spans="2:2" s="21" customFormat="1" ht="17.399999999999999" x14ac:dyDescent="0.3">
      <c r="B19" s="79" t="s">
        <v>112</v>
      </c>
    </row>
    <row r="21" spans="2:2" x14ac:dyDescent="0.25">
      <c r="B21" s="84" t="s">
        <v>232</v>
      </c>
    </row>
    <row r="24" spans="2:2" ht="15" x14ac:dyDescent="0.25">
      <c r="B24" s="81" t="s">
        <v>228</v>
      </c>
    </row>
    <row r="25" spans="2:2" ht="15.6" x14ac:dyDescent="0.3">
      <c r="B25" s="80" t="s">
        <v>210</v>
      </c>
    </row>
    <row r="26" spans="2:2" ht="15.6" x14ac:dyDescent="0.3">
      <c r="B26" s="80"/>
    </row>
    <row r="27" spans="2:2" x14ac:dyDescent="0.25">
      <c r="B27" s="82" t="s">
        <v>215</v>
      </c>
    </row>
    <row r="28" spans="2:2" x14ac:dyDescent="0.25">
      <c r="B28" s="83" t="s">
        <v>216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workbookViewId="0">
      <selection activeCell="B10" sqref="B10"/>
    </sheetView>
  </sheetViews>
  <sheetFormatPr defaultRowHeight="13.2" x14ac:dyDescent="0.25"/>
  <cols>
    <col min="1" max="1" width="19.5546875" customWidth="1"/>
  </cols>
  <sheetData>
    <row r="4" spans="1:2" x14ac:dyDescent="0.25">
      <c r="A4" s="1" t="s">
        <v>104</v>
      </c>
      <c r="B4" s="1" t="s">
        <v>105</v>
      </c>
    </row>
    <row r="5" spans="1:2" x14ac:dyDescent="0.25">
      <c r="A5" s="1"/>
      <c r="B5" s="1"/>
    </row>
    <row r="6" spans="1:2" s="7" customFormat="1" x14ac:dyDescent="0.25">
      <c r="A6" s="7" t="s">
        <v>211</v>
      </c>
      <c r="B6" s="7" t="s">
        <v>213</v>
      </c>
    </row>
    <row r="7" spans="1:2" s="7" customFormat="1" x14ac:dyDescent="0.25">
      <c r="A7" s="7" t="s">
        <v>212</v>
      </c>
      <c r="B7" s="7" t="s">
        <v>229</v>
      </c>
    </row>
    <row r="8" spans="1:2" x14ac:dyDescent="0.25">
      <c r="A8" t="s">
        <v>64</v>
      </c>
      <c r="B8" t="s">
        <v>230</v>
      </c>
    </row>
    <row r="9" spans="1:2" x14ac:dyDescent="0.25">
      <c r="A9" t="s">
        <v>42</v>
      </c>
      <c r="B9" t="s">
        <v>231</v>
      </c>
    </row>
    <row r="10" spans="1:2" x14ac:dyDescent="0.25">
      <c r="A10" t="s">
        <v>52</v>
      </c>
      <c r="B10" t="s">
        <v>106</v>
      </c>
    </row>
    <row r="11" spans="1:2" x14ac:dyDescent="0.25">
      <c r="A11" t="s">
        <v>41</v>
      </c>
      <c r="B11" t="s">
        <v>107</v>
      </c>
    </row>
    <row r="12" spans="1:2" x14ac:dyDescent="0.25">
      <c r="A12" t="s">
        <v>108</v>
      </c>
      <c r="B12" t="s">
        <v>214</v>
      </c>
    </row>
    <row r="13" spans="1:2" x14ac:dyDescent="0.25">
      <c r="A13" t="s">
        <v>109</v>
      </c>
      <c r="B13" t="s">
        <v>110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B7" sqref="B7"/>
    </sheetView>
  </sheetViews>
  <sheetFormatPr defaultRowHeight="13.2" x14ac:dyDescent="0.25"/>
  <cols>
    <col min="1" max="1" width="13.5546875" customWidth="1"/>
    <col min="2" max="2" width="28.33203125" customWidth="1"/>
    <col min="3" max="3" width="31.88671875" customWidth="1"/>
    <col min="4" max="4" width="12.33203125" style="10" customWidth="1"/>
    <col min="5" max="5" width="14.6640625" customWidth="1"/>
    <col min="6" max="6" width="15.5546875" style="3" customWidth="1"/>
    <col min="7" max="7" width="19.6640625" customWidth="1"/>
    <col min="8" max="8" width="32.109375" customWidth="1"/>
  </cols>
  <sheetData>
    <row r="2" spans="1:8" s="5" customFormat="1" ht="17.399999999999999" x14ac:dyDescent="0.3">
      <c r="A2" s="5" t="s">
        <v>64</v>
      </c>
      <c r="D2" s="22"/>
      <c r="F2" s="23"/>
    </row>
    <row r="3" spans="1:8" s="4" customFormat="1" ht="12.75" customHeight="1" x14ac:dyDescent="0.3">
      <c r="D3" s="11"/>
      <c r="F3" s="6"/>
    </row>
    <row r="4" spans="1:8" s="1" customFormat="1" ht="17.399999999999999" x14ac:dyDescent="0.3">
      <c r="B4" s="4" t="s">
        <v>31</v>
      </c>
      <c r="D4" s="2"/>
      <c r="F4" s="2"/>
    </row>
    <row r="5" spans="1:8" s="1" customFormat="1" x14ac:dyDescent="0.25">
      <c r="A5" s="1" t="s">
        <v>128</v>
      </c>
      <c r="B5" s="1" t="s">
        <v>1</v>
      </c>
      <c r="C5" s="1" t="s">
        <v>13</v>
      </c>
      <c r="D5" s="2" t="s">
        <v>0</v>
      </c>
      <c r="E5" s="1" t="s">
        <v>14</v>
      </c>
      <c r="F5" s="2"/>
    </row>
    <row r="6" spans="1:8" s="7" customFormat="1" x14ac:dyDescent="0.25">
      <c r="A6" s="7" t="s">
        <v>143</v>
      </c>
      <c r="B6" s="7" t="s">
        <v>98</v>
      </c>
      <c r="C6" s="7" t="s">
        <v>103</v>
      </c>
      <c r="D6" s="10">
        <v>4100</v>
      </c>
      <c r="E6" s="7" t="s">
        <v>15</v>
      </c>
      <c r="F6" s="10"/>
      <c r="H6" s="10"/>
    </row>
    <row r="7" spans="1:8" s="7" customFormat="1" x14ac:dyDescent="0.25">
      <c r="A7" s="7" t="s">
        <v>144</v>
      </c>
      <c r="B7" s="7" t="s">
        <v>99</v>
      </c>
      <c r="C7" s="7" t="s">
        <v>126</v>
      </c>
      <c r="D7" s="10">
        <v>11500</v>
      </c>
      <c r="E7" s="7" t="s">
        <v>15</v>
      </c>
      <c r="F7" s="10"/>
      <c r="H7" s="10"/>
    </row>
    <row r="8" spans="1:8" s="7" customFormat="1" x14ac:dyDescent="0.25">
      <c r="A8" s="7" t="s">
        <v>145</v>
      </c>
      <c r="B8" s="7" t="s">
        <v>100</v>
      </c>
      <c r="C8" s="7" t="s">
        <v>127</v>
      </c>
      <c r="D8" s="10">
        <v>21500</v>
      </c>
      <c r="E8" s="7" t="s">
        <v>15</v>
      </c>
      <c r="F8" s="10"/>
    </row>
    <row r="9" spans="1:8" s="7" customFormat="1" x14ac:dyDescent="0.25">
      <c r="A9" s="7" t="s">
        <v>146</v>
      </c>
      <c r="B9" s="7" t="s">
        <v>32</v>
      </c>
      <c r="C9" s="7" t="s">
        <v>18</v>
      </c>
      <c r="D9" s="10">
        <v>15000</v>
      </c>
      <c r="E9" s="7" t="s">
        <v>125</v>
      </c>
      <c r="F9" s="10"/>
    </row>
    <row r="10" spans="1:8" s="7" customFormat="1" x14ac:dyDescent="0.25">
      <c r="A10" s="7" t="s">
        <v>147</v>
      </c>
      <c r="B10" s="7" t="s">
        <v>101</v>
      </c>
      <c r="C10" s="7" t="s">
        <v>19</v>
      </c>
      <c r="D10" s="10">
        <v>75000</v>
      </c>
      <c r="E10" s="7" t="s">
        <v>33</v>
      </c>
      <c r="F10" s="10"/>
    </row>
    <row r="11" spans="1:8" s="7" customFormat="1" x14ac:dyDescent="0.25">
      <c r="D11" s="10"/>
      <c r="F11" s="10"/>
    </row>
    <row r="12" spans="1:8" s="4" customFormat="1" ht="17.399999999999999" x14ac:dyDescent="0.3">
      <c r="B12" s="4" t="s">
        <v>10</v>
      </c>
      <c r="D12" s="6"/>
      <c r="F12" s="6"/>
    </row>
    <row r="13" spans="1:8" s="1" customFormat="1" x14ac:dyDescent="0.25">
      <c r="A13" s="1" t="s">
        <v>128</v>
      </c>
      <c r="B13" s="1" t="s">
        <v>1</v>
      </c>
      <c r="C13" s="1" t="s">
        <v>13</v>
      </c>
      <c r="D13" s="2" t="s">
        <v>0</v>
      </c>
      <c r="E13" s="1" t="s">
        <v>14</v>
      </c>
      <c r="F13" s="2"/>
    </row>
    <row r="14" spans="1:8" s="7" customFormat="1" x14ac:dyDescent="0.25">
      <c r="A14" s="7" t="s">
        <v>148</v>
      </c>
      <c r="B14" s="7" t="s">
        <v>97</v>
      </c>
      <c r="C14" s="7" t="s">
        <v>217</v>
      </c>
      <c r="D14" s="10">
        <v>400</v>
      </c>
      <c r="E14" s="7" t="s">
        <v>15</v>
      </c>
      <c r="F14" s="10"/>
    </row>
    <row r="15" spans="1:8" s="7" customFormat="1" x14ac:dyDescent="0.25">
      <c r="A15" s="7" t="s">
        <v>149</v>
      </c>
      <c r="B15" s="7" t="s">
        <v>34</v>
      </c>
      <c r="C15" s="7" t="s">
        <v>218</v>
      </c>
      <c r="D15" s="10">
        <v>800</v>
      </c>
      <c r="E15" s="7" t="s">
        <v>15</v>
      </c>
      <c r="F15" s="10"/>
    </row>
    <row r="16" spans="1:8" s="7" customFormat="1" x14ac:dyDescent="0.25">
      <c r="A16" s="7" t="s">
        <v>150</v>
      </c>
      <c r="B16" s="7" t="s">
        <v>35</v>
      </c>
      <c r="C16" s="7" t="s">
        <v>219</v>
      </c>
      <c r="D16" s="10">
        <v>3300</v>
      </c>
      <c r="E16" s="7" t="s">
        <v>15</v>
      </c>
      <c r="F16" s="10"/>
    </row>
    <row r="17" spans="1:6" s="7" customFormat="1" x14ac:dyDescent="0.25">
      <c r="A17" s="7" t="s">
        <v>151</v>
      </c>
      <c r="B17" s="7" t="s">
        <v>26</v>
      </c>
      <c r="C17" s="7" t="s">
        <v>220</v>
      </c>
      <c r="D17" s="10">
        <v>0</v>
      </c>
      <c r="E17" s="7" t="s">
        <v>15</v>
      </c>
      <c r="F17" s="10"/>
    </row>
    <row r="18" spans="1:6" s="7" customFormat="1" x14ac:dyDescent="0.25">
      <c r="A18" s="7" t="s">
        <v>152</v>
      </c>
      <c r="B18" s="7" t="s">
        <v>27</v>
      </c>
      <c r="C18" s="7" t="s">
        <v>28</v>
      </c>
      <c r="D18" s="10">
        <v>0</v>
      </c>
      <c r="E18" s="7" t="s">
        <v>15</v>
      </c>
      <c r="F18" s="10"/>
    </row>
    <row r="19" spans="1:6" s="7" customFormat="1" x14ac:dyDescent="0.25">
      <c r="A19" s="7" t="s">
        <v>153</v>
      </c>
      <c r="B19" s="7" t="s">
        <v>16</v>
      </c>
      <c r="C19" s="7" t="s">
        <v>17</v>
      </c>
      <c r="D19" s="10">
        <v>24999</v>
      </c>
      <c r="E19" s="7" t="s">
        <v>22</v>
      </c>
      <c r="F19" s="10"/>
    </row>
    <row r="20" spans="1:6" s="7" customFormat="1" x14ac:dyDescent="0.25">
      <c r="A20" s="7" t="s">
        <v>154</v>
      </c>
      <c r="B20" s="7" t="s">
        <v>20</v>
      </c>
      <c r="C20" s="7" t="s">
        <v>21</v>
      </c>
      <c r="D20" s="10">
        <v>19999</v>
      </c>
      <c r="E20" s="7" t="s">
        <v>22</v>
      </c>
      <c r="F20" s="10"/>
    </row>
    <row r="21" spans="1:6" s="7" customFormat="1" x14ac:dyDescent="0.25">
      <c r="A21" s="7" t="s">
        <v>155</v>
      </c>
      <c r="B21" s="7" t="s">
        <v>23</v>
      </c>
      <c r="C21" s="7" t="s">
        <v>3</v>
      </c>
      <c r="D21" s="10">
        <v>0</v>
      </c>
      <c r="E21" s="7" t="s">
        <v>15</v>
      </c>
      <c r="F21" s="10"/>
    </row>
    <row r="22" spans="1:6" s="7" customFormat="1" x14ac:dyDescent="0.25">
      <c r="A22" s="7" t="s">
        <v>156</v>
      </c>
      <c r="B22" s="7" t="s">
        <v>24</v>
      </c>
      <c r="C22" s="7" t="s">
        <v>2</v>
      </c>
      <c r="D22" s="10">
        <v>2499</v>
      </c>
      <c r="E22" s="7" t="s">
        <v>22</v>
      </c>
      <c r="F22" s="10"/>
    </row>
    <row r="23" spans="1:6" s="7" customFormat="1" x14ac:dyDescent="0.25">
      <c r="D23" s="10"/>
      <c r="F23" s="10"/>
    </row>
    <row r="24" spans="1:6" s="4" customFormat="1" ht="17.399999999999999" x14ac:dyDescent="0.3">
      <c r="B24" s="4" t="s">
        <v>11</v>
      </c>
      <c r="D24" s="6"/>
      <c r="F24" s="6"/>
    </row>
    <row r="25" spans="1:6" s="1" customFormat="1" x14ac:dyDescent="0.25">
      <c r="A25" s="1" t="s">
        <v>128</v>
      </c>
      <c r="B25" s="1" t="s">
        <v>1</v>
      </c>
      <c r="C25" s="1" t="s">
        <v>13</v>
      </c>
      <c r="D25" s="2" t="s">
        <v>0</v>
      </c>
      <c r="E25" s="1" t="s">
        <v>14</v>
      </c>
      <c r="F25" s="2"/>
    </row>
    <row r="26" spans="1:6" s="7" customFormat="1" x14ac:dyDescent="0.25">
      <c r="A26" s="7" t="s">
        <v>157</v>
      </c>
      <c r="B26" s="7" t="s">
        <v>26</v>
      </c>
      <c r="C26" s="7" t="s">
        <v>182</v>
      </c>
      <c r="D26" s="10">
        <v>11400</v>
      </c>
      <c r="E26" s="7" t="s">
        <v>22</v>
      </c>
      <c r="F26" s="10"/>
    </row>
    <row r="27" spans="1:6" s="7" customFormat="1" x14ac:dyDescent="0.25">
      <c r="A27" s="7" t="s">
        <v>158</v>
      </c>
      <c r="B27" s="7" t="s">
        <v>27</v>
      </c>
      <c r="C27" s="7" t="s">
        <v>181</v>
      </c>
      <c r="D27" s="10">
        <v>11400</v>
      </c>
      <c r="E27" s="7" t="s">
        <v>22</v>
      </c>
      <c r="F27" s="10"/>
    </row>
    <row r="28" spans="1:6" s="7" customFormat="1" x14ac:dyDescent="0.25">
      <c r="A28" s="7" t="s">
        <v>159</v>
      </c>
      <c r="B28" s="7" t="s">
        <v>16</v>
      </c>
      <c r="C28" s="7" t="s">
        <v>187</v>
      </c>
      <c r="D28" s="10">
        <v>123000</v>
      </c>
      <c r="E28" s="7" t="s">
        <v>22</v>
      </c>
      <c r="F28" s="10"/>
    </row>
    <row r="29" spans="1:6" s="7" customFormat="1" x14ac:dyDescent="0.25">
      <c r="A29" s="7" t="s">
        <v>160</v>
      </c>
      <c r="B29" s="7" t="s">
        <v>23</v>
      </c>
      <c r="C29" s="7" t="s">
        <v>4</v>
      </c>
      <c r="D29" s="10">
        <v>5000</v>
      </c>
      <c r="E29" s="7" t="s">
        <v>22</v>
      </c>
      <c r="F29" s="10"/>
    </row>
    <row r="30" spans="1:6" s="7" customFormat="1" x14ac:dyDescent="0.25">
      <c r="A30" s="7" t="s">
        <v>161</v>
      </c>
      <c r="B30" s="7" t="s">
        <v>20</v>
      </c>
      <c r="C30" s="7" t="s">
        <v>183</v>
      </c>
      <c r="D30" s="10">
        <v>19750</v>
      </c>
      <c r="E30" s="7" t="s">
        <v>22</v>
      </c>
      <c r="F30" s="10"/>
    </row>
    <row r="31" spans="1:6" s="7" customFormat="1" x14ac:dyDescent="0.25">
      <c r="A31" s="7" t="s">
        <v>162</v>
      </c>
      <c r="B31" s="7" t="s">
        <v>25</v>
      </c>
      <c r="C31" s="7" t="s">
        <v>184</v>
      </c>
      <c r="D31" s="10">
        <v>9693</v>
      </c>
      <c r="E31" s="7" t="s">
        <v>22</v>
      </c>
      <c r="F31" s="10"/>
    </row>
    <row r="32" spans="1:6" s="7" customFormat="1" x14ac:dyDescent="0.25">
      <c r="D32" s="10"/>
      <c r="F32" s="10"/>
    </row>
    <row r="33" spans="1:6" s="4" customFormat="1" ht="17.399999999999999" x14ac:dyDescent="0.3">
      <c r="B33" s="4" t="s">
        <v>12</v>
      </c>
      <c r="D33" s="6"/>
      <c r="F33" s="6"/>
    </row>
    <row r="34" spans="1:6" s="1" customFormat="1" x14ac:dyDescent="0.25">
      <c r="A34" s="1" t="s">
        <v>128</v>
      </c>
      <c r="B34" s="1" t="s">
        <v>1</v>
      </c>
      <c r="C34" s="1" t="s">
        <v>13</v>
      </c>
      <c r="D34" s="2" t="s">
        <v>0</v>
      </c>
      <c r="E34" s="1" t="s">
        <v>14</v>
      </c>
      <c r="F34" s="2"/>
    </row>
    <row r="35" spans="1:6" s="7" customFormat="1" x14ac:dyDescent="0.25">
      <c r="A35" s="7" t="s">
        <v>163</v>
      </c>
      <c r="B35" s="7" t="s">
        <v>35</v>
      </c>
      <c r="C35" s="7" t="s">
        <v>185</v>
      </c>
      <c r="D35" s="10">
        <v>1499</v>
      </c>
      <c r="E35" s="7" t="s">
        <v>15</v>
      </c>
      <c r="F35" s="10"/>
    </row>
    <row r="36" spans="1:6" s="7" customFormat="1" x14ac:dyDescent="0.25">
      <c r="A36" s="7" t="s">
        <v>164</v>
      </c>
      <c r="B36" s="7" t="s">
        <v>34</v>
      </c>
      <c r="C36" s="7" t="s">
        <v>186</v>
      </c>
      <c r="D36" s="10">
        <v>299</v>
      </c>
      <c r="E36" s="7" t="s">
        <v>15</v>
      </c>
      <c r="F36" s="10"/>
    </row>
    <row r="37" spans="1:6" s="7" customFormat="1" x14ac:dyDescent="0.25">
      <c r="D37" s="10"/>
      <c r="F37" s="10"/>
    </row>
    <row r="38" spans="1:6" s="7" customFormat="1" x14ac:dyDescent="0.25">
      <c r="D38" s="10"/>
      <c r="F38" s="10"/>
    </row>
    <row r="39" spans="1:6" s="7" customFormat="1" ht="12.75" customHeight="1" x14ac:dyDescent="0.25">
      <c r="A39" s="7" t="s">
        <v>165</v>
      </c>
      <c r="B39" s="7" t="s">
        <v>39</v>
      </c>
      <c r="C39" s="7" t="s">
        <v>40</v>
      </c>
      <c r="D39" s="10">
        <v>20</v>
      </c>
      <c r="E39" s="7" t="s">
        <v>189</v>
      </c>
      <c r="F39" s="10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zoomScaleNormal="100" workbookViewId="0">
      <selection activeCell="B19" sqref="B19"/>
    </sheetView>
  </sheetViews>
  <sheetFormatPr defaultRowHeight="13.2" x14ac:dyDescent="0.25"/>
  <cols>
    <col min="1" max="1" width="17.44140625" customWidth="1"/>
    <col min="2" max="2" width="38.109375" customWidth="1"/>
  </cols>
  <sheetData>
    <row r="2" spans="1:2" ht="17.399999999999999" x14ac:dyDescent="0.3">
      <c r="A2" s="15" t="s">
        <v>42</v>
      </c>
    </row>
    <row r="4" spans="1:2" s="1" customFormat="1" x14ac:dyDescent="0.25">
      <c r="A4" s="1" t="s">
        <v>43</v>
      </c>
      <c r="B4" s="1" t="s">
        <v>129</v>
      </c>
    </row>
    <row r="5" spans="1:2" x14ac:dyDescent="0.25">
      <c r="A5" t="s">
        <v>44</v>
      </c>
      <c r="B5" t="s">
        <v>45</v>
      </c>
    </row>
    <row r="6" spans="1:2" x14ac:dyDescent="0.25">
      <c r="A6" t="s">
        <v>46</v>
      </c>
      <c r="B6" t="s">
        <v>47</v>
      </c>
    </row>
    <row r="7" spans="1:2" x14ac:dyDescent="0.25">
      <c r="A7" t="s">
        <v>48</v>
      </c>
      <c r="B7" t="s">
        <v>5</v>
      </c>
    </row>
    <row r="8" spans="1:2" x14ac:dyDescent="0.25">
      <c r="A8" t="s">
        <v>49</v>
      </c>
      <c r="B8" t="s">
        <v>7</v>
      </c>
    </row>
    <row r="9" spans="1:2" x14ac:dyDescent="0.25">
      <c r="A9" t="s">
        <v>50</v>
      </c>
      <c r="B9" t="s">
        <v>6</v>
      </c>
    </row>
    <row r="10" spans="1:2" x14ac:dyDescent="0.25">
      <c r="A10" t="s">
        <v>51</v>
      </c>
      <c r="B10" t="s">
        <v>8</v>
      </c>
    </row>
    <row r="11" spans="1:2" x14ac:dyDescent="0.25">
      <c r="A11" t="s">
        <v>54</v>
      </c>
      <c r="B11" t="s">
        <v>9</v>
      </c>
    </row>
    <row r="12" spans="1:2" x14ac:dyDescent="0.25">
      <c r="A12" t="s">
        <v>55</v>
      </c>
      <c r="B12" t="s">
        <v>38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F23" sqref="F23"/>
    </sheetView>
  </sheetViews>
  <sheetFormatPr defaultRowHeight="13.2" x14ac:dyDescent="0.25"/>
  <cols>
    <col min="3" max="3" width="17.88671875" style="16" customWidth="1"/>
    <col min="4" max="4" width="20.33203125" customWidth="1"/>
    <col min="5" max="5" width="11.88671875" customWidth="1"/>
    <col min="6" max="6" width="20.33203125" style="16" customWidth="1"/>
    <col min="7" max="7" width="10.5546875" style="53" customWidth="1"/>
    <col min="8" max="9" width="14.109375" customWidth="1"/>
    <col min="10" max="10" width="23.33203125" customWidth="1"/>
  </cols>
  <sheetData>
    <row r="2" spans="1:10" ht="17.399999999999999" x14ac:dyDescent="0.3">
      <c r="A2" s="15" t="s">
        <v>52</v>
      </c>
    </row>
    <row r="4" spans="1:10" x14ac:dyDescent="0.25">
      <c r="A4" t="s">
        <v>119</v>
      </c>
      <c r="D4" s="55">
        <v>200</v>
      </c>
      <c r="E4" s="55"/>
    </row>
    <row r="5" spans="1:10" x14ac:dyDescent="0.25">
      <c r="A5" t="s">
        <v>120</v>
      </c>
      <c r="D5" s="55">
        <v>2000</v>
      </c>
      <c r="E5" s="55"/>
    </row>
    <row r="6" spans="1:10" x14ac:dyDescent="0.25">
      <c r="D6" s="55"/>
      <c r="E6" s="55"/>
    </row>
    <row r="9" spans="1:10" s="52" customFormat="1" ht="26.4" x14ac:dyDescent="0.25">
      <c r="A9" s="52" t="s">
        <v>130</v>
      </c>
      <c r="B9" s="52" t="s">
        <v>43</v>
      </c>
      <c r="C9" s="57" t="s">
        <v>115</v>
      </c>
      <c r="D9" s="52" t="s">
        <v>221</v>
      </c>
      <c r="E9" s="52" t="s">
        <v>121</v>
      </c>
      <c r="F9" s="57" t="s">
        <v>116</v>
      </c>
      <c r="G9" s="54" t="s">
        <v>117</v>
      </c>
      <c r="H9" s="52" t="s">
        <v>113</v>
      </c>
      <c r="I9" s="52" t="s">
        <v>131</v>
      </c>
      <c r="J9" s="52" t="s">
        <v>114</v>
      </c>
    </row>
    <row r="11" spans="1:10" x14ac:dyDescent="0.25">
      <c r="A11" t="s">
        <v>135</v>
      </c>
      <c r="B11" t="s">
        <v>44</v>
      </c>
      <c r="C11" s="56">
        <v>0.5</v>
      </c>
      <c r="D11" t="s">
        <v>56</v>
      </c>
      <c r="E11" t="s">
        <v>122</v>
      </c>
      <c r="F11" s="16">
        <v>20</v>
      </c>
      <c r="G11" s="55">
        <f t="shared" ref="G11:G16" si="0">IF(EXACT("s", E11), C11*F11*$D$5, C11*F11*$D$4)</f>
        <v>20000</v>
      </c>
      <c r="H11" t="s">
        <v>166</v>
      </c>
      <c r="I11" t="s">
        <v>132</v>
      </c>
    </row>
    <row r="12" spans="1:10" x14ac:dyDescent="0.25">
      <c r="A12" t="s">
        <v>136</v>
      </c>
      <c r="B12" t="s">
        <v>46</v>
      </c>
      <c r="C12" s="56">
        <v>0.5</v>
      </c>
      <c r="D12" t="s">
        <v>57</v>
      </c>
      <c r="E12" t="s">
        <v>122</v>
      </c>
      <c r="F12" s="16">
        <v>2</v>
      </c>
      <c r="G12" s="55">
        <f t="shared" si="0"/>
        <v>2000</v>
      </c>
      <c r="H12" t="s">
        <v>167</v>
      </c>
      <c r="I12" t="s">
        <v>133</v>
      </c>
    </row>
    <row r="13" spans="1:10" x14ac:dyDescent="0.25">
      <c r="A13" t="s">
        <v>137</v>
      </c>
      <c r="B13" t="s">
        <v>48</v>
      </c>
      <c r="C13" s="56">
        <v>1</v>
      </c>
      <c r="D13" t="s">
        <v>58</v>
      </c>
      <c r="E13" t="s">
        <v>123</v>
      </c>
      <c r="F13" s="16">
        <v>4</v>
      </c>
      <c r="G13" s="55">
        <f t="shared" si="0"/>
        <v>800</v>
      </c>
      <c r="H13" t="s">
        <v>190</v>
      </c>
      <c r="I13" t="s">
        <v>133</v>
      </c>
    </row>
    <row r="14" spans="1:10" x14ac:dyDescent="0.25">
      <c r="A14" t="s">
        <v>138</v>
      </c>
      <c r="B14" t="s">
        <v>49</v>
      </c>
      <c r="C14" s="56">
        <v>1</v>
      </c>
      <c r="D14" t="s">
        <v>118</v>
      </c>
      <c r="E14" t="s">
        <v>123</v>
      </c>
      <c r="F14" s="16">
        <v>2</v>
      </c>
      <c r="G14" s="55">
        <f t="shared" si="0"/>
        <v>400</v>
      </c>
      <c r="H14" t="s">
        <v>167</v>
      </c>
      <c r="I14" t="s">
        <v>133</v>
      </c>
    </row>
    <row r="15" spans="1:10" x14ac:dyDescent="0.25">
      <c r="A15" t="s">
        <v>139</v>
      </c>
      <c r="B15" t="s">
        <v>50</v>
      </c>
      <c r="C15" s="56">
        <v>4</v>
      </c>
      <c r="D15" t="s">
        <v>59</v>
      </c>
      <c r="E15" t="s">
        <v>123</v>
      </c>
      <c r="F15" s="16">
        <v>2</v>
      </c>
      <c r="G15" s="55">
        <f t="shared" si="0"/>
        <v>1600</v>
      </c>
      <c r="H15" t="s">
        <v>166</v>
      </c>
      <c r="I15" t="s">
        <v>133</v>
      </c>
    </row>
    <row r="16" spans="1:10" x14ac:dyDescent="0.25">
      <c r="A16" t="s">
        <v>140</v>
      </c>
      <c r="B16" t="s">
        <v>51</v>
      </c>
      <c r="C16" s="56">
        <v>2</v>
      </c>
      <c r="D16" t="s">
        <v>60</v>
      </c>
      <c r="E16" t="s">
        <v>122</v>
      </c>
      <c r="F16" s="16">
        <v>4</v>
      </c>
      <c r="G16" s="55">
        <f t="shared" si="0"/>
        <v>16000</v>
      </c>
      <c r="H16" t="s">
        <v>168</v>
      </c>
      <c r="I16" t="s">
        <v>134</v>
      </c>
    </row>
    <row r="17" spans="1:10" x14ac:dyDescent="0.25">
      <c r="C17" s="56"/>
      <c r="G17" s="55"/>
    </row>
    <row r="18" spans="1:10" x14ac:dyDescent="0.25">
      <c r="C18" s="56"/>
      <c r="G18" s="55"/>
    </row>
    <row r="19" spans="1:10" x14ac:dyDescent="0.25">
      <c r="A19" t="s">
        <v>141</v>
      </c>
      <c r="B19" t="s">
        <v>54</v>
      </c>
      <c r="C19" s="56" t="s">
        <v>124</v>
      </c>
      <c r="D19" t="s">
        <v>61</v>
      </c>
      <c r="E19" t="s">
        <v>124</v>
      </c>
      <c r="F19" s="16" t="s">
        <v>124</v>
      </c>
      <c r="G19" s="55">
        <f>(C15+C14+C13+C12+C11)*D4</f>
        <v>1400</v>
      </c>
      <c r="H19" t="s">
        <v>168</v>
      </c>
      <c r="I19" t="s">
        <v>134</v>
      </c>
    </row>
    <row r="20" spans="1:10" x14ac:dyDescent="0.25">
      <c r="A20" t="s">
        <v>142</v>
      </c>
      <c r="B20" t="s">
        <v>55</v>
      </c>
      <c r="C20" s="56" t="s">
        <v>124</v>
      </c>
      <c r="D20" t="s">
        <v>62</v>
      </c>
      <c r="E20" t="s">
        <v>124</v>
      </c>
      <c r="F20" s="16" t="s">
        <v>124</v>
      </c>
      <c r="G20" s="55">
        <f>G13+G15+G16</f>
        <v>18400</v>
      </c>
      <c r="H20" t="s">
        <v>169</v>
      </c>
      <c r="I20" t="s">
        <v>134</v>
      </c>
      <c r="J20" t="s">
        <v>191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2"/>
  <sheetViews>
    <sheetView zoomScale="85" workbookViewId="0">
      <selection activeCell="I7" sqref="I7"/>
    </sheetView>
  </sheetViews>
  <sheetFormatPr defaultColWidth="9.109375" defaultRowHeight="13.2" x14ac:dyDescent="0.25"/>
  <cols>
    <col min="1" max="1" width="11.88671875" style="28" customWidth="1"/>
    <col min="2" max="2" width="18.109375" style="45" customWidth="1"/>
    <col min="3" max="3" width="26.88671875" style="45" customWidth="1"/>
    <col min="4" max="4" width="7.5546875" style="45" customWidth="1"/>
    <col min="5" max="5" width="7" style="45" customWidth="1"/>
    <col min="6" max="6" width="12" style="28" customWidth="1"/>
    <col min="7" max="7" width="15.5546875" style="28" customWidth="1"/>
    <col min="8" max="16384" width="9.109375" style="45"/>
  </cols>
  <sheetData>
    <row r="2" spans="1:8" s="39" customFormat="1" ht="17.399999999999999" x14ac:dyDescent="0.3">
      <c r="A2" s="24" t="s">
        <v>41</v>
      </c>
      <c r="C2" s="40"/>
      <c r="F2" s="24"/>
      <c r="G2" s="24"/>
    </row>
    <row r="3" spans="1:8" s="41" customFormat="1" x14ac:dyDescent="0.25">
      <c r="A3" s="25"/>
      <c r="C3" s="42"/>
      <c r="F3" s="25"/>
      <c r="G3" s="25"/>
    </row>
    <row r="4" spans="1:8" s="86" customFormat="1" ht="26.4" x14ac:dyDescent="0.25">
      <c r="A4" s="85" t="s">
        <v>222</v>
      </c>
      <c r="B4" s="86" t="s">
        <v>223</v>
      </c>
      <c r="C4" s="87" t="s">
        <v>224</v>
      </c>
      <c r="D4" s="86" t="s">
        <v>225</v>
      </c>
      <c r="F4" s="85"/>
      <c r="G4" s="85"/>
      <c r="H4" s="88"/>
    </row>
    <row r="5" spans="1:8" s="29" customFormat="1" x14ac:dyDescent="0.25">
      <c r="A5" s="29" t="s">
        <v>195</v>
      </c>
      <c r="B5" s="30" t="s">
        <v>135</v>
      </c>
      <c r="C5" s="30">
        <f>G13</f>
        <v>9000</v>
      </c>
      <c r="D5" s="29" t="s">
        <v>66</v>
      </c>
      <c r="H5" s="28"/>
    </row>
    <row r="6" spans="1:8" s="46" customFormat="1" x14ac:dyDescent="0.25">
      <c r="A6" s="29"/>
      <c r="C6" s="47"/>
      <c r="F6" s="29"/>
      <c r="G6" s="29"/>
      <c r="H6" s="45"/>
    </row>
    <row r="7" spans="1:8" s="43" customFormat="1" x14ac:dyDescent="0.25">
      <c r="A7" s="26" t="s">
        <v>128</v>
      </c>
      <c r="B7" s="43" t="s">
        <v>1</v>
      </c>
      <c r="C7" s="44" t="s">
        <v>13</v>
      </c>
      <c r="D7" s="48" t="s">
        <v>0</v>
      </c>
      <c r="E7" s="48" t="s">
        <v>36</v>
      </c>
      <c r="F7" s="31" t="s">
        <v>37</v>
      </c>
      <c r="G7" s="31" t="s">
        <v>29</v>
      </c>
      <c r="H7" s="45"/>
    </row>
    <row r="8" spans="1:8" x14ac:dyDescent="0.25">
      <c r="A8" s="28" t="s">
        <v>143</v>
      </c>
      <c r="B8" s="46" t="str">
        <f>VLOOKUP($A8,Products!$A$3:'Products'!$F$39,2, FALSE)</f>
        <v>small hardware box</v>
      </c>
      <c r="C8" s="46" t="str">
        <f>VLOOKUP($A8,Products!$A$3:'Products'!$F$39,3, FALSE)</f>
        <v>Dell 1750/2 Proc</v>
      </c>
      <c r="D8" s="49">
        <f>VLOOKUP($A8,Products!$A$3:'Products'!$F$39,4, FALSE)</f>
        <v>4100</v>
      </c>
      <c r="E8" s="50" t="str">
        <f>VLOOKUP($A8,Products!$A$3:'Products'!$F$39,5, FALSE)</f>
        <v>box</v>
      </c>
      <c r="F8" s="32">
        <v>2</v>
      </c>
      <c r="G8" s="33">
        <f>F8*D8</f>
        <v>8200</v>
      </c>
    </row>
    <row r="9" spans="1:8" x14ac:dyDescent="0.25">
      <c r="A9" s="28" t="s">
        <v>148</v>
      </c>
      <c r="B9" s="46" t="str">
        <f>VLOOKUP($A9,Products!$A$3:'Products'!$F$39,2, FALSE)</f>
        <v>web front-end OS</v>
      </c>
      <c r="C9" s="46" t="str">
        <f>VLOOKUP($A9,Products!$A$3:'Products'!$F$39,3, FALSE)</f>
        <v>Windows Server 2003 Web Ed.</v>
      </c>
      <c r="D9" s="49">
        <f>VLOOKUP($A9,Products!$A$3:'Products'!$F$39,4, FALSE)</f>
        <v>400</v>
      </c>
      <c r="E9" s="50" t="str">
        <f>VLOOKUP($A9,Products!$A$3:'Products'!$F$39,5, FALSE)</f>
        <v>box</v>
      </c>
      <c r="F9" s="32">
        <v>2</v>
      </c>
      <c r="G9" s="33">
        <f>F9*D9</f>
        <v>800</v>
      </c>
    </row>
    <row r="10" spans="1:8" x14ac:dyDescent="0.25">
      <c r="A10" s="28" t="s">
        <v>152</v>
      </c>
      <c r="B10" s="46" t="str">
        <f>VLOOKUP($A10,Products!$A$3:'Products'!$F$39,2, FALSE)</f>
        <v>HTTP infrastructure</v>
      </c>
      <c r="C10" s="46" t="str">
        <f>VLOOKUP($A10,Products!$A$3:'Products'!$F$39,3, FALSE)</f>
        <v>ASP.NET/IIS</v>
      </c>
      <c r="D10" s="49">
        <f>VLOOKUP($A10,Products!$A$3:'Products'!$F$39,4, FALSE)</f>
        <v>0</v>
      </c>
      <c r="E10" s="50" t="str">
        <f>VLOOKUP($A10,Products!$A$3:'Products'!$F$39,5, FALSE)</f>
        <v>box</v>
      </c>
      <c r="F10" s="32">
        <v>2</v>
      </c>
      <c r="G10" s="33">
        <f>F10*D10</f>
        <v>0</v>
      </c>
    </row>
    <row r="11" spans="1:8" x14ac:dyDescent="0.25">
      <c r="A11" s="28" t="s">
        <v>155</v>
      </c>
      <c r="B11" s="46" t="str">
        <f>VLOOKUP($A11,Products!$A$3:'Products'!$F$39,2, FALSE)</f>
        <v>message queue</v>
      </c>
      <c r="C11" s="46" t="str">
        <f>VLOOKUP($A11,Products!$A$3:'Products'!$F$39,3, FALSE)</f>
        <v>MSMQ</v>
      </c>
      <c r="D11" s="49">
        <f>VLOOKUP($A11,Products!$A$3:'Products'!$F$39,4, FALSE)</f>
        <v>0</v>
      </c>
      <c r="E11" s="50" t="str">
        <f>VLOOKUP($A11,Products!$A$3:'Products'!$F$39,5, FALSE)</f>
        <v>box</v>
      </c>
      <c r="F11" s="32">
        <v>2</v>
      </c>
      <c r="G11" s="33">
        <f>F11*D11</f>
        <v>0</v>
      </c>
    </row>
    <row r="12" spans="1:8" s="41" customFormat="1" x14ac:dyDescent="0.25">
      <c r="A12" s="25"/>
      <c r="C12" s="42"/>
      <c r="F12" s="25"/>
      <c r="G12" s="25"/>
    </row>
    <row r="13" spans="1:8" s="43" customFormat="1" x14ac:dyDescent="0.25">
      <c r="A13" s="34"/>
      <c r="C13" s="44"/>
      <c r="F13" s="26" t="s">
        <v>30</v>
      </c>
      <c r="G13" s="35">
        <f>SUM(G8:G12)</f>
        <v>9000</v>
      </c>
    </row>
    <row r="14" spans="1:8" x14ac:dyDescent="0.25">
      <c r="A14" s="36" t="s">
        <v>63</v>
      </c>
    </row>
    <row r="15" spans="1:8" s="86" customFormat="1" ht="26.4" x14ac:dyDescent="0.25">
      <c r="A15" s="85" t="s">
        <v>222</v>
      </c>
      <c r="B15" s="86" t="s">
        <v>223</v>
      </c>
      <c r="C15" s="87" t="s">
        <v>224</v>
      </c>
      <c r="D15" s="86" t="s">
        <v>225</v>
      </c>
      <c r="F15" s="85"/>
      <c r="G15" s="85"/>
      <c r="H15" s="88"/>
    </row>
    <row r="16" spans="1:8" s="29" customFormat="1" x14ac:dyDescent="0.25">
      <c r="A16" s="29" t="s">
        <v>196</v>
      </c>
      <c r="B16" s="30" t="s">
        <v>135</v>
      </c>
      <c r="C16" s="30">
        <f>G24</f>
        <v>74398</v>
      </c>
      <c r="D16" s="29" t="s">
        <v>67</v>
      </c>
    </row>
    <row r="17" spans="1:8" s="46" customFormat="1" x14ac:dyDescent="0.25">
      <c r="A17" s="29"/>
      <c r="C17" s="47"/>
      <c r="F17" s="29"/>
      <c r="G17" s="29"/>
    </row>
    <row r="18" spans="1:8" s="43" customFormat="1" x14ac:dyDescent="0.25">
      <c r="A18" s="26" t="s">
        <v>128</v>
      </c>
      <c r="B18" s="43" t="s">
        <v>1</v>
      </c>
      <c r="C18" s="44" t="s">
        <v>13</v>
      </c>
      <c r="D18" s="48" t="s">
        <v>0</v>
      </c>
      <c r="E18" s="48" t="s">
        <v>36</v>
      </c>
      <c r="F18" s="31" t="s">
        <v>37</v>
      </c>
      <c r="G18" s="31" t="s">
        <v>29</v>
      </c>
    </row>
    <row r="19" spans="1:8" x14ac:dyDescent="0.25">
      <c r="A19" s="28" t="s">
        <v>143</v>
      </c>
      <c r="B19" s="46" t="str">
        <f>VLOOKUP($A19,Products!$A$3:'Products'!$F$39,2, FALSE)</f>
        <v>small hardware box</v>
      </c>
      <c r="C19" s="46" t="str">
        <f>VLOOKUP($A19,Products!$A$3:'Products'!$F$39,3, FALSE)</f>
        <v>Dell 1750/2 Proc</v>
      </c>
      <c r="D19" s="49">
        <f>VLOOKUP($A19,Products!$A$3:'Products'!$F$39,4, FALSE)</f>
        <v>4100</v>
      </c>
      <c r="E19" s="50" t="str">
        <f>VLOOKUP($A19,Products!$A$3:'Products'!$F$39,5, FALSE)</f>
        <v>box</v>
      </c>
      <c r="F19" s="32">
        <v>2</v>
      </c>
      <c r="G19" s="33">
        <f>F19*D19</f>
        <v>8200</v>
      </c>
    </row>
    <row r="20" spans="1:8" x14ac:dyDescent="0.25">
      <c r="A20" s="28" t="s">
        <v>164</v>
      </c>
      <c r="B20" s="46" t="str">
        <f>VLOOKUP($A20,Products!$A$3:'Products'!$F$39,2, FALSE)</f>
        <v>normal availability OS</v>
      </c>
      <c r="C20" s="46" t="str">
        <f>VLOOKUP($A20,Products!$A$3:'Products'!$F$39,3, FALSE)</f>
        <v>Red Hat Linux WS  Standard</v>
      </c>
      <c r="D20" s="49">
        <f>VLOOKUP($A20,Products!$A$3:'Products'!$F$39,4, FALSE)</f>
        <v>299</v>
      </c>
      <c r="E20" s="50" t="str">
        <f>VLOOKUP($A20,Products!$A$3:'Products'!$F$39,5, FALSE)</f>
        <v>box</v>
      </c>
      <c r="F20" s="32">
        <v>2</v>
      </c>
      <c r="G20" s="33">
        <f>F20*D20</f>
        <v>598</v>
      </c>
    </row>
    <row r="21" spans="1:8" x14ac:dyDescent="0.25">
      <c r="A21" s="28" t="s">
        <v>158</v>
      </c>
      <c r="B21" s="46" t="str">
        <f>VLOOKUP($A21,Products!$A$3:'Products'!$F$39,2, FALSE)</f>
        <v>HTTP infrastructure</v>
      </c>
      <c r="C21" s="46" t="str">
        <f>VLOOKUP($A21,Products!$A$3:'Products'!$F$39,3, FALSE)</f>
        <v>WebSphere Adv. Server V5 ND</v>
      </c>
      <c r="D21" s="49">
        <f>VLOOKUP($A21,Products!$A$3:'Products'!$F$39,4, FALSE)</f>
        <v>11400</v>
      </c>
      <c r="E21" s="50" t="str">
        <f>VLOOKUP($A21,Products!$A$3:'Products'!$F$39,5, FALSE)</f>
        <v>proc</v>
      </c>
      <c r="F21" s="32">
        <v>4</v>
      </c>
      <c r="G21" s="33">
        <f>F21*D21</f>
        <v>45600</v>
      </c>
    </row>
    <row r="22" spans="1:8" x14ac:dyDescent="0.25">
      <c r="A22" s="28" t="s">
        <v>160</v>
      </c>
      <c r="B22" s="46" t="str">
        <f>VLOOKUP($A22,Products!$A$3:'Products'!$F$39,2, FALSE)</f>
        <v>message queue</v>
      </c>
      <c r="C22" s="46" t="str">
        <f>VLOOKUP($A22,Products!$A$3:'Products'!$F$39,3, FALSE)</f>
        <v>WebSphere MQ</v>
      </c>
      <c r="D22" s="49">
        <f>VLOOKUP($A22,Products!$A$3:'Products'!$F$39,4, FALSE)</f>
        <v>5000</v>
      </c>
      <c r="E22" s="50" t="str">
        <f>VLOOKUP($A22,Products!$A$3:'Products'!$F$39,5, FALSE)</f>
        <v>proc</v>
      </c>
      <c r="F22" s="32">
        <v>4</v>
      </c>
      <c r="G22" s="33">
        <f>F22*D22</f>
        <v>20000</v>
      </c>
    </row>
    <row r="23" spans="1:8" s="41" customFormat="1" x14ac:dyDescent="0.25">
      <c r="A23" s="25"/>
      <c r="C23" s="42"/>
      <c r="F23" s="25"/>
      <c r="G23" s="25"/>
    </row>
    <row r="24" spans="1:8" s="43" customFormat="1" x14ac:dyDescent="0.25">
      <c r="A24" s="34"/>
      <c r="C24" s="44"/>
      <c r="F24" s="26" t="s">
        <v>30</v>
      </c>
      <c r="G24" s="35">
        <f>SUM(G19:G23)</f>
        <v>74398</v>
      </c>
    </row>
    <row r="25" spans="1:8" s="51" customFormat="1" x14ac:dyDescent="0.25">
      <c r="A25" s="37" t="s">
        <v>63</v>
      </c>
      <c r="F25" s="38"/>
      <c r="G25" s="38"/>
    </row>
    <row r="26" spans="1:8" s="86" customFormat="1" ht="26.4" x14ac:dyDescent="0.25">
      <c r="A26" s="85" t="s">
        <v>222</v>
      </c>
      <c r="B26" s="86" t="s">
        <v>223</v>
      </c>
      <c r="C26" s="87" t="s">
        <v>224</v>
      </c>
      <c r="D26" s="86" t="s">
        <v>225</v>
      </c>
      <c r="F26" s="85"/>
      <c r="G26" s="85"/>
      <c r="H26" s="88"/>
    </row>
    <row r="27" spans="1:8" s="29" customFormat="1" x14ac:dyDescent="0.25">
      <c r="A27" s="29" t="s">
        <v>197</v>
      </c>
      <c r="B27" s="30" t="s">
        <v>136</v>
      </c>
      <c r="C27" s="30">
        <f>G35</f>
        <v>4500</v>
      </c>
      <c r="D27" s="29" t="s">
        <v>68</v>
      </c>
    </row>
    <row r="28" spans="1:8" s="46" customFormat="1" x14ac:dyDescent="0.25">
      <c r="A28" s="29"/>
      <c r="C28" s="47"/>
      <c r="F28" s="29"/>
      <c r="G28" s="29"/>
    </row>
    <row r="29" spans="1:8" s="43" customFormat="1" x14ac:dyDescent="0.25">
      <c r="A29" s="26" t="s">
        <v>128</v>
      </c>
      <c r="B29" s="43" t="s">
        <v>1</v>
      </c>
      <c r="C29" s="44" t="s">
        <v>13</v>
      </c>
      <c r="D29" s="48" t="s">
        <v>0</v>
      </c>
      <c r="E29" s="48" t="s">
        <v>36</v>
      </c>
      <c r="F29" s="31" t="s">
        <v>37</v>
      </c>
      <c r="G29" s="31" t="s">
        <v>29</v>
      </c>
    </row>
    <row r="30" spans="1:8" x14ac:dyDescent="0.25">
      <c r="A30" s="28" t="s">
        <v>143</v>
      </c>
      <c r="B30" s="46" t="str">
        <f>VLOOKUP($A30,Products!$A$3:'Products'!$F$39,2, FALSE)</f>
        <v>small hardware box</v>
      </c>
      <c r="C30" s="46" t="str">
        <f>VLOOKUP($A30,Products!$A$3:'Products'!$F$39,3, FALSE)</f>
        <v>Dell 1750/2 Proc</v>
      </c>
      <c r="D30" s="49">
        <f>VLOOKUP($A30,Products!$A$3:'Products'!$F$39,4, FALSE)</f>
        <v>4100</v>
      </c>
      <c r="E30" s="50" t="str">
        <f>VLOOKUP($A30,Products!$A$3:'Products'!$F$39,5, FALSE)</f>
        <v>box</v>
      </c>
      <c r="F30" s="32">
        <v>1</v>
      </c>
      <c r="G30" s="33">
        <f>F30*D30</f>
        <v>4100</v>
      </c>
    </row>
    <row r="31" spans="1:8" x14ac:dyDescent="0.25">
      <c r="A31" s="28" t="s">
        <v>148</v>
      </c>
      <c r="B31" s="46" t="str">
        <f>VLOOKUP($A31,Products!$A$3:'Products'!$F$39,2, FALSE)</f>
        <v>web front-end OS</v>
      </c>
      <c r="C31" s="46" t="str">
        <f>VLOOKUP($A31,Products!$A$3:'Products'!$F$39,3, FALSE)</f>
        <v>Windows Server 2003 Web Ed.</v>
      </c>
      <c r="D31" s="49">
        <f>VLOOKUP($A31,Products!$A$3:'Products'!$F$39,4, FALSE)</f>
        <v>400</v>
      </c>
      <c r="E31" s="50" t="str">
        <f>VLOOKUP($A31,Products!$A$3:'Products'!$F$39,5, FALSE)</f>
        <v>box</v>
      </c>
      <c r="F31" s="32">
        <v>1</v>
      </c>
      <c r="G31" s="33">
        <f>F31*D31</f>
        <v>400</v>
      </c>
    </row>
    <row r="32" spans="1:8" x14ac:dyDescent="0.25">
      <c r="A32" s="28" t="s">
        <v>152</v>
      </c>
      <c r="B32" s="46" t="str">
        <f>VLOOKUP($A32,Products!$A$3:'Products'!$F$39,2, FALSE)</f>
        <v>HTTP infrastructure</v>
      </c>
      <c r="C32" s="46" t="str">
        <f>VLOOKUP($A32,Products!$A$3:'Products'!$F$39,3, FALSE)</f>
        <v>ASP.NET/IIS</v>
      </c>
      <c r="D32" s="49">
        <f>VLOOKUP($A32,Products!$A$3:'Products'!$F$39,4, FALSE)</f>
        <v>0</v>
      </c>
      <c r="E32" s="50" t="str">
        <f>VLOOKUP($A32,Products!$A$3:'Products'!$F$39,5, FALSE)</f>
        <v>box</v>
      </c>
      <c r="F32" s="32">
        <v>1</v>
      </c>
      <c r="G32" s="33">
        <f>F32*D32</f>
        <v>0</v>
      </c>
    </row>
    <row r="33" spans="1:8" x14ac:dyDescent="0.25">
      <c r="A33" s="28" t="s">
        <v>155</v>
      </c>
      <c r="B33" s="46" t="str">
        <f>VLOOKUP($A33,Products!$A$3:'Products'!$F$39,2, FALSE)</f>
        <v>message queue</v>
      </c>
      <c r="C33" s="46" t="str">
        <f>VLOOKUP($A33,Products!$A$3:'Products'!$F$39,3, FALSE)</f>
        <v>MSMQ</v>
      </c>
      <c r="D33" s="49">
        <f>VLOOKUP($A33,Products!$A$3:'Products'!$F$39,4, FALSE)</f>
        <v>0</v>
      </c>
      <c r="E33" s="50" t="str">
        <f>VLOOKUP($A33,Products!$A$3:'Products'!$F$39,5, FALSE)</f>
        <v>box</v>
      </c>
      <c r="F33" s="32">
        <v>1</v>
      </c>
      <c r="G33" s="33">
        <f>F33*D33</f>
        <v>0</v>
      </c>
    </row>
    <row r="34" spans="1:8" s="41" customFormat="1" x14ac:dyDescent="0.25">
      <c r="A34" s="25"/>
      <c r="C34" s="42"/>
      <c r="F34" s="25"/>
      <c r="G34" s="25"/>
    </row>
    <row r="35" spans="1:8" s="43" customFormat="1" x14ac:dyDescent="0.25">
      <c r="A35" s="34"/>
      <c r="C35" s="44"/>
      <c r="F35" s="26" t="s">
        <v>30</v>
      </c>
      <c r="G35" s="35">
        <f>SUM(G30:G34)</f>
        <v>4500</v>
      </c>
    </row>
    <row r="36" spans="1:8" x14ac:dyDescent="0.25">
      <c r="A36" s="36" t="s">
        <v>63</v>
      </c>
    </row>
    <row r="37" spans="1:8" s="86" customFormat="1" ht="26.4" x14ac:dyDescent="0.25">
      <c r="A37" s="85" t="s">
        <v>222</v>
      </c>
      <c r="B37" s="86" t="s">
        <v>223</v>
      </c>
      <c r="C37" s="87" t="s">
        <v>224</v>
      </c>
      <c r="D37" s="86" t="s">
        <v>225</v>
      </c>
      <c r="F37" s="85"/>
      <c r="G37" s="85"/>
      <c r="H37" s="88"/>
    </row>
    <row r="38" spans="1:8" s="29" customFormat="1" x14ac:dyDescent="0.25">
      <c r="A38" s="29" t="s">
        <v>198</v>
      </c>
      <c r="B38" s="30" t="s">
        <v>136</v>
      </c>
      <c r="C38" s="30">
        <f>G46</f>
        <v>37199</v>
      </c>
      <c r="D38" s="29" t="s">
        <v>69</v>
      </c>
    </row>
    <row r="39" spans="1:8" s="46" customFormat="1" x14ac:dyDescent="0.25">
      <c r="A39" s="29"/>
      <c r="C39" s="47"/>
      <c r="F39" s="29"/>
      <c r="G39" s="29"/>
    </row>
    <row r="40" spans="1:8" s="43" customFormat="1" x14ac:dyDescent="0.25">
      <c r="A40" s="26" t="s">
        <v>128</v>
      </c>
      <c r="B40" s="43" t="s">
        <v>1</v>
      </c>
      <c r="C40" s="44" t="s">
        <v>13</v>
      </c>
      <c r="D40" s="48" t="s">
        <v>0</v>
      </c>
      <c r="E40" s="48" t="s">
        <v>36</v>
      </c>
      <c r="F40" s="31" t="s">
        <v>37</v>
      </c>
      <c r="G40" s="31" t="s">
        <v>29</v>
      </c>
    </row>
    <row r="41" spans="1:8" x14ac:dyDescent="0.25">
      <c r="A41" s="28" t="s">
        <v>143</v>
      </c>
      <c r="B41" s="46" t="str">
        <f>VLOOKUP($A41,Products!$A$3:'Products'!$F$39,2, FALSE)</f>
        <v>small hardware box</v>
      </c>
      <c r="C41" s="46" t="str">
        <f>VLOOKUP($A41,Products!$A$3:'Products'!$F$39,3, FALSE)</f>
        <v>Dell 1750/2 Proc</v>
      </c>
      <c r="D41" s="49">
        <f>VLOOKUP($A41,Products!$A$3:'Products'!$F$39,4, FALSE)</f>
        <v>4100</v>
      </c>
      <c r="E41" s="50" t="str">
        <f>VLOOKUP($A41,Products!$A$3:'Products'!$F$39,5, FALSE)</f>
        <v>box</v>
      </c>
      <c r="F41" s="32">
        <v>1</v>
      </c>
      <c r="G41" s="33">
        <f>F41*D41</f>
        <v>4100</v>
      </c>
    </row>
    <row r="42" spans="1:8" x14ac:dyDescent="0.25">
      <c r="A42" s="28" t="s">
        <v>164</v>
      </c>
      <c r="B42" s="46" t="str">
        <f>VLOOKUP($A42,Products!$A$3:'Products'!$F$39,2, FALSE)</f>
        <v>normal availability OS</v>
      </c>
      <c r="C42" s="46" t="str">
        <f>VLOOKUP($A42,Products!$A$3:'Products'!$F$39,3, FALSE)</f>
        <v>Red Hat Linux WS  Standard</v>
      </c>
      <c r="D42" s="49">
        <f>VLOOKUP($A42,Products!$A$3:'Products'!$F$39,4, FALSE)</f>
        <v>299</v>
      </c>
      <c r="E42" s="50" t="str">
        <f>VLOOKUP($A42,Products!$A$3:'Products'!$F$39,5, FALSE)</f>
        <v>box</v>
      </c>
      <c r="F42" s="32">
        <v>1</v>
      </c>
      <c r="G42" s="33">
        <f>F42*D42</f>
        <v>299</v>
      </c>
    </row>
    <row r="43" spans="1:8" x14ac:dyDescent="0.25">
      <c r="A43" s="28" t="s">
        <v>158</v>
      </c>
      <c r="B43" s="46" t="str">
        <f>VLOOKUP($A43,Products!$A$3:'Products'!$F$39,2, FALSE)</f>
        <v>HTTP infrastructure</v>
      </c>
      <c r="C43" s="46" t="str">
        <f>VLOOKUP($A43,Products!$A$3:'Products'!$F$39,3, FALSE)</f>
        <v>WebSphere Adv. Server V5 ND</v>
      </c>
      <c r="D43" s="49">
        <f>VLOOKUP($A43,Products!$A$3:'Products'!$F$39,4, FALSE)</f>
        <v>11400</v>
      </c>
      <c r="E43" s="50" t="str">
        <f>VLOOKUP($A43,Products!$A$3:'Products'!$F$39,5, FALSE)</f>
        <v>proc</v>
      </c>
      <c r="F43" s="32">
        <v>2</v>
      </c>
      <c r="G43" s="33">
        <f>F43*D43</f>
        <v>22800</v>
      </c>
    </row>
    <row r="44" spans="1:8" x14ac:dyDescent="0.25">
      <c r="A44" s="28" t="s">
        <v>160</v>
      </c>
      <c r="B44" s="46" t="str">
        <f>VLOOKUP($A44,Products!$A$3:'Products'!$F$39,2, FALSE)</f>
        <v>message queue</v>
      </c>
      <c r="C44" s="46" t="str">
        <f>VLOOKUP($A44,Products!$A$3:'Products'!$F$39,3, FALSE)</f>
        <v>WebSphere MQ</v>
      </c>
      <c r="D44" s="49">
        <f>VLOOKUP($A44,Products!$A$3:'Products'!$F$39,4, FALSE)</f>
        <v>5000</v>
      </c>
      <c r="E44" s="50" t="str">
        <f>VLOOKUP($A44,Products!$A$3:'Products'!$F$39,5, FALSE)</f>
        <v>proc</v>
      </c>
      <c r="F44" s="32">
        <v>2</v>
      </c>
      <c r="G44" s="33">
        <f>F44*D44</f>
        <v>10000</v>
      </c>
    </row>
    <row r="45" spans="1:8" s="41" customFormat="1" x14ac:dyDescent="0.25">
      <c r="A45" s="25"/>
      <c r="C45" s="42"/>
      <c r="F45" s="25"/>
      <c r="G45" s="25"/>
    </row>
    <row r="46" spans="1:8" s="43" customFormat="1" x14ac:dyDescent="0.25">
      <c r="A46" s="34"/>
      <c r="C46" s="44"/>
      <c r="F46" s="26" t="s">
        <v>30</v>
      </c>
      <c r="G46" s="35">
        <f>SUM(G41:G45)</f>
        <v>37199</v>
      </c>
    </row>
    <row r="47" spans="1:8" s="51" customFormat="1" x14ac:dyDescent="0.25">
      <c r="A47" s="37" t="s">
        <v>63</v>
      </c>
      <c r="F47" s="38"/>
      <c r="G47" s="38"/>
    </row>
    <row r="48" spans="1:8" s="86" customFormat="1" ht="26.4" x14ac:dyDescent="0.25">
      <c r="A48" s="85" t="s">
        <v>222</v>
      </c>
      <c r="B48" s="86" t="s">
        <v>223</v>
      </c>
      <c r="C48" s="87" t="s">
        <v>224</v>
      </c>
      <c r="D48" s="86" t="s">
        <v>225</v>
      </c>
      <c r="F48" s="85"/>
      <c r="G48" s="85"/>
      <c r="H48" s="88"/>
    </row>
    <row r="49" spans="1:8" s="29" customFormat="1" x14ac:dyDescent="0.25">
      <c r="A49" s="29" t="s">
        <v>199</v>
      </c>
      <c r="B49" s="30" t="s">
        <v>137</v>
      </c>
      <c r="C49" s="30">
        <f>G57</f>
        <v>9800</v>
      </c>
      <c r="D49" s="29" t="s">
        <v>70</v>
      </c>
    </row>
    <row r="50" spans="1:8" s="46" customFormat="1" x14ac:dyDescent="0.25">
      <c r="A50" s="29"/>
      <c r="C50" s="47"/>
      <c r="F50" s="29"/>
      <c r="G50" s="29"/>
    </row>
    <row r="51" spans="1:8" s="43" customFormat="1" x14ac:dyDescent="0.25">
      <c r="A51" s="26" t="s">
        <v>128</v>
      </c>
      <c r="B51" s="43" t="s">
        <v>1</v>
      </c>
      <c r="C51" s="44" t="s">
        <v>13</v>
      </c>
      <c r="D51" s="48" t="s">
        <v>0</v>
      </c>
      <c r="E51" s="48" t="s">
        <v>36</v>
      </c>
      <c r="F51" s="31" t="s">
        <v>37</v>
      </c>
      <c r="G51" s="31" t="s">
        <v>29</v>
      </c>
    </row>
    <row r="52" spans="1:8" x14ac:dyDescent="0.25">
      <c r="A52" s="28" t="s">
        <v>143</v>
      </c>
      <c r="B52" s="46" t="str">
        <f>VLOOKUP($A52,Products!$A$3:'Products'!$F$39,2, FALSE)</f>
        <v>small hardware box</v>
      </c>
      <c r="C52" s="46" t="str">
        <f>VLOOKUP($A52,Products!$A$3:'Products'!$F$39,3, FALSE)</f>
        <v>Dell 1750/2 Proc</v>
      </c>
      <c r="D52" s="49">
        <f>VLOOKUP($A52,Products!$A$3:'Products'!$F$39,4, FALSE)</f>
        <v>4100</v>
      </c>
      <c r="E52" s="50" t="str">
        <f>VLOOKUP($A52,Products!$A$3:'Products'!$F$39,5, FALSE)</f>
        <v>box</v>
      </c>
      <c r="F52" s="32">
        <v>2</v>
      </c>
      <c r="G52" s="33">
        <f>F52*D52</f>
        <v>8200</v>
      </c>
    </row>
    <row r="53" spans="1:8" x14ac:dyDescent="0.25">
      <c r="A53" s="28" t="s">
        <v>149</v>
      </c>
      <c r="B53" s="46" t="str">
        <f>VLOOKUP($A53,Products!$A$3:'Products'!$F$39,2, FALSE)</f>
        <v>normal availability OS</v>
      </c>
      <c r="C53" s="46" t="str">
        <f>VLOOKUP($A53,Products!$A$3:'Products'!$F$39,3, FALSE)</f>
        <v>Windows Server 2003 Std Ed.</v>
      </c>
      <c r="D53" s="49">
        <f>VLOOKUP($A53,Products!$A$3:'Products'!$F$39,4, FALSE)</f>
        <v>800</v>
      </c>
      <c r="E53" s="50" t="str">
        <f>VLOOKUP($A53,Products!$A$3:'Products'!$F$39,5, FALSE)</f>
        <v>box</v>
      </c>
      <c r="F53" s="32">
        <v>2</v>
      </c>
      <c r="G53" s="33">
        <f>F53*D53</f>
        <v>1600</v>
      </c>
    </row>
    <row r="54" spans="1:8" x14ac:dyDescent="0.25">
      <c r="A54" s="28" t="s">
        <v>151</v>
      </c>
      <c r="B54" s="46" t="str">
        <f>VLOOKUP($A54,Products!$A$3:'Products'!$F$39,2, FALSE)</f>
        <v>component infrastructure</v>
      </c>
      <c r="C54" s="46" t="str">
        <f>VLOOKUP($A54,Products!$A$3:'Products'!$F$39,3, FALSE)</f>
        <v>Enterprise Services</v>
      </c>
      <c r="D54" s="49">
        <f>VLOOKUP($A54,Products!$A$3:'Products'!$F$39,4, FALSE)</f>
        <v>0</v>
      </c>
      <c r="E54" s="50" t="str">
        <f>VLOOKUP($A54,Products!$A$3:'Products'!$F$39,5, FALSE)</f>
        <v>box</v>
      </c>
      <c r="F54" s="32">
        <v>4</v>
      </c>
      <c r="G54" s="33">
        <f>F54*D54</f>
        <v>0</v>
      </c>
    </row>
    <row r="55" spans="1:8" x14ac:dyDescent="0.25">
      <c r="A55" s="28" t="s">
        <v>155</v>
      </c>
      <c r="B55" s="46" t="str">
        <f>VLOOKUP($A55,Products!$A$3:'Products'!$F$39,2, FALSE)</f>
        <v>message queue</v>
      </c>
      <c r="C55" s="46" t="str">
        <f>VLOOKUP($A55,Products!$A$3:'Products'!$F$39,3, FALSE)</f>
        <v>MSMQ</v>
      </c>
      <c r="D55" s="49">
        <f>VLOOKUP($A55,Products!$A$3:'Products'!$F$39,4, FALSE)</f>
        <v>0</v>
      </c>
      <c r="E55" s="50" t="str">
        <f>VLOOKUP($A55,Products!$A$3:'Products'!$F$39,5, FALSE)</f>
        <v>box</v>
      </c>
      <c r="F55" s="32">
        <v>2</v>
      </c>
      <c r="G55" s="33">
        <f>F55*D55</f>
        <v>0</v>
      </c>
    </row>
    <row r="56" spans="1:8" s="41" customFormat="1" x14ac:dyDescent="0.25">
      <c r="A56" s="25"/>
      <c r="C56" s="42"/>
      <c r="F56" s="25"/>
      <c r="G56" s="25"/>
    </row>
    <row r="57" spans="1:8" s="43" customFormat="1" x14ac:dyDescent="0.25">
      <c r="A57" s="34"/>
      <c r="C57" s="44"/>
      <c r="F57" s="26" t="s">
        <v>30</v>
      </c>
      <c r="G57" s="35">
        <f>SUM(G52:G56)</f>
        <v>9800</v>
      </c>
    </row>
    <row r="58" spans="1:8" x14ac:dyDescent="0.25">
      <c r="A58" s="36" t="s">
        <v>63</v>
      </c>
    </row>
    <row r="59" spans="1:8" s="86" customFormat="1" ht="26.4" x14ac:dyDescent="0.25">
      <c r="A59" s="85" t="s">
        <v>222</v>
      </c>
      <c r="B59" s="86" t="s">
        <v>223</v>
      </c>
      <c r="C59" s="87" t="s">
        <v>224</v>
      </c>
      <c r="D59" s="86" t="s">
        <v>225</v>
      </c>
      <c r="F59" s="85"/>
      <c r="G59" s="85"/>
      <c r="H59" s="88"/>
    </row>
    <row r="60" spans="1:8" s="29" customFormat="1" x14ac:dyDescent="0.25">
      <c r="A60" s="29" t="s">
        <v>200</v>
      </c>
      <c r="B60" s="30" t="s">
        <v>137</v>
      </c>
      <c r="C60" s="30">
        <f>G68</f>
        <v>74398</v>
      </c>
      <c r="D60" s="29" t="s">
        <v>71</v>
      </c>
    </row>
    <row r="61" spans="1:8" s="46" customFormat="1" x14ac:dyDescent="0.25">
      <c r="A61" s="29"/>
      <c r="C61" s="47"/>
      <c r="F61" s="29"/>
      <c r="G61" s="29"/>
    </row>
    <row r="62" spans="1:8" s="43" customFormat="1" x14ac:dyDescent="0.25">
      <c r="A62" s="26" t="s">
        <v>128</v>
      </c>
      <c r="B62" s="43" t="s">
        <v>1</v>
      </c>
      <c r="C62" s="44" t="s">
        <v>13</v>
      </c>
      <c r="D62" s="48" t="s">
        <v>0</v>
      </c>
      <c r="E62" s="48" t="s">
        <v>36</v>
      </c>
      <c r="F62" s="31" t="s">
        <v>37</v>
      </c>
      <c r="G62" s="31" t="s">
        <v>29</v>
      </c>
    </row>
    <row r="63" spans="1:8" x14ac:dyDescent="0.25">
      <c r="A63" s="28" t="s">
        <v>143</v>
      </c>
      <c r="B63" s="46" t="str">
        <f>VLOOKUP($A63,Products!$A$3:'Products'!$F$39,2, FALSE)</f>
        <v>small hardware box</v>
      </c>
      <c r="C63" s="46" t="str">
        <f>VLOOKUP($A63,Products!$A$3:'Products'!$F$39,3, FALSE)</f>
        <v>Dell 1750/2 Proc</v>
      </c>
      <c r="D63" s="49">
        <f>VLOOKUP($A63,Products!$A$3:'Products'!$F$39,4, FALSE)</f>
        <v>4100</v>
      </c>
      <c r="E63" s="50" t="str">
        <f>VLOOKUP($A63,Products!$A$3:'Products'!$F$39,5, FALSE)</f>
        <v>box</v>
      </c>
      <c r="F63" s="32">
        <v>2</v>
      </c>
      <c r="G63" s="33">
        <f>F63*D63</f>
        <v>8200</v>
      </c>
    </row>
    <row r="64" spans="1:8" x14ac:dyDescent="0.25">
      <c r="A64" s="28" t="s">
        <v>164</v>
      </c>
      <c r="B64" s="46" t="str">
        <f>VLOOKUP($A64,Products!$A$3:'Products'!$F$39,2, FALSE)</f>
        <v>normal availability OS</v>
      </c>
      <c r="C64" s="46" t="str">
        <f>VLOOKUP($A64,Products!$A$3:'Products'!$F$39,3, FALSE)</f>
        <v>Red Hat Linux WS  Standard</v>
      </c>
      <c r="D64" s="49">
        <f>VLOOKUP($A64,Products!$A$3:'Products'!$F$39,4, FALSE)</f>
        <v>299</v>
      </c>
      <c r="E64" s="50" t="str">
        <f>VLOOKUP($A64,Products!$A$3:'Products'!$F$39,5, FALSE)</f>
        <v>box</v>
      </c>
      <c r="F64" s="32">
        <v>2</v>
      </c>
      <c r="G64" s="33">
        <f>F64*D64</f>
        <v>598</v>
      </c>
    </row>
    <row r="65" spans="1:8" x14ac:dyDescent="0.25">
      <c r="A65" s="28" t="s">
        <v>157</v>
      </c>
      <c r="B65" s="46" t="str">
        <f>VLOOKUP($A65,Products!$A$3:'Products'!$F$39,2, FALSE)</f>
        <v>component infrastructure</v>
      </c>
      <c r="C65" s="46" t="str">
        <f>VLOOKUP($A65,Products!$A$3:'Products'!$F$39,3, FALSE)</f>
        <v>WebSphere App Server V5 ND</v>
      </c>
      <c r="D65" s="49">
        <f>VLOOKUP($A65,Products!$A$3:'Products'!$F$39,4, FALSE)</f>
        <v>11400</v>
      </c>
      <c r="E65" s="50" t="str">
        <f>VLOOKUP($A65,Products!$A$3:'Products'!$F$39,5, FALSE)</f>
        <v>proc</v>
      </c>
      <c r="F65" s="32">
        <v>4</v>
      </c>
      <c r="G65" s="33">
        <f>F65*D65</f>
        <v>45600</v>
      </c>
    </row>
    <row r="66" spans="1:8" x14ac:dyDescent="0.25">
      <c r="A66" s="28" t="s">
        <v>160</v>
      </c>
      <c r="B66" s="46" t="str">
        <f>VLOOKUP($A66,Products!$A$3:'Products'!$F$39,2, FALSE)</f>
        <v>message queue</v>
      </c>
      <c r="C66" s="46" t="str">
        <f>VLOOKUP($A66,Products!$A$3:'Products'!$F$39,3, FALSE)</f>
        <v>WebSphere MQ</v>
      </c>
      <c r="D66" s="49">
        <f>VLOOKUP($A66,Products!$A$3:'Products'!$F$39,4, FALSE)</f>
        <v>5000</v>
      </c>
      <c r="E66" s="50" t="str">
        <f>VLOOKUP($A66,Products!$A$3:'Products'!$F$39,5, FALSE)</f>
        <v>proc</v>
      </c>
      <c r="F66" s="32">
        <v>4</v>
      </c>
      <c r="G66" s="33">
        <f>F66*D66</f>
        <v>20000</v>
      </c>
    </row>
    <row r="67" spans="1:8" s="41" customFormat="1" x14ac:dyDescent="0.25">
      <c r="A67" s="25"/>
      <c r="C67" s="42"/>
      <c r="F67" s="25"/>
      <c r="G67" s="25"/>
    </row>
    <row r="68" spans="1:8" s="43" customFormat="1" x14ac:dyDescent="0.25">
      <c r="A68" s="34"/>
      <c r="C68" s="44"/>
      <c r="F68" s="26" t="s">
        <v>30</v>
      </c>
      <c r="G68" s="35">
        <f>SUM(G63:G67)</f>
        <v>74398</v>
      </c>
    </row>
    <row r="69" spans="1:8" s="51" customFormat="1" x14ac:dyDescent="0.25">
      <c r="A69" s="37" t="s">
        <v>63</v>
      </c>
      <c r="F69" s="38"/>
      <c r="G69" s="38"/>
    </row>
    <row r="70" spans="1:8" s="86" customFormat="1" ht="26.4" x14ac:dyDescent="0.25">
      <c r="A70" s="85" t="s">
        <v>222</v>
      </c>
      <c r="B70" s="86" t="s">
        <v>223</v>
      </c>
      <c r="C70" s="87" t="s">
        <v>224</v>
      </c>
      <c r="D70" s="86" t="s">
        <v>225</v>
      </c>
      <c r="F70" s="85"/>
      <c r="G70" s="85"/>
      <c r="H70" s="88"/>
    </row>
    <row r="71" spans="1:8" s="29" customFormat="1" x14ac:dyDescent="0.25">
      <c r="A71" s="29" t="s">
        <v>201</v>
      </c>
      <c r="B71" s="30" t="s">
        <v>138</v>
      </c>
      <c r="C71" s="30">
        <f>G79</f>
        <v>9898</v>
      </c>
      <c r="D71" s="29" t="s">
        <v>72</v>
      </c>
    </row>
    <row r="72" spans="1:8" s="46" customFormat="1" x14ac:dyDescent="0.25">
      <c r="A72" s="29"/>
      <c r="C72" s="47"/>
      <c r="F72" s="29"/>
      <c r="G72" s="29"/>
    </row>
    <row r="73" spans="1:8" s="43" customFormat="1" x14ac:dyDescent="0.25">
      <c r="A73" s="26" t="s">
        <v>128</v>
      </c>
      <c r="B73" s="43" t="s">
        <v>1</v>
      </c>
      <c r="C73" s="44" t="s">
        <v>13</v>
      </c>
      <c r="D73" s="48" t="s">
        <v>0</v>
      </c>
      <c r="E73" s="48" t="s">
        <v>36</v>
      </c>
      <c r="F73" s="31" t="s">
        <v>37</v>
      </c>
      <c r="G73" s="31" t="s">
        <v>29</v>
      </c>
    </row>
    <row r="74" spans="1:8" x14ac:dyDescent="0.25">
      <c r="A74" s="28" t="s">
        <v>143</v>
      </c>
      <c r="B74" s="46" t="str">
        <f>VLOOKUP($A74,Products!$A$3:'Products'!$F$39,2, FALSE)</f>
        <v>small hardware box</v>
      </c>
      <c r="C74" s="46" t="str">
        <f>VLOOKUP($A74,Products!$A$3:'Products'!$F$39,3, FALSE)</f>
        <v>Dell 1750/2 Proc</v>
      </c>
      <c r="D74" s="49">
        <f>VLOOKUP($A74,Products!$A$3:'Products'!$F$39,4, FALSE)</f>
        <v>4100</v>
      </c>
      <c r="E74" s="50" t="str">
        <f>VLOOKUP($A74,Products!$A$3:'Products'!$F$39,5, FALSE)</f>
        <v>box</v>
      </c>
      <c r="F74" s="32">
        <v>1</v>
      </c>
      <c r="G74" s="33">
        <f>F74*D74</f>
        <v>4100</v>
      </c>
    </row>
    <row r="75" spans="1:8" x14ac:dyDescent="0.25">
      <c r="A75" s="28" t="s">
        <v>149</v>
      </c>
      <c r="B75" s="46" t="str">
        <f>VLOOKUP($A75,Products!$A$3:'Products'!$F$39,2, FALSE)</f>
        <v>normal availability OS</v>
      </c>
      <c r="C75" s="46" t="str">
        <f>VLOOKUP($A75,Products!$A$3:'Products'!$F$39,3, FALSE)</f>
        <v>Windows Server 2003 Std Ed.</v>
      </c>
      <c r="D75" s="49">
        <f>VLOOKUP($A75,Products!$A$3:'Products'!$F$39,4, FALSE)</f>
        <v>800</v>
      </c>
      <c r="E75" s="50" t="str">
        <f>VLOOKUP($A75,Products!$A$3:'Products'!$F$39,5, FALSE)</f>
        <v>box</v>
      </c>
      <c r="F75" s="32">
        <v>1</v>
      </c>
      <c r="G75" s="33">
        <f>F75*D75</f>
        <v>800</v>
      </c>
    </row>
    <row r="76" spans="1:8" x14ac:dyDescent="0.25">
      <c r="A76" s="28" t="s">
        <v>156</v>
      </c>
      <c r="B76" s="46" t="str">
        <f>VLOOKUP($A76,Products!$A$3:'Products'!$F$39,2, FALSE)</f>
        <v>legacy bridge</v>
      </c>
      <c r="C76" s="46" t="str">
        <f>VLOOKUP($A76,Products!$A$3:'Products'!$F$39,3, FALSE)</f>
        <v>HIS</v>
      </c>
      <c r="D76" s="49">
        <f>VLOOKUP($A76,Products!$A$3:'Products'!$F$39,4, FALSE)</f>
        <v>2499</v>
      </c>
      <c r="E76" s="50" t="str">
        <f>VLOOKUP($A76,Products!$A$3:'Products'!$F$39,5, FALSE)</f>
        <v>proc</v>
      </c>
      <c r="F76" s="32">
        <v>2</v>
      </c>
      <c r="G76" s="33">
        <f>F76*D76</f>
        <v>4998</v>
      </c>
    </row>
    <row r="77" spans="1:8" x14ac:dyDescent="0.25">
      <c r="A77" s="28" t="s">
        <v>155</v>
      </c>
      <c r="B77" s="46" t="str">
        <f>VLOOKUP($A77,Products!$A$3:'Products'!$F$39,2, FALSE)</f>
        <v>message queue</v>
      </c>
      <c r="C77" s="46" t="str">
        <f>VLOOKUP($A77,Products!$A$3:'Products'!$F$39,3, FALSE)</f>
        <v>MSMQ</v>
      </c>
      <c r="D77" s="49">
        <f>VLOOKUP($A77,Products!$A$3:'Products'!$F$39,4, FALSE)</f>
        <v>0</v>
      </c>
      <c r="E77" s="50" t="str">
        <f>VLOOKUP($A77,Products!$A$3:'Products'!$F$39,5, FALSE)</f>
        <v>box</v>
      </c>
      <c r="F77" s="32">
        <v>1</v>
      </c>
      <c r="G77" s="33">
        <f>F77*D77</f>
        <v>0</v>
      </c>
    </row>
    <row r="78" spans="1:8" s="41" customFormat="1" x14ac:dyDescent="0.25">
      <c r="A78" s="25"/>
      <c r="C78" s="42"/>
      <c r="F78" s="25"/>
      <c r="G78" s="25"/>
    </row>
    <row r="79" spans="1:8" s="43" customFormat="1" x14ac:dyDescent="0.25">
      <c r="A79" s="34"/>
      <c r="C79" s="44"/>
      <c r="F79" s="26" t="s">
        <v>30</v>
      </c>
      <c r="G79" s="35">
        <f>SUM(G74:G78)</f>
        <v>9898</v>
      </c>
    </row>
    <row r="80" spans="1:8" x14ac:dyDescent="0.25">
      <c r="A80" s="36" t="s">
        <v>63</v>
      </c>
    </row>
    <row r="81" spans="1:8" s="86" customFormat="1" ht="26.4" x14ac:dyDescent="0.25">
      <c r="A81" s="85" t="s">
        <v>222</v>
      </c>
      <c r="B81" s="86" t="s">
        <v>223</v>
      </c>
      <c r="C81" s="87" t="s">
        <v>224</v>
      </c>
      <c r="D81" s="86" t="s">
        <v>225</v>
      </c>
      <c r="F81" s="85"/>
      <c r="G81" s="85"/>
      <c r="H81" s="88"/>
    </row>
    <row r="82" spans="1:8" s="29" customFormat="1" x14ac:dyDescent="0.25">
      <c r="A82" s="29" t="s">
        <v>202</v>
      </c>
      <c r="B82" s="30" t="s">
        <v>138</v>
      </c>
      <c r="C82" s="30">
        <f>G90</f>
        <v>34286</v>
      </c>
      <c r="D82" s="29" t="s">
        <v>73</v>
      </c>
    </row>
    <row r="83" spans="1:8" s="46" customFormat="1" x14ac:dyDescent="0.25">
      <c r="A83" s="29"/>
      <c r="C83" s="47"/>
      <c r="F83" s="29"/>
      <c r="G83" s="29"/>
    </row>
    <row r="84" spans="1:8" s="43" customFormat="1" x14ac:dyDescent="0.25">
      <c r="A84" s="26" t="s">
        <v>128</v>
      </c>
      <c r="B84" s="43" t="s">
        <v>1</v>
      </c>
      <c r="C84" s="44" t="s">
        <v>13</v>
      </c>
      <c r="D84" s="48" t="s">
        <v>0</v>
      </c>
      <c r="E84" s="48" t="s">
        <v>36</v>
      </c>
      <c r="F84" s="31" t="s">
        <v>37</v>
      </c>
      <c r="G84" s="31" t="s">
        <v>29</v>
      </c>
    </row>
    <row r="85" spans="1:8" x14ac:dyDescent="0.25">
      <c r="A85" s="28" t="s">
        <v>143</v>
      </c>
      <c r="B85" s="46" t="str">
        <f>VLOOKUP($A85,Products!$A$3:'Products'!$F$39,2, FALSE)</f>
        <v>small hardware box</v>
      </c>
      <c r="C85" s="46" t="str">
        <f>VLOOKUP($A85,Products!$A$3:'Products'!$F$39,3, FALSE)</f>
        <v>Dell 1750/2 Proc</v>
      </c>
      <c r="D85" s="49">
        <f>VLOOKUP($A85,Products!$A$3:'Products'!$F$39,4, FALSE)</f>
        <v>4100</v>
      </c>
      <c r="E85" s="50" t="str">
        <f>VLOOKUP($A85,Products!$A$3:'Products'!$F$39,5, FALSE)</f>
        <v>box</v>
      </c>
      <c r="F85" s="32">
        <v>1</v>
      </c>
      <c r="G85" s="33">
        <f>F85*D85</f>
        <v>4100</v>
      </c>
    </row>
    <row r="86" spans="1:8" x14ac:dyDescent="0.25">
      <c r="A86" s="28" t="s">
        <v>149</v>
      </c>
      <c r="B86" s="46" t="str">
        <f>VLOOKUP($A86,Products!$A$3:'Products'!$F$39,2, FALSE)</f>
        <v>normal availability OS</v>
      </c>
      <c r="C86" s="46" t="str">
        <f>VLOOKUP($A86,Products!$A$3:'Products'!$F$39,3, FALSE)</f>
        <v>Windows Server 2003 Std Ed.</v>
      </c>
      <c r="D86" s="49">
        <f>VLOOKUP($A86,Products!$A$3:'Products'!$F$39,4, FALSE)</f>
        <v>800</v>
      </c>
      <c r="E86" s="50" t="str">
        <f>VLOOKUP($A86,Products!$A$3:'Products'!$F$39,5, FALSE)</f>
        <v>box</v>
      </c>
      <c r="F86" s="32">
        <v>1</v>
      </c>
      <c r="G86" s="33">
        <f>F86*D86</f>
        <v>800</v>
      </c>
    </row>
    <row r="87" spans="1:8" x14ac:dyDescent="0.25">
      <c r="A87" s="28" t="s">
        <v>162</v>
      </c>
      <c r="B87" s="46" t="str">
        <f>VLOOKUP($A87,Products!$A$3:'Products'!$F$39,2, FALSE)</f>
        <v>legacy  bridge</v>
      </c>
      <c r="C87" s="46" t="str">
        <f>VLOOKUP($A87,Products!$A$3:'Products'!$F$39,3, FALSE)</f>
        <v>CICS Transaction Gateway V5</v>
      </c>
      <c r="D87" s="49">
        <f>VLOOKUP($A87,Products!$A$3:'Products'!$F$39,4, FALSE)</f>
        <v>9693</v>
      </c>
      <c r="E87" s="50" t="str">
        <f>VLOOKUP($A87,Products!$A$3:'Products'!$F$39,5, FALSE)</f>
        <v>proc</v>
      </c>
      <c r="F87" s="32">
        <v>2</v>
      </c>
      <c r="G87" s="33">
        <f>F87*D87</f>
        <v>19386</v>
      </c>
    </row>
    <row r="88" spans="1:8" x14ac:dyDescent="0.25">
      <c r="A88" s="28" t="s">
        <v>160</v>
      </c>
      <c r="B88" s="46" t="str">
        <f>VLOOKUP($A88,Products!$A$3:'Products'!$F$39,2, FALSE)</f>
        <v>message queue</v>
      </c>
      <c r="C88" s="46" t="str">
        <f>VLOOKUP($A88,Products!$A$3:'Products'!$F$39,3, FALSE)</f>
        <v>WebSphere MQ</v>
      </c>
      <c r="D88" s="49">
        <f>VLOOKUP($A88,Products!$A$3:'Products'!$F$39,4, FALSE)</f>
        <v>5000</v>
      </c>
      <c r="E88" s="50" t="str">
        <f>VLOOKUP($A88,Products!$A$3:'Products'!$F$39,5, FALSE)</f>
        <v>proc</v>
      </c>
      <c r="F88" s="32">
        <v>2</v>
      </c>
      <c r="G88" s="33">
        <f>F88*D88</f>
        <v>10000</v>
      </c>
    </row>
    <row r="89" spans="1:8" s="41" customFormat="1" x14ac:dyDescent="0.25">
      <c r="A89" s="25"/>
      <c r="C89" s="42"/>
      <c r="F89" s="25"/>
      <c r="G89" s="25"/>
    </row>
    <row r="90" spans="1:8" s="43" customFormat="1" x14ac:dyDescent="0.25">
      <c r="A90" s="34"/>
      <c r="C90" s="44"/>
      <c r="F90" s="26" t="s">
        <v>30</v>
      </c>
      <c r="G90" s="35">
        <f>SUM(G85:G89)</f>
        <v>34286</v>
      </c>
    </row>
    <row r="91" spans="1:8" s="51" customFormat="1" x14ac:dyDescent="0.25">
      <c r="A91" s="37" t="s">
        <v>63</v>
      </c>
      <c r="F91" s="38"/>
      <c r="G91" s="38"/>
    </row>
    <row r="92" spans="1:8" s="86" customFormat="1" ht="26.4" x14ac:dyDescent="0.25">
      <c r="A92" s="85" t="s">
        <v>222</v>
      </c>
      <c r="B92" s="86" t="s">
        <v>223</v>
      </c>
      <c r="C92" s="87" t="s">
        <v>224</v>
      </c>
      <c r="D92" s="86" t="s">
        <v>225</v>
      </c>
      <c r="F92" s="85"/>
      <c r="G92" s="85"/>
      <c r="H92" s="88"/>
    </row>
    <row r="93" spans="1:8" s="29" customFormat="1" x14ac:dyDescent="0.25">
      <c r="A93" s="29" t="s">
        <v>203</v>
      </c>
      <c r="B93" s="30" t="s">
        <v>139</v>
      </c>
      <c r="C93" s="30">
        <f>G101</f>
        <v>129596</v>
      </c>
      <c r="D93" s="29" t="s">
        <v>74</v>
      </c>
    </row>
    <row r="94" spans="1:8" s="46" customFormat="1" x14ac:dyDescent="0.25">
      <c r="A94" s="29"/>
      <c r="C94" s="47"/>
      <c r="F94" s="29"/>
      <c r="G94" s="29"/>
    </row>
    <row r="95" spans="1:8" s="43" customFormat="1" x14ac:dyDescent="0.25">
      <c r="A95" s="26" t="s">
        <v>128</v>
      </c>
      <c r="B95" s="43" t="s">
        <v>1</v>
      </c>
      <c r="C95" s="44" t="s">
        <v>13</v>
      </c>
      <c r="D95" s="48" t="s">
        <v>0</v>
      </c>
      <c r="E95" s="48" t="s">
        <v>36</v>
      </c>
      <c r="F95" s="31" t="s">
        <v>37</v>
      </c>
      <c r="G95" s="31" t="s">
        <v>29</v>
      </c>
    </row>
    <row r="96" spans="1:8" x14ac:dyDescent="0.25">
      <c r="A96" s="28" t="s">
        <v>144</v>
      </c>
      <c r="B96" s="46" t="str">
        <f>VLOOKUP($A96,Products!$A$3:'Products'!$F$39,2, FALSE)</f>
        <v>large hardware box</v>
      </c>
      <c r="C96" s="46" t="str">
        <f>VLOOKUP($A96,Products!$A$3:'Products'!$F$39,3, FALSE)</f>
        <v>Dell 2650/2 Proc</v>
      </c>
      <c r="D96" s="49">
        <f>VLOOKUP($A96,Products!$A$3:'Products'!$F$39,4, FALSE)</f>
        <v>11500</v>
      </c>
      <c r="E96" s="50" t="str">
        <f>VLOOKUP($A96,Products!$A$3:'Products'!$F$39,5, FALSE)</f>
        <v>box</v>
      </c>
      <c r="F96" s="32">
        <v>2</v>
      </c>
      <c r="G96" s="33">
        <f>F96*D96</f>
        <v>23000</v>
      </c>
    </row>
    <row r="97" spans="1:8" x14ac:dyDescent="0.25">
      <c r="A97" s="28" t="s">
        <v>150</v>
      </c>
      <c r="B97" s="46" t="str">
        <f>VLOOKUP($A97,Products!$A$3:'Products'!$F$39,2, FALSE)</f>
        <v>high availability OS</v>
      </c>
      <c r="C97" s="46" t="str">
        <f>VLOOKUP($A97,Products!$A$3:'Products'!$F$39,3, FALSE)</f>
        <v>Windows Server 2003 Ent. Ed.</v>
      </c>
      <c r="D97" s="49">
        <f>VLOOKUP($A97,Products!$A$3:'Products'!$F$39,4, FALSE)</f>
        <v>3300</v>
      </c>
      <c r="E97" s="50" t="str">
        <f>VLOOKUP($A97,Products!$A$3:'Products'!$F$39,5, FALSE)</f>
        <v>box</v>
      </c>
      <c r="F97" s="32">
        <v>2</v>
      </c>
      <c r="G97" s="33">
        <f>F97*D97</f>
        <v>6600</v>
      </c>
    </row>
    <row r="98" spans="1:8" x14ac:dyDescent="0.25">
      <c r="A98" s="28" t="s">
        <v>153</v>
      </c>
      <c r="B98" s="46" t="str">
        <f>VLOOKUP($A98,Products!$A$3:'Products'!$F$39,2, FALSE)</f>
        <v>treaty management</v>
      </c>
      <c r="C98" s="46" t="str">
        <f>VLOOKUP($A98,Products!$A$3:'Products'!$F$39,3, FALSE)</f>
        <v>BizTalk Ent. Ed.</v>
      </c>
      <c r="D98" s="49">
        <f>VLOOKUP($A98,Products!$A$3:'Products'!$F$39,4, FALSE)</f>
        <v>24999</v>
      </c>
      <c r="E98" s="50" t="str">
        <f>VLOOKUP($A98,Products!$A$3:'Products'!$F$39,5, FALSE)</f>
        <v>proc</v>
      </c>
      <c r="F98" s="32">
        <v>4</v>
      </c>
      <c r="G98" s="33">
        <f>F98*D98</f>
        <v>99996</v>
      </c>
    </row>
    <row r="99" spans="1:8" x14ac:dyDescent="0.25">
      <c r="A99" s="28" t="s">
        <v>155</v>
      </c>
      <c r="B99" s="46" t="str">
        <f>VLOOKUP($A99,Products!$A$3:'Products'!$F$39,2, FALSE)</f>
        <v>message queue</v>
      </c>
      <c r="C99" s="46" t="str">
        <f>VLOOKUP($A99,Products!$A$3:'Products'!$F$39,3, FALSE)</f>
        <v>MSMQ</v>
      </c>
      <c r="D99" s="49">
        <f>VLOOKUP($A99,Products!$A$3:'Products'!$F$39,4, FALSE)</f>
        <v>0</v>
      </c>
      <c r="E99" s="50" t="str">
        <f>VLOOKUP($A99,Products!$A$3:'Products'!$F$39,5, FALSE)</f>
        <v>box</v>
      </c>
      <c r="F99" s="32">
        <v>2</v>
      </c>
      <c r="G99" s="33">
        <f>F99*D99</f>
        <v>0</v>
      </c>
    </row>
    <row r="100" spans="1:8" s="41" customFormat="1" x14ac:dyDescent="0.25">
      <c r="A100" s="25"/>
      <c r="C100" s="42"/>
      <c r="F100" s="25"/>
      <c r="G100" s="25"/>
    </row>
    <row r="101" spans="1:8" s="43" customFormat="1" x14ac:dyDescent="0.25">
      <c r="A101" s="34"/>
      <c r="C101" s="44"/>
      <c r="F101" s="26" t="s">
        <v>30</v>
      </c>
      <c r="G101" s="35">
        <f>SUM(G96:G100)</f>
        <v>129596</v>
      </c>
    </row>
    <row r="102" spans="1:8" x14ac:dyDescent="0.25">
      <c r="A102" s="36" t="s">
        <v>63</v>
      </c>
    </row>
    <row r="103" spans="1:8" s="86" customFormat="1" ht="26.4" x14ac:dyDescent="0.25">
      <c r="A103" s="85" t="s">
        <v>222</v>
      </c>
      <c r="B103" s="86" t="s">
        <v>223</v>
      </c>
      <c r="C103" s="87" t="s">
        <v>224</v>
      </c>
      <c r="D103" s="86" t="s">
        <v>225</v>
      </c>
      <c r="F103" s="85"/>
      <c r="G103" s="85"/>
      <c r="H103" s="88"/>
    </row>
    <row r="104" spans="1:8" s="29" customFormat="1" x14ac:dyDescent="0.25">
      <c r="A104" s="29" t="s">
        <v>204</v>
      </c>
      <c r="B104" s="30" t="s">
        <v>139</v>
      </c>
      <c r="C104" s="30">
        <f>G112</f>
        <v>541600</v>
      </c>
      <c r="D104" s="29" t="s">
        <v>75</v>
      </c>
    </row>
    <row r="105" spans="1:8" s="46" customFormat="1" x14ac:dyDescent="0.25">
      <c r="A105" s="29"/>
      <c r="C105" s="47"/>
      <c r="F105" s="29"/>
      <c r="G105" s="29"/>
    </row>
    <row r="106" spans="1:8" s="43" customFormat="1" x14ac:dyDescent="0.25">
      <c r="A106" s="26" t="s">
        <v>128</v>
      </c>
      <c r="B106" s="43" t="s">
        <v>1</v>
      </c>
      <c r="C106" s="44" t="s">
        <v>13</v>
      </c>
      <c r="D106" s="48" t="s">
        <v>0</v>
      </c>
      <c r="E106" s="48" t="s">
        <v>36</v>
      </c>
      <c r="F106" s="31" t="s">
        <v>37</v>
      </c>
      <c r="G106" s="31" t="s">
        <v>29</v>
      </c>
    </row>
    <row r="107" spans="1:8" x14ac:dyDescent="0.25">
      <c r="A107" s="28" t="s">
        <v>144</v>
      </c>
      <c r="B107" s="46" t="str">
        <f>VLOOKUP($A107,Products!$A$3:'Products'!$F$39,2, FALSE)</f>
        <v>large hardware box</v>
      </c>
      <c r="C107" s="46" t="str">
        <f>VLOOKUP($A107,Products!$A$3:'Products'!$F$39,3, FALSE)</f>
        <v>Dell 2650/2 Proc</v>
      </c>
      <c r="D107" s="49">
        <f>VLOOKUP($A107,Products!$A$3:'Products'!$F$39,4, FALSE)</f>
        <v>11500</v>
      </c>
      <c r="E107" s="50" t="str">
        <f>VLOOKUP($A107,Products!$A$3:'Products'!$F$39,5, FALSE)</f>
        <v>box</v>
      </c>
      <c r="F107" s="32">
        <v>2</v>
      </c>
      <c r="G107" s="33">
        <f>F107*D107</f>
        <v>23000</v>
      </c>
    </row>
    <row r="108" spans="1:8" x14ac:dyDescent="0.25">
      <c r="A108" s="28" t="s">
        <v>150</v>
      </c>
      <c r="B108" s="46" t="str">
        <f>VLOOKUP($A108,Products!$A$3:'Products'!$F$39,2, FALSE)</f>
        <v>high availability OS</v>
      </c>
      <c r="C108" s="46" t="str">
        <f>VLOOKUP($A108,Products!$A$3:'Products'!$F$39,3, FALSE)</f>
        <v>Windows Server 2003 Ent. Ed.</v>
      </c>
      <c r="D108" s="49">
        <f>VLOOKUP($A108,Products!$A$3:'Products'!$F$39,4, FALSE)</f>
        <v>3300</v>
      </c>
      <c r="E108" s="50" t="str">
        <f>VLOOKUP($A108,Products!$A$3:'Products'!$F$39,5, FALSE)</f>
        <v>box</v>
      </c>
      <c r="F108" s="32">
        <v>2</v>
      </c>
      <c r="G108" s="33">
        <f>F108*D108</f>
        <v>6600</v>
      </c>
    </row>
    <row r="109" spans="1:8" x14ac:dyDescent="0.25">
      <c r="A109" s="28" t="s">
        <v>159</v>
      </c>
      <c r="B109" s="46" t="str">
        <f>VLOOKUP($A109,Products!$A$3:'Products'!$F$39,2, FALSE)</f>
        <v>treaty management</v>
      </c>
      <c r="C109" s="46" t="str">
        <f>VLOOKUP($A109,Products!$A$3:'Products'!$F$39,3, FALSE)</f>
        <v>WebSphere Interchange Server v4.2</v>
      </c>
      <c r="D109" s="49">
        <f>VLOOKUP($A109,Products!$A$3:'Products'!$F$39,4, FALSE)</f>
        <v>123000</v>
      </c>
      <c r="E109" s="50" t="str">
        <f>VLOOKUP($A109,Products!$A$3:'Products'!$F$39,5, FALSE)</f>
        <v>proc</v>
      </c>
      <c r="F109" s="32">
        <v>4</v>
      </c>
      <c r="G109" s="33">
        <f>F109*D109</f>
        <v>492000</v>
      </c>
    </row>
    <row r="110" spans="1:8" x14ac:dyDescent="0.25">
      <c r="A110" s="28" t="s">
        <v>160</v>
      </c>
      <c r="B110" s="46" t="str">
        <f>VLOOKUP($A110,Products!$A$3:'Products'!$F$39,2, FALSE)</f>
        <v>message queue</v>
      </c>
      <c r="C110" s="46" t="str">
        <f>VLOOKUP($A110,Products!$A$3:'Products'!$F$39,3, FALSE)</f>
        <v>WebSphere MQ</v>
      </c>
      <c r="D110" s="49">
        <f>VLOOKUP($A110,Products!$A$3:'Products'!$F$39,4, FALSE)</f>
        <v>5000</v>
      </c>
      <c r="E110" s="50" t="str">
        <f>VLOOKUP($A110,Products!$A$3:'Products'!$F$39,5, FALSE)</f>
        <v>proc</v>
      </c>
      <c r="F110" s="32">
        <v>4</v>
      </c>
      <c r="G110" s="33">
        <f>F110*D110</f>
        <v>20000</v>
      </c>
    </row>
    <row r="111" spans="1:8" s="41" customFormat="1" x14ac:dyDescent="0.25">
      <c r="A111" s="25"/>
      <c r="C111" s="42"/>
      <c r="F111" s="25"/>
      <c r="G111" s="25"/>
    </row>
    <row r="112" spans="1:8" s="43" customFormat="1" x14ac:dyDescent="0.25">
      <c r="A112" s="34"/>
      <c r="C112" s="44"/>
      <c r="F112" s="26" t="s">
        <v>30</v>
      </c>
      <c r="G112" s="35">
        <f>SUM(G107:G111)</f>
        <v>541600</v>
      </c>
    </row>
    <row r="113" spans="1:8" s="51" customFormat="1" x14ac:dyDescent="0.25">
      <c r="A113" s="37" t="s">
        <v>63</v>
      </c>
      <c r="F113" s="38"/>
      <c r="G113" s="38"/>
    </row>
    <row r="114" spans="1:8" s="86" customFormat="1" ht="26.4" x14ac:dyDescent="0.25">
      <c r="A114" s="85" t="s">
        <v>222</v>
      </c>
      <c r="B114" s="86" t="s">
        <v>223</v>
      </c>
      <c r="C114" s="87" t="s">
        <v>224</v>
      </c>
      <c r="D114" s="86" t="s">
        <v>225</v>
      </c>
      <c r="F114" s="85"/>
      <c r="G114" s="85"/>
      <c r="H114" s="88"/>
    </row>
    <row r="115" spans="1:8" s="29" customFormat="1" x14ac:dyDescent="0.25">
      <c r="A115" s="29" t="s">
        <v>205</v>
      </c>
      <c r="B115" s="30" t="s">
        <v>140</v>
      </c>
      <c r="C115" s="30">
        <f>G121</f>
        <v>9800</v>
      </c>
      <c r="D115" s="29" t="s">
        <v>76</v>
      </c>
    </row>
    <row r="116" spans="1:8" s="46" customFormat="1" x14ac:dyDescent="0.25">
      <c r="A116" s="29"/>
      <c r="C116" s="47"/>
      <c r="F116" s="29"/>
      <c r="G116" s="29"/>
    </row>
    <row r="117" spans="1:8" s="43" customFormat="1" x14ac:dyDescent="0.25">
      <c r="A117" s="26" t="s">
        <v>128</v>
      </c>
      <c r="B117" s="43" t="s">
        <v>1</v>
      </c>
      <c r="C117" s="44" t="s">
        <v>13</v>
      </c>
      <c r="D117" s="48" t="s">
        <v>0</v>
      </c>
      <c r="E117" s="48" t="s">
        <v>36</v>
      </c>
      <c r="F117" s="31" t="s">
        <v>37</v>
      </c>
      <c r="G117" s="31" t="s">
        <v>29</v>
      </c>
    </row>
    <row r="118" spans="1:8" x14ac:dyDescent="0.25">
      <c r="A118" s="28" t="s">
        <v>143</v>
      </c>
      <c r="B118" s="46" t="str">
        <f>VLOOKUP($A118,Products!$A$3:'Products'!$F$39,2, FALSE)</f>
        <v>small hardware box</v>
      </c>
      <c r="C118" s="46" t="str">
        <f>VLOOKUP($A118,Products!$A$3:'Products'!$F$39,3, FALSE)</f>
        <v>Dell 1750/2 Proc</v>
      </c>
      <c r="D118" s="49">
        <f>VLOOKUP($A118,Products!$A$3:'Products'!$F$39,4, FALSE)</f>
        <v>4100</v>
      </c>
      <c r="E118" s="50" t="str">
        <f>VLOOKUP($A118,Products!$A$3:'Products'!$F$39,5, FALSE)</f>
        <v>box</v>
      </c>
      <c r="F118" s="32">
        <v>2</v>
      </c>
      <c r="G118" s="33">
        <f>F118*D118</f>
        <v>8200</v>
      </c>
    </row>
    <row r="119" spans="1:8" x14ac:dyDescent="0.25">
      <c r="A119" s="28" t="s">
        <v>149</v>
      </c>
      <c r="B119" s="46" t="str">
        <f>VLOOKUP($A119,Products!$A$3:'Products'!$F$39,2, FALSE)</f>
        <v>normal availability OS</v>
      </c>
      <c r="C119" s="46" t="str">
        <f>VLOOKUP($A119,Products!$A$3:'Products'!$F$39,3, FALSE)</f>
        <v>Windows Server 2003 Std Ed.</v>
      </c>
      <c r="D119" s="49">
        <f>VLOOKUP($A119,Products!$A$3:'Products'!$F$39,4, FALSE)</f>
        <v>800</v>
      </c>
      <c r="E119" s="50" t="str">
        <f>VLOOKUP($A119,Products!$A$3:'Products'!$F$39,5, FALSE)</f>
        <v>box</v>
      </c>
      <c r="F119" s="32">
        <v>2</v>
      </c>
      <c r="G119" s="33">
        <f>F119*D119</f>
        <v>1600</v>
      </c>
    </row>
    <row r="120" spans="1:8" s="41" customFormat="1" x14ac:dyDescent="0.25">
      <c r="A120" s="25"/>
      <c r="C120" s="42"/>
      <c r="F120" s="25"/>
      <c r="G120" s="25"/>
    </row>
    <row r="121" spans="1:8" s="43" customFormat="1" x14ac:dyDescent="0.25">
      <c r="A121" s="34"/>
      <c r="C121" s="44"/>
      <c r="F121" s="26" t="s">
        <v>30</v>
      </c>
      <c r="G121" s="35">
        <f>SUM(G118:G120)</f>
        <v>9800</v>
      </c>
    </row>
    <row r="122" spans="1:8" x14ac:dyDescent="0.25">
      <c r="A122" s="36" t="s">
        <v>63</v>
      </c>
    </row>
    <row r="123" spans="1:8" s="86" customFormat="1" ht="26.4" x14ac:dyDescent="0.25">
      <c r="A123" s="85" t="s">
        <v>222</v>
      </c>
      <c r="B123" s="86" t="s">
        <v>223</v>
      </c>
      <c r="C123" s="87" t="s">
        <v>224</v>
      </c>
      <c r="D123" s="86" t="s">
        <v>225</v>
      </c>
      <c r="F123" s="85"/>
      <c r="G123" s="85"/>
      <c r="H123" s="88"/>
    </row>
    <row r="124" spans="1:8" s="29" customFormat="1" x14ac:dyDescent="0.25">
      <c r="A124" s="29" t="s">
        <v>206</v>
      </c>
      <c r="B124" s="30" t="s">
        <v>140</v>
      </c>
      <c r="C124" s="30">
        <f>G131</f>
        <v>54398</v>
      </c>
      <c r="D124" s="29" t="s">
        <v>77</v>
      </c>
    </row>
    <row r="125" spans="1:8" s="46" customFormat="1" x14ac:dyDescent="0.25">
      <c r="A125" s="29"/>
      <c r="C125" s="47"/>
      <c r="F125" s="29"/>
      <c r="G125" s="29"/>
    </row>
    <row r="126" spans="1:8" s="43" customFormat="1" x14ac:dyDescent="0.25">
      <c r="A126" s="26" t="s">
        <v>128</v>
      </c>
      <c r="B126" s="43" t="s">
        <v>1</v>
      </c>
      <c r="C126" s="44" t="s">
        <v>13</v>
      </c>
      <c r="D126" s="48" t="s">
        <v>0</v>
      </c>
      <c r="E126" s="48" t="s">
        <v>36</v>
      </c>
      <c r="F126" s="31" t="s">
        <v>37</v>
      </c>
      <c r="G126" s="31" t="s">
        <v>29</v>
      </c>
    </row>
    <row r="127" spans="1:8" x14ac:dyDescent="0.25">
      <c r="A127" s="28" t="s">
        <v>143</v>
      </c>
      <c r="B127" s="46" t="str">
        <f>VLOOKUP($A127,Products!$A$3:'Products'!$F$39,2, FALSE)</f>
        <v>small hardware box</v>
      </c>
      <c r="C127" s="46" t="str">
        <f>VLOOKUP($A127,Products!$A$3:'Products'!$F$39,3, FALSE)</f>
        <v>Dell 1750/2 Proc</v>
      </c>
      <c r="D127" s="49">
        <f>VLOOKUP($A127,Products!$A$3:'Products'!$F$39,4, FALSE)</f>
        <v>4100</v>
      </c>
      <c r="E127" s="50" t="str">
        <f>VLOOKUP($A127,Products!$A$3:'Products'!$F$39,5, FALSE)</f>
        <v>box</v>
      </c>
      <c r="F127" s="32">
        <v>2</v>
      </c>
      <c r="G127" s="33">
        <f>F127*D127</f>
        <v>8200</v>
      </c>
    </row>
    <row r="128" spans="1:8" x14ac:dyDescent="0.25">
      <c r="A128" s="28" t="s">
        <v>164</v>
      </c>
      <c r="B128" s="46" t="str">
        <f>VLOOKUP($A128,Products!$A$3:'Products'!$F$39,2, FALSE)</f>
        <v>normal availability OS</v>
      </c>
      <c r="C128" s="46" t="str">
        <f>VLOOKUP($A128,Products!$A$3:'Products'!$F$39,3, FALSE)</f>
        <v>Red Hat Linux WS  Standard</v>
      </c>
      <c r="D128" s="49">
        <f>VLOOKUP($A128,Products!$A$3:'Products'!$F$39,4, FALSE)</f>
        <v>299</v>
      </c>
      <c r="E128" s="50" t="str">
        <f>VLOOKUP($A128,Products!$A$3:'Products'!$F$39,5, FALSE)</f>
        <v>box</v>
      </c>
      <c r="F128" s="32">
        <v>2</v>
      </c>
      <c r="G128" s="33">
        <f>F128*D128</f>
        <v>598</v>
      </c>
    </row>
    <row r="129" spans="1:8" x14ac:dyDescent="0.25">
      <c r="A129" s="28" t="s">
        <v>157</v>
      </c>
      <c r="B129" s="46" t="str">
        <f>VLOOKUP($A129,Products!$A$3:'Products'!$F$39,2, FALSE)</f>
        <v>component infrastructure</v>
      </c>
      <c r="C129" s="46" t="str">
        <f>VLOOKUP($A129,Products!$A$3:'Products'!$F$39,3, FALSE)</f>
        <v>WebSphere App Server V5 ND</v>
      </c>
      <c r="D129" s="49">
        <f>VLOOKUP($A129,Products!$A$3:'Products'!$F$39,4, FALSE)</f>
        <v>11400</v>
      </c>
      <c r="E129" s="50" t="str">
        <f>VLOOKUP($A129,Products!$A$3:'Products'!$F$39,5, FALSE)</f>
        <v>proc</v>
      </c>
      <c r="F129" s="32">
        <v>4</v>
      </c>
      <c r="G129" s="33">
        <f>F129*D129</f>
        <v>45600</v>
      </c>
    </row>
    <row r="130" spans="1:8" s="41" customFormat="1" x14ac:dyDescent="0.25">
      <c r="A130" s="25"/>
      <c r="C130" s="42"/>
      <c r="F130" s="25"/>
      <c r="G130" s="25"/>
    </row>
    <row r="131" spans="1:8" s="43" customFormat="1" x14ac:dyDescent="0.25">
      <c r="A131" s="34"/>
      <c r="C131" s="44"/>
      <c r="F131" s="26" t="s">
        <v>30</v>
      </c>
      <c r="G131" s="35">
        <f>SUM(G127:G130)</f>
        <v>54398</v>
      </c>
      <c r="H131" s="78"/>
    </row>
    <row r="132" spans="1:8" s="51" customFormat="1" x14ac:dyDescent="0.25">
      <c r="A132" s="37" t="s">
        <v>63</v>
      </c>
      <c r="F132" s="38"/>
      <c r="G132" s="38"/>
    </row>
    <row r="133" spans="1:8" s="86" customFormat="1" ht="26.4" x14ac:dyDescent="0.25">
      <c r="A133" s="85" t="s">
        <v>222</v>
      </c>
      <c r="B133" s="86" t="s">
        <v>223</v>
      </c>
      <c r="C133" s="87" t="s">
        <v>224</v>
      </c>
      <c r="D133" s="86" t="s">
        <v>225</v>
      </c>
      <c r="F133" s="85"/>
      <c r="G133" s="85"/>
      <c r="H133" s="88"/>
    </row>
    <row r="134" spans="1:8" s="29" customFormat="1" x14ac:dyDescent="0.25">
      <c r="A134" s="29" t="s">
        <v>207</v>
      </c>
      <c r="B134" s="30" t="s">
        <v>141</v>
      </c>
      <c r="C134" s="30">
        <f>G141</f>
        <v>14800</v>
      </c>
      <c r="D134" s="29" t="s">
        <v>78</v>
      </c>
    </row>
    <row r="135" spans="1:8" s="46" customFormat="1" x14ac:dyDescent="0.25">
      <c r="A135" s="29"/>
      <c r="C135" s="47"/>
      <c r="F135" s="29"/>
      <c r="G135" s="29"/>
    </row>
    <row r="136" spans="1:8" s="43" customFormat="1" x14ac:dyDescent="0.25">
      <c r="A136" s="26" t="s">
        <v>128</v>
      </c>
      <c r="B136" s="43" t="s">
        <v>1</v>
      </c>
      <c r="C136" s="44" t="s">
        <v>13</v>
      </c>
      <c r="D136" s="48" t="s">
        <v>0</v>
      </c>
      <c r="E136" s="48" t="s">
        <v>36</v>
      </c>
      <c r="F136" s="31" t="s">
        <v>37</v>
      </c>
      <c r="G136" s="31" t="s">
        <v>29</v>
      </c>
    </row>
    <row r="137" spans="1:8" x14ac:dyDescent="0.25">
      <c r="A137" s="28" t="s">
        <v>143</v>
      </c>
      <c r="B137" s="46" t="str">
        <f>VLOOKUP($A137,Products!$A$3:'Products'!$F$39,2, FALSE)</f>
        <v>small hardware box</v>
      </c>
      <c r="C137" s="46" t="str">
        <f>VLOOKUP($A137,Products!$A$3:'Products'!$F$39,3, FALSE)</f>
        <v>Dell 1750/2 Proc</v>
      </c>
      <c r="D137" s="49">
        <f>VLOOKUP($A137,Products!$A$3:'Products'!$F$39,4, FALSE)</f>
        <v>4100</v>
      </c>
      <c r="E137" s="50" t="str">
        <f>VLOOKUP($A137,Products!$A$3:'Products'!$F$39,5, FALSE)</f>
        <v>box</v>
      </c>
      <c r="F137" s="32">
        <v>2</v>
      </c>
      <c r="G137" s="33">
        <f>F137*D137</f>
        <v>8200</v>
      </c>
    </row>
    <row r="138" spans="1:8" x14ac:dyDescent="0.25">
      <c r="A138" s="28" t="s">
        <v>150</v>
      </c>
      <c r="B138" s="46" t="str">
        <f>VLOOKUP($A138,Products!$A$3:'Products'!$F$39,2, FALSE)</f>
        <v>high availability OS</v>
      </c>
      <c r="C138" s="46" t="str">
        <f>VLOOKUP($A138,Products!$A$3:'Products'!$F$39,3, FALSE)</f>
        <v>Windows Server 2003 Ent. Ed.</v>
      </c>
      <c r="D138" s="49">
        <f>VLOOKUP($A138,Products!$A$3:'Products'!$F$39,4, FALSE)</f>
        <v>3300</v>
      </c>
      <c r="E138" s="50" t="str">
        <f>VLOOKUP($A138,Products!$A$3:'Products'!$F$39,5, FALSE)</f>
        <v>box</v>
      </c>
      <c r="F138" s="32">
        <v>2</v>
      </c>
      <c r="G138" s="33">
        <f>F138*D138</f>
        <v>6600</v>
      </c>
    </row>
    <row r="139" spans="1:8" x14ac:dyDescent="0.25">
      <c r="A139" s="28" t="s">
        <v>155</v>
      </c>
      <c r="B139" s="46" t="str">
        <f>VLOOKUP($A139,Products!$A$3:'Products'!$F$39,2, FALSE)</f>
        <v>message queue</v>
      </c>
      <c r="C139" s="46" t="str">
        <f>VLOOKUP($A139,Products!$A$3:'Products'!$F$39,3, FALSE)</f>
        <v>MSMQ</v>
      </c>
      <c r="D139" s="49">
        <f>VLOOKUP($A139,Products!$A$3:'Products'!$F$39,4, FALSE)</f>
        <v>0</v>
      </c>
      <c r="E139" s="50" t="str">
        <f>VLOOKUP($A139,Products!$A$3:'Products'!$F$39,5, FALSE)</f>
        <v>box</v>
      </c>
      <c r="F139" s="32">
        <v>2</v>
      </c>
      <c r="G139" s="33">
        <f>F139*D139</f>
        <v>0</v>
      </c>
    </row>
    <row r="140" spans="1:8" s="41" customFormat="1" x14ac:dyDescent="0.25">
      <c r="A140" s="25"/>
      <c r="C140" s="42"/>
      <c r="F140" s="25"/>
      <c r="G140" s="25"/>
    </row>
    <row r="141" spans="1:8" s="43" customFormat="1" x14ac:dyDescent="0.25">
      <c r="A141" s="34"/>
      <c r="C141" s="44"/>
      <c r="F141" s="26" t="s">
        <v>30</v>
      </c>
      <c r="G141" s="35">
        <f>SUM(G137:G140)</f>
        <v>14800</v>
      </c>
    </row>
    <row r="142" spans="1:8" x14ac:dyDescent="0.25">
      <c r="A142" s="36" t="s">
        <v>63</v>
      </c>
    </row>
    <row r="143" spans="1:8" s="86" customFormat="1" ht="26.4" x14ac:dyDescent="0.25">
      <c r="A143" s="85" t="s">
        <v>222</v>
      </c>
      <c r="B143" s="86" t="s">
        <v>223</v>
      </c>
      <c r="C143" s="87" t="s">
        <v>224</v>
      </c>
      <c r="D143" s="86" t="s">
        <v>225</v>
      </c>
      <c r="F143" s="85"/>
      <c r="G143" s="85"/>
      <c r="H143" s="88"/>
    </row>
    <row r="144" spans="1:8" s="29" customFormat="1" x14ac:dyDescent="0.25">
      <c r="A144" s="29" t="s">
        <v>208</v>
      </c>
      <c r="B144" s="30" t="s">
        <v>141</v>
      </c>
      <c r="C144" s="30">
        <f>G151</f>
        <v>31198</v>
      </c>
      <c r="D144" s="29" t="s">
        <v>79</v>
      </c>
    </row>
    <row r="145" spans="1:8" s="46" customFormat="1" x14ac:dyDescent="0.25">
      <c r="A145" s="29"/>
      <c r="C145" s="47"/>
      <c r="F145" s="29"/>
      <c r="G145" s="29"/>
    </row>
    <row r="146" spans="1:8" s="43" customFormat="1" x14ac:dyDescent="0.25">
      <c r="A146" s="26" t="s">
        <v>128</v>
      </c>
      <c r="B146" s="43" t="s">
        <v>1</v>
      </c>
      <c r="C146" s="44" t="s">
        <v>13</v>
      </c>
      <c r="D146" s="48" t="s">
        <v>0</v>
      </c>
      <c r="E146" s="48" t="s">
        <v>36</v>
      </c>
      <c r="F146" s="31" t="s">
        <v>37</v>
      </c>
      <c r="G146" s="31" t="s">
        <v>29</v>
      </c>
    </row>
    <row r="147" spans="1:8" x14ac:dyDescent="0.25">
      <c r="A147" s="28" t="s">
        <v>143</v>
      </c>
      <c r="B147" s="46" t="str">
        <f>VLOOKUP($A147,Products!$A$3:'Products'!$F$39,2, FALSE)</f>
        <v>small hardware box</v>
      </c>
      <c r="C147" s="46" t="str">
        <f>VLOOKUP($A147,Products!$A$3:'Products'!$F$39,3, FALSE)</f>
        <v>Dell 1750/2 Proc</v>
      </c>
      <c r="D147" s="49">
        <f>VLOOKUP($A147,Products!$A$3:'Products'!$F$39,4, FALSE)</f>
        <v>4100</v>
      </c>
      <c r="E147" s="50" t="str">
        <f>VLOOKUP($A147,Products!$A$3:'Products'!$F$39,5, FALSE)</f>
        <v>box</v>
      </c>
      <c r="F147" s="32">
        <v>2</v>
      </c>
      <c r="G147" s="33">
        <f>F147*D147</f>
        <v>8200</v>
      </c>
    </row>
    <row r="148" spans="1:8" x14ac:dyDescent="0.25">
      <c r="A148" s="28" t="s">
        <v>163</v>
      </c>
      <c r="B148" s="46" t="str">
        <f>VLOOKUP($A148,Products!$A$3:'Products'!$F$39,2, FALSE)</f>
        <v>high availability OS</v>
      </c>
      <c r="C148" s="46" t="str">
        <f>VLOOKUP($A148,Products!$A$3:'Products'!$F$39,3, FALSE)</f>
        <v>Red Hat Ent. Linux AS Standard</v>
      </c>
      <c r="D148" s="49">
        <f>VLOOKUP($A148,Products!$A$3:'Products'!$F$39,4, FALSE)</f>
        <v>1499</v>
      </c>
      <c r="E148" s="50" t="str">
        <f>VLOOKUP($A148,Products!$A$3:'Products'!$F$39,5, FALSE)</f>
        <v>box</v>
      </c>
      <c r="F148" s="32">
        <v>2</v>
      </c>
      <c r="G148" s="33">
        <f>F148*D148</f>
        <v>2998</v>
      </c>
    </row>
    <row r="149" spans="1:8" x14ac:dyDescent="0.25">
      <c r="A149" s="28" t="s">
        <v>160</v>
      </c>
      <c r="B149" s="46" t="str">
        <f>VLOOKUP($A149,Products!$A$3:'Products'!$F$39,2, FALSE)</f>
        <v>message queue</v>
      </c>
      <c r="C149" s="46" t="str">
        <f>VLOOKUP($A149,Products!$A$3:'Products'!$F$39,3, FALSE)</f>
        <v>WebSphere MQ</v>
      </c>
      <c r="D149" s="49">
        <f>VLOOKUP($A149,Products!$A$3:'Products'!$F$39,4, FALSE)</f>
        <v>5000</v>
      </c>
      <c r="E149" s="50" t="str">
        <f>VLOOKUP($A149,Products!$A$3:'Products'!$F$39,5, FALSE)</f>
        <v>proc</v>
      </c>
      <c r="F149" s="32">
        <v>4</v>
      </c>
      <c r="G149" s="33">
        <f>F149*D149</f>
        <v>20000</v>
      </c>
    </row>
    <row r="150" spans="1:8" s="41" customFormat="1" x14ac:dyDescent="0.25">
      <c r="A150" s="25"/>
      <c r="C150" s="42"/>
      <c r="F150" s="25"/>
      <c r="G150" s="25"/>
    </row>
    <row r="151" spans="1:8" s="43" customFormat="1" x14ac:dyDescent="0.25">
      <c r="A151" s="34"/>
      <c r="C151" s="44"/>
      <c r="F151" s="26" t="s">
        <v>30</v>
      </c>
      <c r="G151" s="35">
        <f>SUM(G147:G150)</f>
        <v>31198</v>
      </c>
    </row>
    <row r="152" spans="1:8" s="51" customFormat="1" x14ac:dyDescent="0.25">
      <c r="A152" s="37" t="s">
        <v>63</v>
      </c>
      <c r="F152" s="38"/>
      <c r="G152" s="38"/>
    </row>
    <row r="153" spans="1:8" s="86" customFormat="1" ht="26.4" x14ac:dyDescent="0.25">
      <c r="A153" s="85" t="s">
        <v>222</v>
      </c>
      <c r="B153" s="86" t="s">
        <v>223</v>
      </c>
      <c r="C153" s="87" t="s">
        <v>224</v>
      </c>
      <c r="D153" s="86" t="s">
        <v>225</v>
      </c>
      <c r="F153" s="85"/>
      <c r="G153" s="85"/>
      <c r="H153" s="88"/>
    </row>
    <row r="154" spans="1:8" s="29" customFormat="1" x14ac:dyDescent="0.25">
      <c r="A154" s="29" t="s">
        <v>192</v>
      </c>
      <c r="B154" s="30" t="s">
        <v>142</v>
      </c>
      <c r="C154" s="30">
        <f>G163</f>
        <v>219596</v>
      </c>
      <c r="D154" s="29" t="s">
        <v>80</v>
      </c>
    </row>
    <row r="155" spans="1:8" s="46" customFormat="1" x14ac:dyDescent="0.25">
      <c r="A155" s="29"/>
      <c r="C155" s="47"/>
      <c r="F155" s="29"/>
      <c r="G155" s="29"/>
    </row>
    <row r="156" spans="1:8" s="43" customFormat="1" x14ac:dyDescent="0.25">
      <c r="A156" s="26" t="s">
        <v>128</v>
      </c>
      <c r="B156" s="43" t="s">
        <v>1</v>
      </c>
      <c r="C156" s="44" t="s">
        <v>13</v>
      </c>
      <c r="D156" s="48" t="s">
        <v>0</v>
      </c>
      <c r="E156" s="48" t="s">
        <v>36</v>
      </c>
      <c r="F156" s="31" t="s">
        <v>37</v>
      </c>
      <c r="G156" s="31" t="s">
        <v>29</v>
      </c>
    </row>
    <row r="157" spans="1:8" x14ac:dyDescent="0.25">
      <c r="A157" s="28" t="s">
        <v>145</v>
      </c>
      <c r="B157" s="46" t="str">
        <f>VLOOKUP($A157,Products!$A$3:'Products'!$F$39,2, FALSE)</f>
        <v>database box</v>
      </c>
      <c r="C157" s="46" t="str">
        <f>VLOOKUP($A157,Products!$A$3:'Products'!$F$39,3, FALSE)</f>
        <v>Dell 6650/4 Proc</v>
      </c>
      <c r="D157" s="49">
        <f>VLOOKUP($A157,Products!$A$3:'Products'!$F$39,4, FALSE)</f>
        <v>21500</v>
      </c>
      <c r="E157" s="50" t="str">
        <f>VLOOKUP($A157,Products!$A$3:'Products'!$F$39,5, FALSE)</f>
        <v>box</v>
      </c>
      <c r="F157" s="32">
        <v>2</v>
      </c>
      <c r="G157" s="33">
        <f>F157*D157</f>
        <v>43000</v>
      </c>
    </row>
    <row r="158" spans="1:8" x14ac:dyDescent="0.25">
      <c r="A158" s="28" t="s">
        <v>146</v>
      </c>
      <c r="B158" s="46" t="str">
        <f>VLOOKUP($A158,Products!$A$3:'Products'!$F$39,2, FALSE)</f>
        <v>SAN interconnect</v>
      </c>
      <c r="C158" s="46" t="str">
        <f>VLOOKUP($A158,Products!$A$3:'Products'!$F$39,3, FALSE)</f>
        <v>Dell/EMC DS16B</v>
      </c>
      <c r="D158" s="49">
        <f>VLOOKUP($A158,Products!$A$3:'Products'!$F$39,4, FALSE)</f>
        <v>15000</v>
      </c>
      <c r="E158" s="50" t="str">
        <f>VLOOKUP($A158,Products!$A$3:'Products'!$F$39,5, FALSE)</f>
        <v>enterprise</v>
      </c>
      <c r="F158" s="32">
        <v>1</v>
      </c>
      <c r="G158" s="33">
        <f>F158*D158</f>
        <v>15000</v>
      </c>
    </row>
    <row r="159" spans="1:8" x14ac:dyDescent="0.25">
      <c r="A159" s="28" t="s">
        <v>147</v>
      </c>
      <c r="B159" s="46" t="str">
        <f>VLOOKUP($A159,Products!$A$3:'Products'!$F$39,2, FALSE)</f>
        <v>external shared disks</v>
      </c>
      <c r="C159" s="46" t="str">
        <f>VLOOKUP($A159,Products!$A$3:'Products'!$F$39,3, FALSE)</f>
        <v>Dell/EMC CX600</v>
      </c>
      <c r="D159" s="49">
        <f>VLOOKUP($A159,Products!$A$3:'Products'!$F$39,4, FALSE)</f>
        <v>75000</v>
      </c>
      <c r="E159" s="50" t="str">
        <f>VLOOKUP($A159,Products!$A$3:'Products'!$F$39,5, FALSE)</f>
        <v>unit</v>
      </c>
      <c r="F159" s="32">
        <v>1</v>
      </c>
      <c r="G159" s="33">
        <f>F159*D159</f>
        <v>75000</v>
      </c>
    </row>
    <row r="160" spans="1:8" x14ac:dyDescent="0.25">
      <c r="A160" s="28" t="s">
        <v>150</v>
      </c>
      <c r="B160" s="46" t="str">
        <f>VLOOKUP($A160,Products!$A$3:'Products'!$F$39,2, FALSE)</f>
        <v>high availability OS</v>
      </c>
      <c r="C160" s="46" t="str">
        <f>VLOOKUP($A160,Products!$A$3:'Products'!$F$39,3, FALSE)</f>
        <v>Windows Server 2003 Ent. Ed.</v>
      </c>
      <c r="D160" s="49">
        <f>VLOOKUP($A160,Products!$A$3:'Products'!$F$39,4, FALSE)</f>
        <v>3300</v>
      </c>
      <c r="E160" s="50" t="str">
        <f>VLOOKUP($A160,Products!$A$3:'Products'!$F$39,5, FALSE)</f>
        <v>box</v>
      </c>
      <c r="F160" s="32">
        <v>2</v>
      </c>
      <c r="G160" s="33">
        <f>F160*D160</f>
        <v>6600</v>
      </c>
    </row>
    <row r="161" spans="1:8" x14ac:dyDescent="0.25">
      <c r="A161" s="28" t="s">
        <v>154</v>
      </c>
      <c r="B161" s="46" t="str">
        <f>VLOOKUP($A161,Products!$A$3:'Products'!$F$39,2, FALSE)</f>
        <v>high-end database</v>
      </c>
      <c r="C161" s="46" t="str">
        <f>VLOOKUP($A161,Products!$A$3:'Products'!$F$39,3, FALSE)</f>
        <v>SQLServer Enterprise Ed.</v>
      </c>
      <c r="D161" s="49">
        <f>VLOOKUP($A161,Products!$A$3:'Products'!$F$39,4, FALSE)</f>
        <v>19999</v>
      </c>
      <c r="E161" s="50" t="str">
        <f>VLOOKUP($A161,Products!$A$3:'Products'!$F$39,5, FALSE)</f>
        <v>proc</v>
      </c>
      <c r="F161" s="32">
        <v>4</v>
      </c>
      <c r="G161" s="33">
        <f>F161*D161</f>
        <v>79996</v>
      </c>
    </row>
    <row r="162" spans="1:8" s="41" customFormat="1" x14ac:dyDescent="0.25">
      <c r="A162" s="25"/>
      <c r="C162" s="42"/>
      <c r="F162" s="25"/>
      <c r="G162" s="25"/>
    </row>
    <row r="163" spans="1:8" s="43" customFormat="1" x14ac:dyDescent="0.25">
      <c r="A163" s="34"/>
      <c r="C163" s="44"/>
      <c r="F163" s="26" t="s">
        <v>30</v>
      </c>
      <c r="G163" s="35">
        <f>SUM(G157:G162)</f>
        <v>219596</v>
      </c>
    </row>
    <row r="164" spans="1:8" x14ac:dyDescent="0.25">
      <c r="A164" s="36" t="s">
        <v>63</v>
      </c>
    </row>
    <row r="165" spans="1:8" s="86" customFormat="1" ht="26.4" x14ac:dyDescent="0.25">
      <c r="A165" s="85" t="s">
        <v>222</v>
      </c>
      <c r="B165" s="86" t="s">
        <v>223</v>
      </c>
      <c r="C165" s="87" t="s">
        <v>224</v>
      </c>
      <c r="D165" s="86" t="s">
        <v>225</v>
      </c>
      <c r="F165" s="85"/>
      <c r="G165" s="85"/>
      <c r="H165" s="88"/>
    </row>
    <row r="166" spans="1:8" s="29" customFormat="1" x14ac:dyDescent="0.25">
      <c r="A166" s="29" t="s">
        <v>193</v>
      </c>
      <c r="B166" s="30" t="s">
        <v>142</v>
      </c>
      <c r="C166" s="30">
        <f>G175</f>
        <v>234748</v>
      </c>
      <c r="D166" s="29" t="s">
        <v>81</v>
      </c>
    </row>
    <row r="167" spans="1:8" s="46" customFormat="1" x14ac:dyDescent="0.25">
      <c r="A167" s="29"/>
      <c r="C167" s="47"/>
      <c r="F167" s="29"/>
      <c r="G167" s="29"/>
    </row>
    <row r="168" spans="1:8" s="43" customFormat="1" x14ac:dyDescent="0.25">
      <c r="A168" s="26" t="s">
        <v>128</v>
      </c>
      <c r="B168" s="43" t="s">
        <v>1</v>
      </c>
      <c r="C168" s="44" t="s">
        <v>13</v>
      </c>
      <c r="D168" s="48" t="s">
        <v>0</v>
      </c>
      <c r="E168" s="48" t="s">
        <v>36</v>
      </c>
      <c r="F168" s="31" t="s">
        <v>37</v>
      </c>
      <c r="G168" s="31" t="s">
        <v>29</v>
      </c>
    </row>
    <row r="169" spans="1:8" x14ac:dyDescent="0.25">
      <c r="A169" s="28" t="s">
        <v>145</v>
      </c>
      <c r="B169" s="46" t="str">
        <f>VLOOKUP($A169,Products!$A$3:'Products'!$F$39,2, FALSE)</f>
        <v>database box</v>
      </c>
      <c r="C169" s="46" t="str">
        <f>VLOOKUP($A169,Products!$A$3:'Products'!$F$39,3, FALSE)</f>
        <v>Dell 6650/4 Proc</v>
      </c>
      <c r="D169" s="49">
        <f>VLOOKUP($A169,Products!$A$3:'Products'!$F$39,4, FALSE)</f>
        <v>21500</v>
      </c>
      <c r="E169" s="50" t="str">
        <f>VLOOKUP($A169,Products!$A$3:'Products'!$F$39,5, FALSE)</f>
        <v>box</v>
      </c>
      <c r="F169" s="32">
        <v>2</v>
      </c>
      <c r="G169" s="33">
        <f>F169*D169</f>
        <v>43000</v>
      </c>
    </row>
    <row r="170" spans="1:8" x14ac:dyDescent="0.25">
      <c r="A170" s="28" t="s">
        <v>146</v>
      </c>
      <c r="B170" s="46" t="str">
        <f>VLOOKUP($A170,Products!$A$3:'Products'!$F$39,2, FALSE)</f>
        <v>SAN interconnect</v>
      </c>
      <c r="C170" s="46" t="str">
        <f>VLOOKUP($A170,Products!$A$3:'Products'!$F$39,3, FALSE)</f>
        <v>Dell/EMC DS16B</v>
      </c>
      <c r="D170" s="49">
        <f>VLOOKUP($A170,Products!$A$3:'Products'!$F$39,4, FALSE)</f>
        <v>15000</v>
      </c>
      <c r="E170" s="50" t="str">
        <f>VLOOKUP($A170,Products!$A$3:'Products'!$F$39,5, FALSE)</f>
        <v>enterprise</v>
      </c>
      <c r="F170" s="32">
        <v>1</v>
      </c>
      <c r="G170" s="33">
        <f>F170*D170</f>
        <v>15000</v>
      </c>
    </row>
    <row r="171" spans="1:8" x14ac:dyDescent="0.25">
      <c r="A171" s="28" t="s">
        <v>147</v>
      </c>
      <c r="B171" s="46" t="str">
        <f>VLOOKUP($A171,Products!$A$3:'Products'!$F$39,2, FALSE)</f>
        <v>external shared disks</v>
      </c>
      <c r="C171" s="46" t="str">
        <f>VLOOKUP($A171,Products!$A$3:'Products'!$F$39,3, FALSE)</f>
        <v>Dell/EMC CX600</v>
      </c>
      <c r="D171" s="49">
        <f>VLOOKUP($A171,Products!$A$3:'Products'!$F$39,4, FALSE)</f>
        <v>75000</v>
      </c>
      <c r="E171" s="50" t="str">
        <f>VLOOKUP($A171,Products!$A$3:'Products'!$F$39,5, FALSE)</f>
        <v>unit</v>
      </c>
      <c r="F171" s="32">
        <v>1</v>
      </c>
      <c r="G171" s="33">
        <f>F171*D171</f>
        <v>75000</v>
      </c>
    </row>
    <row r="172" spans="1:8" x14ac:dyDescent="0.25">
      <c r="A172" s="28" t="s">
        <v>163</v>
      </c>
      <c r="B172" s="46" t="str">
        <f>VLOOKUP($A172,Products!$A$3:'Products'!$F$39,2, FALSE)</f>
        <v>high availability OS</v>
      </c>
      <c r="C172" s="46" t="str">
        <f>VLOOKUP($A172,Products!$A$3:'Products'!$F$39,3, FALSE)</f>
        <v>Red Hat Ent. Linux AS Standard</v>
      </c>
      <c r="D172" s="49">
        <f>VLOOKUP($A172,Products!$A$3:'Products'!$F$39,4, FALSE)</f>
        <v>1499</v>
      </c>
      <c r="E172" s="50" t="str">
        <f>VLOOKUP($A172,Products!$A$3:'Products'!$F$39,5, FALSE)</f>
        <v>box</v>
      </c>
      <c r="F172" s="32">
        <v>2</v>
      </c>
      <c r="G172" s="33">
        <f>F172*D172</f>
        <v>2998</v>
      </c>
    </row>
    <row r="173" spans="1:8" x14ac:dyDescent="0.25">
      <c r="A173" s="28" t="s">
        <v>161</v>
      </c>
      <c r="B173" s="46" t="str">
        <f>VLOOKUP($A173,Products!$A$3:'Products'!$F$39,2, FALSE)</f>
        <v>high-end database</v>
      </c>
      <c r="C173" s="46" t="str">
        <f>VLOOKUP($A173,Products!$A$3:'Products'!$F$39,3, FALSE)</f>
        <v>DB2 UDB V 8.1 ESE</v>
      </c>
      <c r="D173" s="49">
        <f>VLOOKUP($A173,Products!$A$3:'Products'!$F$39,4, FALSE)</f>
        <v>19750</v>
      </c>
      <c r="E173" s="50" t="str">
        <f>VLOOKUP($A173,Products!$A$3:'Products'!$F$39,5, FALSE)</f>
        <v>proc</v>
      </c>
      <c r="F173" s="32">
        <v>5</v>
      </c>
      <c r="G173" s="33">
        <f>F173*D173</f>
        <v>98750</v>
      </c>
    </row>
    <row r="174" spans="1:8" s="41" customFormat="1" x14ac:dyDescent="0.25">
      <c r="A174" s="25"/>
      <c r="C174" s="42"/>
      <c r="F174" s="25"/>
      <c r="G174" s="25"/>
    </row>
    <row r="175" spans="1:8" s="43" customFormat="1" x14ac:dyDescent="0.25">
      <c r="A175" s="34"/>
      <c r="C175" s="44"/>
      <c r="F175" s="26" t="s">
        <v>30</v>
      </c>
      <c r="G175" s="35">
        <f>SUM(G169:G174)</f>
        <v>234748</v>
      </c>
    </row>
    <row r="176" spans="1:8" s="51" customFormat="1" x14ac:dyDescent="0.25">
      <c r="A176" s="37" t="s">
        <v>63</v>
      </c>
      <c r="F176" s="38"/>
      <c r="G176" s="38"/>
    </row>
    <row r="177" spans="1:8" s="26" customFormat="1" x14ac:dyDescent="0.25">
      <c r="A177" s="26" t="s">
        <v>65</v>
      </c>
      <c r="C177" s="27"/>
    </row>
    <row r="178" spans="1:8" s="86" customFormat="1" ht="26.4" x14ac:dyDescent="0.25">
      <c r="A178" s="85" t="s">
        <v>222</v>
      </c>
      <c r="B178" s="86" t="s">
        <v>223</v>
      </c>
      <c r="C178" s="87" t="s">
        <v>224</v>
      </c>
      <c r="D178" s="86" t="s">
        <v>225</v>
      </c>
      <c r="F178" s="85"/>
      <c r="G178" s="85"/>
      <c r="H178" s="88"/>
    </row>
    <row r="179" spans="1:8" s="29" customFormat="1" x14ac:dyDescent="0.25">
      <c r="A179" s="29" t="s">
        <v>194</v>
      </c>
      <c r="B179" s="30" t="s">
        <v>53</v>
      </c>
      <c r="C179" s="30">
        <f>G191</f>
        <v>160</v>
      </c>
      <c r="D179" s="29" t="s">
        <v>85</v>
      </c>
    </row>
    <row r="180" spans="1:8" s="46" customFormat="1" x14ac:dyDescent="0.25">
      <c r="A180" s="29"/>
      <c r="C180" s="47"/>
      <c r="F180" s="29"/>
      <c r="G180" s="29"/>
    </row>
    <row r="181" spans="1:8" s="43" customFormat="1" x14ac:dyDescent="0.25">
      <c r="A181" s="26" t="s">
        <v>128</v>
      </c>
      <c r="B181" s="43" t="s">
        <v>1</v>
      </c>
      <c r="C181" s="44" t="s">
        <v>13</v>
      </c>
      <c r="D181" s="48" t="s">
        <v>0</v>
      </c>
      <c r="E181" s="48" t="s">
        <v>36</v>
      </c>
      <c r="F181" s="31" t="s">
        <v>37</v>
      </c>
      <c r="G181" s="31" t="s">
        <v>29</v>
      </c>
    </row>
    <row r="182" spans="1:8" x14ac:dyDescent="0.25">
      <c r="A182" s="28" t="s">
        <v>165</v>
      </c>
      <c r="B182" s="46" t="str">
        <f>VLOOKUP($A182,Products!$A$3:'Products'!$F$39,2, FALSE)</f>
        <v>test functionality</v>
      </c>
      <c r="C182" s="46" t="str">
        <f>VLOOKUP($A182,Products!$A$3:'Products'!$F$39,3, FALSE)</f>
        <v>test product</v>
      </c>
      <c r="D182" s="49">
        <f>VLOOKUP($A182,Products!$A$3:'Products'!$F$39,4, FALSE)</f>
        <v>20</v>
      </c>
      <c r="E182" s="50" t="str">
        <f>VLOOKUP($A182,Products!$A$3:'Products'!$F$39,5, FALSE)</f>
        <v>testbox</v>
      </c>
      <c r="F182" s="32">
        <v>1</v>
      </c>
      <c r="G182" s="33">
        <f t="shared" ref="G182:G189" si="0">F182*D182</f>
        <v>20</v>
      </c>
    </row>
    <row r="183" spans="1:8" x14ac:dyDescent="0.25">
      <c r="A183" s="28" t="s">
        <v>165</v>
      </c>
      <c r="B183" s="46" t="str">
        <f>VLOOKUP($A183,Products!$A$3:'Products'!$F$39,2, FALSE)</f>
        <v>test functionality</v>
      </c>
      <c r="C183" s="46" t="str">
        <f>VLOOKUP($A183,Products!$A$3:'Products'!$F$39,3, FALSE)</f>
        <v>test product</v>
      </c>
      <c r="D183" s="49">
        <f>VLOOKUP($A183,Products!$A$3:'Products'!$F$39,4, FALSE)</f>
        <v>20</v>
      </c>
      <c r="E183" s="50" t="str">
        <f>VLOOKUP($A183,Products!$A$3:'Products'!$F$39,5, FALSE)</f>
        <v>testbox</v>
      </c>
      <c r="F183" s="32">
        <v>1</v>
      </c>
      <c r="G183" s="33">
        <f t="shared" si="0"/>
        <v>20</v>
      </c>
    </row>
    <row r="184" spans="1:8" x14ac:dyDescent="0.25">
      <c r="A184" s="28" t="s">
        <v>165</v>
      </c>
      <c r="B184" s="46" t="str">
        <f>VLOOKUP($A184,Products!$A$3:'Products'!$F$39,2, FALSE)</f>
        <v>test functionality</v>
      </c>
      <c r="C184" s="46" t="str">
        <f>VLOOKUP($A184,Products!$A$3:'Products'!$F$39,3, FALSE)</f>
        <v>test product</v>
      </c>
      <c r="D184" s="49">
        <f>VLOOKUP($A184,Products!$A$3:'Products'!$F$39,4, FALSE)</f>
        <v>20</v>
      </c>
      <c r="E184" s="50" t="str">
        <f>VLOOKUP($A184,Products!$A$3:'Products'!$F$39,5, FALSE)</f>
        <v>testbox</v>
      </c>
      <c r="F184" s="32">
        <v>1</v>
      </c>
      <c r="G184" s="33">
        <f t="shared" si="0"/>
        <v>20</v>
      </c>
    </row>
    <row r="185" spans="1:8" x14ac:dyDescent="0.25">
      <c r="A185" s="28" t="s">
        <v>165</v>
      </c>
      <c r="B185" s="46" t="str">
        <f>VLOOKUP($A185,Products!$A$3:'Products'!$F$39,2, FALSE)</f>
        <v>test functionality</v>
      </c>
      <c r="C185" s="46" t="str">
        <f>VLOOKUP($A185,Products!$A$3:'Products'!$F$39,3, FALSE)</f>
        <v>test product</v>
      </c>
      <c r="D185" s="49">
        <f>VLOOKUP($A185,Products!$A$3:'Products'!$F$39,4, FALSE)</f>
        <v>20</v>
      </c>
      <c r="E185" s="50" t="str">
        <f>VLOOKUP($A185,Products!$A$3:'Products'!$F$39,5, FALSE)</f>
        <v>testbox</v>
      </c>
      <c r="F185" s="32">
        <v>1</v>
      </c>
      <c r="G185" s="33">
        <f t="shared" si="0"/>
        <v>20</v>
      </c>
    </row>
    <row r="186" spans="1:8" x14ac:dyDescent="0.25">
      <c r="A186" s="28" t="s">
        <v>165</v>
      </c>
      <c r="B186" s="46" t="str">
        <f>VLOOKUP($A186,Products!$A$3:'Products'!$F$39,2, FALSE)</f>
        <v>test functionality</v>
      </c>
      <c r="C186" s="46" t="str">
        <f>VLOOKUP($A186,Products!$A$3:'Products'!$F$39,3, FALSE)</f>
        <v>test product</v>
      </c>
      <c r="D186" s="49">
        <f>VLOOKUP($A186,Products!$A$3:'Products'!$F$39,4, FALSE)</f>
        <v>20</v>
      </c>
      <c r="E186" s="50" t="str">
        <f>VLOOKUP($A186,Products!$A$3:'Products'!$F$39,5, FALSE)</f>
        <v>testbox</v>
      </c>
      <c r="F186" s="32">
        <v>1</v>
      </c>
      <c r="G186" s="33">
        <f t="shared" si="0"/>
        <v>20</v>
      </c>
    </row>
    <row r="187" spans="1:8" x14ac:dyDescent="0.25">
      <c r="A187" s="28" t="s">
        <v>165</v>
      </c>
      <c r="B187" s="46" t="str">
        <f>VLOOKUP($A187,Products!$A$3:'Products'!$F$39,2, FALSE)</f>
        <v>test functionality</v>
      </c>
      <c r="C187" s="46" t="str">
        <f>VLOOKUP($A187,Products!$A$3:'Products'!$F$39,3, FALSE)</f>
        <v>test product</v>
      </c>
      <c r="D187" s="49">
        <f>VLOOKUP($A187,Products!$A$3:'Products'!$F$39,4, FALSE)</f>
        <v>20</v>
      </c>
      <c r="E187" s="50" t="str">
        <f>VLOOKUP($A187,Products!$A$3:'Products'!$F$39,5, FALSE)</f>
        <v>testbox</v>
      </c>
      <c r="F187" s="32">
        <v>1</v>
      </c>
      <c r="G187" s="33">
        <f t="shared" si="0"/>
        <v>20</v>
      </c>
    </row>
    <row r="188" spans="1:8" x14ac:dyDescent="0.25">
      <c r="A188" s="28" t="s">
        <v>165</v>
      </c>
      <c r="B188" s="46" t="str">
        <f>VLOOKUP($A188,Products!$A$3:'Products'!$F$39,2, FALSE)</f>
        <v>test functionality</v>
      </c>
      <c r="C188" s="46" t="str">
        <f>VLOOKUP($A188,Products!$A$3:'Products'!$F$39,3, FALSE)</f>
        <v>test product</v>
      </c>
      <c r="D188" s="49">
        <f>VLOOKUP($A188,Products!$A$3:'Products'!$F$39,4, FALSE)</f>
        <v>20</v>
      </c>
      <c r="E188" s="50" t="str">
        <f>VLOOKUP($A188,Products!$A$3:'Products'!$F$39,5, FALSE)</f>
        <v>testbox</v>
      </c>
      <c r="F188" s="32">
        <v>1</v>
      </c>
      <c r="G188" s="33">
        <f t="shared" si="0"/>
        <v>20</v>
      </c>
    </row>
    <row r="189" spans="1:8" x14ac:dyDescent="0.25">
      <c r="A189" s="28" t="s">
        <v>165</v>
      </c>
      <c r="B189" s="46" t="str">
        <f>VLOOKUP($A189,Products!$A$3:'Products'!$F$39,2, FALSE)</f>
        <v>test functionality</v>
      </c>
      <c r="C189" s="46" t="str">
        <f>VLOOKUP($A189,Products!$A$3:'Products'!$F$39,3, FALSE)</f>
        <v>test product</v>
      </c>
      <c r="D189" s="49">
        <f>VLOOKUP($A189,Products!$A$3:'Products'!$F$39,4, FALSE)</f>
        <v>20</v>
      </c>
      <c r="E189" s="50" t="str">
        <f>VLOOKUP($A189,Products!$A$3:'Products'!$F$39,5, FALSE)</f>
        <v>testbox</v>
      </c>
      <c r="F189" s="32">
        <v>1</v>
      </c>
      <c r="G189" s="33">
        <f t="shared" si="0"/>
        <v>20</v>
      </c>
    </row>
    <row r="190" spans="1:8" s="41" customFormat="1" x14ac:dyDescent="0.25">
      <c r="A190" s="25"/>
      <c r="C190" s="42"/>
      <c r="F190" s="25"/>
      <c r="G190" s="25"/>
    </row>
    <row r="191" spans="1:8" s="43" customFormat="1" x14ac:dyDescent="0.25">
      <c r="A191" s="34"/>
      <c r="C191" s="44"/>
      <c r="F191" s="26" t="s">
        <v>30</v>
      </c>
      <c r="G191" s="35">
        <f>SUM(G182:G190)</f>
        <v>160</v>
      </c>
    </row>
    <row r="192" spans="1:8" x14ac:dyDescent="0.25">
      <c r="A192" s="36" t="s">
        <v>63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A4" sqref="A4"/>
    </sheetView>
  </sheetViews>
  <sheetFormatPr defaultRowHeight="13.2" x14ac:dyDescent="0.25"/>
  <cols>
    <col min="1" max="1" width="13.44140625" customWidth="1"/>
    <col min="2" max="2" width="32.6640625" customWidth="1"/>
    <col min="3" max="3" width="9.109375" style="8" customWidth="1"/>
  </cols>
  <sheetData>
    <row r="2" spans="1:3" s="15" customFormat="1" ht="17.399999999999999" x14ac:dyDescent="0.3">
      <c r="A2" s="15" t="s">
        <v>82</v>
      </c>
      <c r="C2" s="17"/>
    </row>
    <row r="4" spans="1:3" s="1" customFormat="1" x14ac:dyDescent="0.25">
      <c r="A4" s="1" t="s">
        <v>226</v>
      </c>
      <c r="B4" s="1" t="s">
        <v>83</v>
      </c>
      <c r="C4" s="14" t="s">
        <v>84</v>
      </c>
    </row>
    <row r="5" spans="1:3" x14ac:dyDescent="0.25">
      <c r="A5" s="29" t="s">
        <v>195</v>
      </c>
      <c r="B5" t="str">
        <f>VLOOKUP($A5, Configurations!$A$4:'Configurations'!$G$192, 4, FALSE)</f>
        <v>MS Presentation Fortress</v>
      </c>
      <c r="C5" s="8">
        <f>VLOOKUP($A5, Configurations!$A$4:'Configurations'!$G$192, 3, FALSE)</f>
        <v>9000</v>
      </c>
    </row>
    <row r="6" spans="1:3" x14ac:dyDescent="0.25">
      <c r="A6" s="29" t="s">
        <v>196</v>
      </c>
      <c r="B6" t="str">
        <f>VLOOKUP($A6, Configurations!$A$4:'Configurations'!$G$192, 4, FALSE)</f>
        <v>IBM Presentation Fortress</v>
      </c>
      <c r="C6" s="8">
        <f>VLOOKUP($A6, Configurations!$A$4:'Configurations'!$G$192, 3, FALSE)</f>
        <v>74398</v>
      </c>
    </row>
    <row r="8" spans="1:3" x14ac:dyDescent="0.25">
      <c r="A8" s="29" t="s">
        <v>197</v>
      </c>
      <c r="B8" t="str">
        <f>VLOOKUP($A8, Configurations!$A$4:'Configurations'!$G$192, 4, FALSE)</f>
        <v>MS Web Service Fortress</v>
      </c>
      <c r="C8" s="8">
        <f>VLOOKUP($A8, Configurations!$A$4:'Configurations'!$G$192, 3, FALSE)</f>
        <v>4500</v>
      </c>
    </row>
    <row r="9" spans="1:3" x14ac:dyDescent="0.25">
      <c r="A9" s="29" t="s">
        <v>198</v>
      </c>
      <c r="B9" t="str">
        <f>VLOOKUP($A9, Configurations!$A$4:'Configurations'!$G$192, 4, FALSE)</f>
        <v>IBM Web Service Fortress</v>
      </c>
      <c r="C9" s="8">
        <f>VLOOKUP($A9, Configurations!$A$4:'Configurations'!$G$192, 3, FALSE)</f>
        <v>37199</v>
      </c>
    </row>
    <row r="11" spans="1:3" x14ac:dyDescent="0.25">
      <c r="A11" s="29" t="s">
        <v>199</v>
      </c>
      <c r="B11" t="str">
        <f>VLOOKUP($A11, Configurations!$A$4:'Configurations'!$G$192, 4, FALSE)</f>
        <v>MS Business Application Fortress</v>
      </c>
      <c r="C11" s="8">
        <f>VLOOKUP($A11, Configurations!$A$4:'Configurations'!$G$192, 3, FALSE)</f>
        <v>9800</v>
      </c>
    </row>
    <row r="12" spans="1:3" x14ac:dyDescent="0.25">
      <c r="A12" s="29" t="s">
        <v>200</v>
      </c>
      <c r="B12" t="str">
        <f>VLOOKUP($A12, Configurations!$A$4:'Configurations'!$G$192, 4, FALSE)</f>
        <v>IBM Business Application Fortress</v>
      </c>
      <c r="C12" s="8">
        <f>VLOOKUP($A12, Configurations!$A$4:'Configurations'!$G$192, 3, FALSE)</f>
        <v>74398</v>
      </c>
    </row>
    <row r="14" spans="1:3" x14ac:dyDescent="0.25">
      <c r="A14" s="29" t="s">
        <v>201</v>
      </c>
      <c r="B14" t="str">
        <f>VLOOKUP($A14, Configurations!$A$4:'Configurations'!$G$192, 4, FALSE)</f>
        <v>MS Legacy Fortress</v>
      </c>
      <c r="C14" s="8">
        <f>VLOOKUP($A14, Configurations!$A$4:'Configurations'!$G$192, 3, FALSE)</f>
        <v>9898</v>
      </c>
    </row>
    <row r="15" spans="1:3" x14ac:dyDescent="0.25">
      <c r="A15" s="29" t="s">
        <v>202</v>
      </c>
      <c r="B15" t="str">
        <f>VLOOKUP($A15, Configurations!$A$4:'Configurations'!$G$192, 4, FALSE)</f>
        <v>IBM Legacy Fortress</v>
      </c>
      <c r="C15" s="8">
        <f>VLOOKUP($A15, Configurations!$A$4:'Configurations'!$G$192, 3, FALSE)</f>
        <v>34286</v>
      </c>
    </row>
    <row r="17" spans="1:3" x14ac:dyDescent="0.25">
      <c r="A17" s="29" t="s">
        <v>203</v>
      </c>
      <c r="B17" t="str">
        <f>VLOOKUP($A17, Configurations!$A$4:'Configurations'!$G$192, 4, FALSE)</f>
        <v>MS Treaty Management Fortress</v>
      </c>
      <c r="C17" s="8">
        <f>VLOOKUP($A17, Configurations!$A$4:'Configurations'!$G$192, 3, FALSE)</f>
        <v>129596</v>
      </c>
    </row>
    <row r="18" spans="1:3" x14ac:dyDescent="0.25">
      <c r="A18" s="29" t="s">
        <v>204</v>
      </c>
      <c r="B18" t="str">
        <f>VLOOKUP($A18, Configurations!$A$4:'Configurations'!$G$192, 4, FALSE)</f>
        <v>IBM Treaty Management Fortress</v>
      </c>
      <c r="C18" s="8">
        <f>VLOOKUP($A18, Configurations!$A$4:'Configurations'!$G$192, 3, FALSE)</f>
        <v>541600</v>
      </c>
    </row>
    <row r="20" spans="1:3" x14ac:dyDescent="0.25">
      <c r="A20" s="29" t="s">
        <v>205</v>
      </c>
      <c r="B20" t="str">
        <f>VLOOKUP($A20, Configurations!$A$4:'Configurations'!$G$192, 4, FALSE)</f>
        <v>MS Service Fortress</v>
      </c>
      <c r="C20" s="8">
        <f>VLOOKUP($A20, Configurations!$A$4:'Configurations'!$G$192, 3, FALSE)</f>
        <v>9800</v>
      </c>
    </row>
    <row r="21" spans="1:3" x14ac:dyDescent="0.25">
      <c r="A21" s="29" t="s">
        <v>206</v>
      </c>
      <c r="B21" t="str">
        <f>VLOOKUP($A21, Configurations!$A$4:'Configurations'!$G$192, 4, FALSE)</f>
        <v>IBM Service Fortress</v>
      </c>
      <c r="C21" s="8">
        <f>VLOOKUP($A21, Configurations!$A$4:'Configurations'!$G$192, 3, FALSE)</f>
        <v>54398</v>
      </c>
    </row>
    <row r="23" spans="1:3" x14ac:dyDescent="0.25">
      <c r="A23" s="29" t="s">
        <v>207</v>
      </c>
      <c r="B23" t="str">
        <f>VLOOKUP($A23, Configurations!$A$4:'Configurations'!$G$192, 4, FALSE)</f>
        <v>MS Asynchronous Back-end</v>
      </c>
      <c r="C23" s="8">
        <f>VLOOKUP($A23, Configurations!$A$4:'Configurations'!$G$192, 3, FALSE)</f>
        <v>14800</v>
      </c>
    </row>
    <row r="24" spans="1:3" x14ac:dyDescent="0.25">
      <c r="A24" s="29" t="s">
        <v>208</v>
      </c>
      <c r="B24" t="str">
        <f>VLOOKUP($A24, Configurations!$A$4:'Configurations'!$G$192, 4, FALSE)</f>
        <v>IBM Asynchronous Back-end</v>
      </c>
      <c r="C24" s="8">
        <f>VLOOKUP($A24, Configurations!$A$4:'Configurations'!$G$192, 3, FALSE)</f>
        <v>31198</v>
      </c>
    </row>
    <row r="26" spans="1:3" x14ac:dyDescent="0.25">
      <c r="A26" s="29" t="s">
        <v>192</v>
      </c>
      <c r="B26" t="str">
        <f>VLOOKUP($A26, Configurations!$A$4:'Configurations'!$G$192, 4, FALSE)</f>
        <v>MS Enterprise Data Services</v>
      </c>
      <c r="C26" s="8">
        <f>VLOOKUP($A26, Configurations!$A$4:'Configurations'!$G$192, 3, FALSE)</f>
        <v>219596</v>
      </c>
    </row>
    <row r="27" spans="1:3" x14ac:dyDescent="0.25">
      <c r="A27" s="29" t="s">
        <v>193</v>
      </c>
      <c r="B27" t="str">
        <f>VLOOKUP($A27, Configurations!$A$4:'Configurations'!$G$192, 4, FALSE)</f>
        <v>IBM Enterprise Data Services</v>
      </c>
      <c r="C27" s="8">
        <f>VLOOKUP($A27, Configurations!$A$4:'Configurations'!$G$192, 3, FALSE)</f>
        <v>234748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H23" sqref="H23"/>
    </sheetView>
  </sheetViews>
  <sheetFormatPr defaultRowHeight="13.2" x14ac:dyDescent="0.25"/>
  <cols>
    <col min="1" max="1" width="31" customWidth="1"/>
    <col min="2" max="2" width="12" customWidth="1"/>
    <col min="3" max="3" width="9.109375" style="8" customWidth="1"/>
    <col min="4" max="4" width="1" style="8" customWidth="1"/>
    <col min="5" max="5" width="13" customWidth="1"/>
    <col min="6" max="6" width="12.33203125" style="8" customWidth="1"/>
    <col min="7" max="7" width="13.5546875" customWidth="1"/>
    <col min="8" max="10" width="9.109375" style="8" customWidth="1"/>
  </cols>
  <sheetData>
    <row r="1" spans="1:10" ht="13.8" thickBot="1" x14ac:dyDescent="0.3"/>
    <row r="2" spans="1:10" s="5" customFormat="1" ht="18" thickTop="1" x14ac:dyDescent="0.3">
      <c r="A2" s="65" t="s">
        <v>86</v>
      </c>
      <c r="B2" s="66"/>
      <c r="C2" s="67"/>
      <c r="D2" s="67"/>
      <c r="E2" s="66"/>
      <c r="F2" s="68"/>
      <c r="H2" s="20"/>
      <c r="I2" s="20"/>
      <c r="J2" s="20"/>
    </row>
    <row r="3" spans="1:10" s="13" customFormat="1" x14ac:dyDescent="0.25">
      <c r="A3" s="69"/>
      <c r="B3" s="58"/>
      <c r="C3" s="59"/>
      <c r="D3" s="59"/>
      <c r="E3" s="58"/>
      <c r="F3" s="70"/>
      <c r="H3" s="19"/>
      <c r="I3" s="19"/>
      <c r="J3" s="19"/>
    </row>
    <row r="4" spans="1:10" s="13" customFormat="1" x14ac:dyDescent="0.25">
      <c r="A4" s="69" t="s">
        <v>102</v>
      </c>
      <c r="B4" s="58"/>
      <c r="C4" s="59"/>
      <c r="D4" s="59"/>
      <c r="E4" s="58"/>
      <c r="F4" s="70"/>
      <c r="H4" s="19"/>
      <c r="I4" s="19"/>
      <c r="J4" s="19"/>
    </row>
    <row r="5" spans="1:10" s="7" customFormat="1" x14ac:dyDescent="0.25">
      <c r="A5" s="71" t="s">
        <v>173</v>
      </c>
      <c r="B5" s="60">
        <f>C29</f>
        <v>416790</v>
      </c>
      <c r="C5" s="61"/>
      <c r="D5" s="61"/>
      <c r="E5" s="62"/>
      <c r="F5" s="72"/>
      <c r="H5" s="12"/>
      <c r="I5" s="12"/>
      <c r="J5" s="12"/>
    </row>
    <row r="6" spans="1:10" s="7" customFormat="1" x14ac:dyDescent="0.25">
      <c r="A6" s="71" t="s">
        <v>174</v>
      </c>
      <c r="B6" s="60">
        <f>F29</f>
        <v>1156623</v>
      </c>
      <c r="C6" s="61"/>
      <c r="D6" s="61"/>
      <c r="E6" s="62"/>
      <c r="F6" s="72"/>
      <c r="H6" s="12"/>
      <c r="I6" s="12"/>
      <c r="J6" s="12"/>
    </row>
    <row r="7" spans="1:10" s="7" customFormat="1" x14ac:dyDescent="0.25">
      <c r="A7" s="71"/>
      <c r="B7" s="60"/>
      <c r="C7" s="61"/>
      <c r="D7" s="61"/>
      <c r="E7" s="62"/>
      <c r="F7" s="72"/>
      <c r="H7" s="12"/>
      <c r="I7" s="12"/>
      <c r="J7" s="12"/>
    </row>
    <row r="8" spans="1:10" s="7" customFormat="1" x14ac:dyDescent="0.25">
      <c r="A8" s="71" t="s">
        <v>175</v>
      </c>
      <c r="B8" s="60" t="str">
        <f>IF($B$5&lt;$B$6,$A$5,IF($B$5&gt;$B$6,$A$6, "Systems Equivalent Cost"))</f>
        <v>Microsoft</v>
      </c>
      <c r="C8" s="61"/>
      <c r="D8" s="61"/>
      <c r="E8" s="62"/>
      <c r="F8" s="72"/>
      <c r="H8" s="12"/>
      <c r="I8" s="12"/>
      <c r="J8" s="12"/>
    </row>
    <row r="9" spans="1:10" s="7" customFormat="1" x14ac:dyDescent="0.25">
      <c r="A9" s="71" t="s">
        <v>176</v>
      </c>
      <c r="B9" s="60" t="str">
        <f>IF($B$5&gt;$B$6,$A$5,IF($B$5&lt;$B$6,$A$6, "Systems Equivalent Cost"))</f>
        <v>IBM</v>
      </c>
      <c r="C9" s="61"/>
      <c r="D9" s="61"/>
      <c r="E9" s="62"/>
      <c r="F9" s="72"/>
      <c r="H9" s="12"/>
      <c r="I9" s="12"/>
      <c r="J9" s="12"/>
    </row>
    <row r="10" spans="1:10" s="7" customFormat="1" x14ac:dyDescent="0.25">
      <c r="A10" s="71" t="s">
        <v>178</v>
      </c>
      <c r="B10" s="60">
        <f>MAX(B6,B5) - MIN(B6,B5)</f>
        <v>739833</v>
      </c>
      <c r="C10" s="61"/>
      <c r="D10" s="61"/>
      <c r="E10" s="62"/>
      <c r="F10" s="72"/>
      <c r="H10" s="12"/>
      <c r="I10" s="12"/>
      <c r="J10" s="12"/>
    </row>
    <row r="11" spans="1:10" s="7" customFormat="1" x14ac:dyDescent="0.25">
      <c r="A11" s="71" t="s">
        <v>179</v>
      </c>
      <c r="B11" s="63">
        <f>MAX($B$6,$B$5)/MIN($B$6,$B$5)</f>
        <v>2.7750737781616643</v>
      </c>
      <c r="C11" s="61"/>
      <c r="D11" s="61"/>
      <c r="E11" s="64"/>
      <c r="F11" s="72"/>
      <c r="H11" s="12"/>
      <c r="I11" s="12"/>
      <c r="J11" s="12"/>
    </row>
    <row r="12" spans="1:10" s="7" customFormat="1" x14ac:dyDescent="0.25">
      <c r="A12" s="71"/>
      <c r="B12" s="63"/>
      <c r="C12" s="61"/>
      <c r="D12" s="61"/>
      <c r="E12" s="64"/>
      <c r="F12" s="72"/>
      <c r="H12" s="12"/>
      <c r="I12" s="12"/>
      <c r="J12" s="12"/>
    </row>
    <row r="13" spans="1:10" s="13" customFormat="1" ht="13.8" thickBot="1" x14ac:dyDescent="0.3">
      <c r="A13" s="73" t="str">
        <f>CONCATENATE(B9, " configuration is ", FIXED( B11, 2), " times more expensive than ", B8, " configuration")</f>
        <v>IBM configuration is 2.78 times more expensive than Microsoft configuration</v>
      </c>
      <c r="B13" s="74"/>
      <c r="C13" s="75"/>
      <c r="D13" s="75"/>
      <c r="E13" s="74"/>
      <c r="F13" s="76"/>
      <c r="H13" s="19"/>
      <c r="I13" s="19"/>
      <c r="J13" s="19"/>
    </row>
    <row r="14" spans="1:10" s="13" customFormat="1" ht="13.8" thickTop="1" x14ac:dyDescent="0.25">
      <c r="A14" s="58"/>
      <c r="B14" s="58"/>
      <c r="C14" s="59"/>
      <c r="D14" s="59"/>
      <c r="E14" s="58"/>
      <c r="F14" s="59"/>
      <c r="H14" s="19"/>
      <c r="I14" s="19"/>
      <c r="J14" s="19"/>
    </row>
    <row r="15" spans="1:10" s="13" customFormat="1" x14ac:dyDescent="0.25">
      <c r="A15" s="58"/>
      <c r="B15" s="58"/>
      <c r="C15" s="59"/>
      <c r="D15" s="59"/>
      <c r="E15" s="58"/>
      <c r="F15" s="59"/>
      <c r="H15" s="19"/>
      <c r="I15" s="19"/>
      <c r="J15" s="19"/>
    </row>
    <row r="16" spans="1:10" s="5" customFormat="1" ht="17.399999999999999" x14ac:dyDescent="0.3">
      <c r="A16" s="5" t="s">
        <v>177</v>
      </c>
      <c r="C16" s="20"/>
      <c r="D16" s="20"/>
      <c r="F16" s="20"/>
      <c r="H16" s="20"/>
      <c r="I16" s="20"/>
      <c r="J16" s="20"/>
    </row>
    <row r="17" spans="1:12" s="18" customFormat="1" x14ac:dyDescent="0.25">
      <c r="A17" s="18" t="s">
        <v>87</v>
      </c>
      <c r="B17" s="18" t="s">
        <v>170</v>
      </c>
      <c r="C17" s="2" t="s">
        <v>84</v>
      </c>
      <c r="D17" s="2"/>
      <c r="E17" s="18" t="s">
        <v>180</v>
      </c>
      <c r="F17" s="2" t="s">
        <v>84</v>
      </c>
      <c r="G17" s="2" t="s">
        <v>188</v>
      </c>
      <c r="J17" s="2"/>
      <c r="K17" s="2"/>
      <c r="L17" s="2"/>
    </row>
    <row r="18" spans="1:12" s="18" customFormat="1" x14ac:dyDescent="0.25">
      <c r="C18" s="2"/>
      <c r="D18" s="2"/>
      <c r="F18" s="2"/>
      <c r="G18" s="2"/>
      <c r="J18" s="2"/>
      <c r="K18" s="2"/>
      <c r="L18" s="2"/>
    </row>
    <row r="19" spans="1:12" s="9" customFormat="1" x14ac:dyDescent="0.25">
      <c r="A19" s="9" t="s">
        <v>88</v>
      </c>
      <c r="B19" s="9" t="s">
        <v>195</v>
      </c>
      <c r="C19" s="3">
        <f>VLOOKUP($B19, Configurations!$A$4:'Configurations'!$G$192, 3, FALSE)</f>
        <v>9000</v>
      </c>
      <c r="D19" s="8"/>
      <c r="E19" s="9" t="s">
        <v>196</v>
      </c>
      <c r="F19" s="3">
        <f>VLOOKUP($E19, Configurations!$A$4:'Configurations'!$G$192, 3, FALSE)</f>
        <v>74398</v>
      </c>
      <c r="G19" s="77">
        <f t="shared" ref="G19:G27" si="0">MAX(F19,C19)/MIN(F19,C19)</f>
        <v>8.2664444444444438</v>
      </c>
      <c r="J19" s="3"/>
      <c r="K19" s="3"/>
      <c r="L19" s="3"/>
    </row>
    <row r="20" spans="1:12" x14ac:dyDescent="0.25">
      <c r="A20" t="s">
        <v>89</v>
      </c>
      <c r="B20" t="s">
        <v>197</v>
      </c>
      <c r="C20" s="3">
        <f>VLOOKUP($B20, Configurations!$A$4:'Configurations'!$G$192, 3, FALSE)</f>
        <v>4500</v>
      </c>
      <c r="E20" t="s">
        <v>198</v>
      </c>
      <c r="F20" s="3">
        <f>VLOOKUP($E20, Configurations!$A$4:'Configurations'!$G$192, 3, FALSE)</f>
        <v>37199</v>
      </c>
      <c r="G20" s="77">
        <f t="shared" si="0"/>
        <v>8.2664444444444438</v>
      </c>
      <c r="H20"/>
      <c r="I20"/>
      <c r="K20" s="8"/>
      <c r="L20" s="8"/>
    </row>
    <row r="21" spans="1:12" x14ac:dyDescent="0.25">
      <c r="A21" t="s">
        <v>90</v>
      </c>
      <c r="B21" t="s">
        <v>205</v>
      </c>
      <c r="C21" s="3">
        <f>VLOOKUP($B21, Configurations!$A$4:'Configurations'!$G$192, 3, FALSE)</f>
        <v>9800</v>
      </c>
      <c r="E21" t="s">
        <v>206</v>
      </c>
      <c r="F21" s="3">
        <f>VLOOKUP($E21, Configurations!$A$4:'Configurations'!$G$192, 3, FALSE)</f>
        <v>54398</v>
      </c>
      <c r="G21" s="77">
        <f t="shared" si="0"/>
        <v>5.5508163265306125</v>
      </c>
      <c r="H21"/>
      <c r="I21"/>
      <c r="K21" s="8"/>
      <c r="L21" s="8"/>
    </row>
    <row r="22" spans="1:12" x14ac:dyDescent="0.25">
      <c r="A22" t="s">
        <v>91</v>
      </c>
      <c r="B22" t="s">
        <v>203</v>
      </c>
      <c r="C22" s="3">
        <f>VLOOKUP($B22, Configurations!$A$4:'Configurations'!$G$192, 3, FALSE)</f>
        <v>129596</v>
      </c>
      <c r="E22" t="s">
        <v>204</v>
      </c>
      <c r="F22" s="3">
        <f>VLOOKUP($E22, Configurations!$A$4:'Configurations'!$G$192, 3, FALSE)</f>
        <v>541600</v>
      </c>
      <c r="G22" s="77">
        <f t="shared" si="0"/>
        <v>4.1791413315225778</v>
      </c>
      <c r="H22"/>
      <c r="I22"/>
      <c r="K22" s="8"/>
      <c r="L22" s="8"/>
    </row>
    <row r="23" spans="1:12" x14ac:dyDescent="0.25">
      <c r="A23" t="s">
        <v>92</v>
      </c>
      <c r="B23" t="s">
        <v>199</v>
      </c>
      <c r="C23" s="3">
        <f>VLOOKUP($B23, Configurations!$A$4:'Configurations'!$G$192, 3, FALSE)</f>
        <v>9800</v>
      </c>
      <c r="E23" t="s">
        <v>200</v>
      </c>
      <c r="F23" s="3">
        <f>VLOOKUP($E23, Configurations!$A$4:'Configurations'!$G$192, 3, FALSE)</f>
        <v>74398</v>
      </c>
      <c r="G23" s="77">
        <f t="shared" si="0"/>
        <v>7.5916326530612244</v>
      </c>
      <c r="H23"/>
      <c r="I23"/>
      <c r="K23" s="8"/>
      <c r="L23" s="8"/>
    </row>
    <row r="24" spans="1:12" x14ac:dyDescent="0.25">
      <c r="A24" t="s">
        <v>93</v>
      </c>
      <c r="B24" t="s">
        <v>199</v>
      </c>
      <c r="C24" s="3">
        <f>VLOOKUP($B24, Configurations!$A$4:'Configurations'!$G$192, 3, FALSE)</f>
        <v>9800</v>
      </c>
      <c r="E24" t="s">
        <v>200</v>
      </c>
      <c r="F24" s="3">
        <f>VLOOKUP($E24, Configurations!$A$4:'Configurations'!$G$192, 3, FALSE)</f>
        <v>74398</v>
      </c>
      <c r="G24" s="77">
        <f t="shared" si="0"/>
        <v>7.5916326530612244</v>
      </c>
      <c r="H24"/>
      <c r="I24"/>
      <c r="K24" s="8"/>
      <c r="L24" s="8"/>
    </row>
    <row r="25" spans="1:12" x14ac:dyDescent="0.25">
      <c r="A25" t="s">
        <v>94</v>
      </c>
      <c r="B25" t="s">
        <v>201</v>
      </c>
      <c r="C25" s="3">
        <f>VLOOKUP($B25, Configurations!$A$4:'Configurations'!$G$192, 3, FALSE)</f>
        <v>9898</v>
      </c>
      <c r="E25" t="s">
        <v>202</v>
      </c>
      <c r="F25" s="3">
        <f>VLOOKUP($E25, Configurations!$A$4:'Configurations'!$G$192, 3, FALSE)</f>
        <v>34286</v>
      </c>
      <c r="G25" s="77">
        <f t="shared" si="0"/>
        <v>3.463932107496464</v>
      </c>
      <c r="H25"/>
      <c r="I25"/>
      <c r="K25" s="8"/>
      <c r="L25" s="8"/>
    </row>
    <row r="26" spans="1:12" x14ac:dyDescent="0.25">
      <c r="A26" t="s">
        <v>95</v>
      </c>
      <c r="B26" t="s">
        <v>207</v>
      </c>
      <c r="C26" s="3">
        <f>VLOOKUP($B26, Configurations!$A$4:'Configurations'!$G$192, 3, FALSE)</f>
        <v>14800</v>
      </c>
      <c r="E26" t="s">
        <v>208</v>
      </c>
      <c r="F26" s="3">
        <f>VLOOKUP($E26, Configurations!$A$4:'Configurations'!$G$192, 3, FALSE)</f>
        <v>31198</v>
      </c>
      <c r="G26" s="77">
        <f t="shared" si="0"/>
        <v>2.107972972972973</v>
      </c>
      <c r="H26"/>
      <c r="I26"/>
      <c r="K26" s="8"/>
      <c r="L26" s="8"/>
    </row>
    <row r="27" spans="1:12" x14ac:dyDescent="0.25">
      <c r="A27" t="s">
        <v>96</v>
      </c>
      <c r="B27" t="s">
        <v>192</v>
      </c>
      <c r="C27" s="3">
        <f>VLOOKUP($B27, Configurations!$A$4:'Configurations'!$G$192, 3, FALSE)</f>
        <v>219596</v>
      </c>
      <c r="E27" t="s">
        <v>193</v>
      </c>
      <c r="F27" s="3">
        <f>VLOOKUP($E27, Configurations!$A$4:'Configurations'!$G$192, 3, FALSE)</f>
        <v>234748</v>
      </c>
      <c r="G27" s="77">
        <f t="shared" si="0"/>
        <v>1.0689994353266907</v>
      </c>
      <c r="H27"/>
      <c r="I27"/>
      <c r="K27" s="8"/>
      <c r="L27" s="8"/>
    </row>
    <row r="28" spans="1:12" x14ac:dyDescent="0.25">
      <c r="C28" s="3"/>
      <c r="F28" s="3"/>
    </row>
    <row r="29" spans="1:12" x14ac:dyDescent="0.25">
      <c r="B29" t="s">
        <v>171</v>
      </c>
      <c r="C29" s="3">
        <f>SUM(C19:C28)</f>
        <v>416790</v>
      </c>
      <c r="E29" t="s">
        <v>172</v>
      </c>
      <c r="F29" s="3">
        <f>SUM(F19:F28)</f>
        <v>1156623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</vt:lpstr>
      <vt:lpstr>TableOfContents</vt:lpstr>
      <vt:lpstr>Products</vt:lpstr>
      <vt:lpstr>Categories</vt:lpstr>
      <vt:lpstr>Requirements</vt:lpstr>
      <vt:lpstr>Configurations</vt:lpstr>
      <vt:lpstr>ConfigSummary</vt:lpstr>
      <vt:lpstr>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2003-04-17T20:59:53Z</cp:lastPrinted>
  <dcterms:created xsi:type="dcterms:W3CDTF">1996-10-14T23:33:28Z</dcterms:created>
  <dcterms:modified xsi:type="dcterms:W3CDTF">2024-02-03T22:32:24Z</dcterms:modified>
</cp:coreProperties>
</file>