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mc:AlternateContent xmlns:mc="http://schemas.openxmlformats.org/markup-compatibility/2006">
    <mc:Choice Requires="x15">
      <x15ac:absPath xmlns:x15ac="http://schemas.microsoft.com/office/spreadsheetml/2010/11/ac" url="C:\Users\anike\OneDrive\Documents\UCSD\ERSP\Script\spreadsheets\modeling\original\"/>
    </mc:Choice>
  </mc:AlternateContent>
  <xr:revisionPtr revIDLastSave="0" documentId="8_{379E5683-FD13-4EF5-BB0B-C45B28471B4E}" xr6:coauthVersionLast="47" xr6:coauthVersionMax="47" xr10:uidLastSave="{00000000-0000-0000-0000-000000000000}"/>
  <bookViews>
    <workbookView xWindow="768" yWindow="768" windowWidth="17280" windowHeight="8880"/>
  </bookViews>
  <sheets>
    <sheet name="READ ME" sheetId="4" r:id="rId1"/>
    <sheet name="PIDS LSTP Table" sheetId="5" r:id="rId2"/>
    <sheet name="Worksheet LSTP" sheetId="2" r:id="rId3"/>
    <sheet name="Plots" sheetId="3" r:id="rId4"/>
  </sheets>
  <definedNames>
    <definedName name="_xlnm.Print_Area" localSheetId="2">'Worksheet LSTP'!$A$1:$Q$126</definedName>
    <definedName name="_xlnm.Print_Titles" localSheetId="1">'PIDS LSTP Table'!$A:$B,'PIDS LSTP Table'!$2:$3</definedName>
    <definedName name="_xlnm.Print_Titles" localSheetId="2">'Worksheet LSTP'!$A:$C,'Worksheet LSTP'!$1:$9</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5" l="1"/>
  <c r="C2" i="5"/>
  <c r="D2" i="5"/>
  <c r="E2" i="5"/>
  <c r="F2" i="5"/>
  <c r="G2" i="5"/>
  <c r="H2" i="5"/>
  <c r="I2" i="5"/>
  <c r="J2" i="5"/>
  <c r="K2" i="5"/>
  <c r="L2" i="5"/>
  <c r="M2" i="5"/>
  <c r="N2" i="5"/>
  <c r="O2" i="5"/>
  <c r="A3" i="5"/>
  <c r="B3" i="5"/>
  <c r="C3" i="5"/>
  <c r="D3" i="5"/>
  <c r="E3" i="5"/>
  <c r="F3" i="5"/>
  <c r="G3" i="5"/>
  <c r="H3" i="5"/>
  <c r="I3" i="5"/>
  <c r="J3" i="5"/>
  <c r="K3" i="5"/>
  <c r="L3" i="5"/>
  <c r="M3" i="5"/>
  <c r="N3" i="5"/>
  <c r="O3" i="5"/>
  <c r="A4" i="5"/>
  <c r="B4" i="5"/>
  <c r="C4" i="5"/>
  <c r="D4" i="5"/>
  <c r="E4" i="5"/>
  <c r="F4" i="5"/>
  <c r="G4" i="5"/>
  <c r="H4" i="5"/>
  <c r="I4" i="5"/>
  <c r="J4" i="5"/>
  <c r="K4" i="5"/>
  <c r="L4" i="5"/>
  <c r="M4" i="5"/>
  <c r="N4" i="5"/>
  <c r="O4" i="5"/>
  <c r="A5" i="5"/>
  <c r="B5" i="5"/>
  <c r="C5" i="5"/>
  <c r="D5" i="5"/>
  <c r="E5" i="5"/>
  <c r="F5" i="5"/>
  <c r="G5" i="5"/>
  <c r="H5" i="5"/>
  <c r="I5" i="5"/>
  <c r="J5" i="5"/>
  <c r="K5" i="5"/>
  <c r="L5" i="5"/>
  <c r="M5" i="5"/>
  <c r="N5" i="5"/>
  <c r="O5" i="5"/>
  <c r="A6" i="5"/>
  <c r="B6" i="5"/>
  <c r="C6" i="5"/>
  <c r="D6" i="5"/>
  <c r="E6" i="5"/>
  <c r="F6" i="5"/>
  <c r="G6" i="5"/>
  <c r="H6" i="5"/>
  <c r="I6" i="5"/>
  <c r="J6" i="5"/>
  <c r="K6" i="5"/>
  <c r="L6" i="5"/>
  <c r="M6" i="5"/>
  <c r="N6" i="5"/>
  <c r="O6" i="5"/>
  <c r="A7" i="5"/>
  <c r="B7" i="5"/>
  <c r="A8" i="5"/>
  <c r="B8" i="5"/>
  <c r="A9" i="5"/>
  <c r="B9" i="5"/>
  <c r="C9" i="5"/>
  <c r="D9" i="5"/>
  <c r="E9" i="5"/>
  <c r="F9" i="5"/>
  <c r="G9" i="5"/>
  <c r="H9" i="5"/>
  <c r="I9" i="5"/>
  <c r="J9" i="5"/>
  <c r="K9" i="5"/>
  <c r="L9" i="5"/>
  <c r="M9" i="5"/>
  <c r="N9" i="5"/>
  <c r="O9" i="5"/>
  <c r="A10" i="5"/>
  <c r="B10" i="5"/>
  <c r="A11" i="5"/>
  <c r="B11" i="5"/>
  <c r="C11" i="5"/>
  <c r="D11" i="5"/>
  <c r="E11" i="5"/>
  <c r="F11" i="5"/>
  <c r="G11" i="5"/>
  <c r="H11" i="5"/>
  <c r="I11" i="5"/>
  <c r="J11" i="5"/>
  <c r="K11" i="5"/>
  <c r="L11" i="5"/>
  <c r="M11" i="5"/>
  <c r="N11" i="5"/>
  <c r="O11" i="5"/>
  <c r="A12" i="5"/>
  <c r="B12" i="5"/>
  <c r="A13" i="5"/>
  <c r="C13" i="5"/>
  <c r="D13" i="5"/>
  <c r="E13" i="5"/>
  <c r="F13" i="5"/>
  <c r="G13" i="5"/>
  <c r="H13" i="5"/>
  <c r="I13" i="5"/>
  <c r="J13" i="5"/>
  <c r="K13" i="5"/>
  <c r="L13" i="5"/>
  <c r="M13" i="5"/>
  <c r="N13" i="5"/>
  <c r="O13" i="5"/>
  <c r="A14" i="5"/>
  <c r="C14" i="5"/>
  <c r="D14" i="5"/>
  <c r="E14" i="5"/>
  <c r="F14" i="5"/>
  <c r="G14" i="5"/>
  <c r="H14" i="5"/>
  <c r="I14" i="5"/>
  <c r="J14" i="5"/>
  <c r="K14" i="5"/>
  <c r="L14" i="5"/>
  <c r="M14" i="5"/>
  <c r="N14" i="5"/>
  <c r="O14" i="5"/>
  <c r="A15" i="5"/>
  <c r="B15" i="5"/>
  <c r="C15" i="5"/>
  <c r="D15" i="5"/>
  <c r="E15" i="5"/>
  <c r="F15" i="5"/>
  <c r="G15" i="5"/>
  <c r="H15" i="5"/>
  <c r="I15" i="5"/>
  <c r="J15" i="5"/>
  <c r="K15" i="5"/>
  <c r="L15" i="5"/>
  <c r="M15" i="5"/>
  <c r="N15" i="5"/>
  <c r="O15" i="5"/>
  <c r="A16" i="5"/>
  <c r="B16" i="5"/>
  <c r="C16" i="5"/>
  <c r="D16" i="5"/>
  <c r="E16" i="5"/>
  <c r="F16" i="5"/>
  <c r="G16" i="5"/>
  <c r="H16" i="5"/>
  <c r="I16" i="5"/>
  <c r="J16" i="5"/>
  <c r="K16" i="5"/>
  <c r="L16" i="5"/>
  <c r="M16" i="5"/>
  <c r="N16" i="5"/>
  <c r="O16" i="5"/>
  <c r="A17" i="5"/>
  <c r="B17" i="5"/>
  <c r="A18" i="5"/>
  <c r="A19" i="5"/>
  <c r="B19" i="5"/>
  <c r="A20" i="5"/>
  <c r="B20" i="5"/>
  <c r="A21" i="5"/>
  <c r="B21" i="5"/>
  <c r="E12" i="2"/>
  <c r="F12" i="2"/>
  <c r="G12" i="2"/>
  <c r="H12" i="2"/>
  <c r="I12" i="2"/>
  <c r="J12" i="2"/>
  <c r="K12" i="2"/>
  <c r="L12" i="2"/>
  <c r="M12" i="2"/>
  <c r="N12" i="2"/>
  <c r="O12" i="2"/>
  <c r="P12" i="2"/>
  <c r="Q12" i="2"/>
  <c r="E14" i="2"/>
  <c r="F18" i="2"/>
  <c r="G18" i="2"/>
  <c r="H18" i="2"/>
  <c r="E26" i="2"/>
  <c r="C7" i="5" s="1"/>
  <c r="F26" i="2"/>
  <c r="D7" i="5" s="1"/>
  <c r="G26" i="2"/>
  <c r="E7" i="5" s="1"/>
  <c r="H26" i="2"/>
  <c r="F7" i="5" s="1"/>
  <c r="I26" i="2"/>
  <c r="G7" i="5" s="1"/>
  <c r="J26" i="2"/>
  <c r="H7" i="5" s="1"/>
  <c r="K26" i="2"/>
  <c r="I7" i="5" s="1"/>
  <c r="L26" i="2"/>
  <c r="J7" i="5" s="1"/>
  <c r="M26" i="2"/>
  <c r="K7" i="5" s="1"/>
  <c r="N26" i="2"/>
  <c r="L7" i="5" s="1"/>
  <c r="O26" i="2"/>
  <c r="M7" i="5" s="1"/>
  <c r="P26" i="2"/>
  <c r="N7" i="5" s="1"/>
  <c r="Q26" i="2"/>
  <c r="O7" i="5" s="1"/>
  <c r="F28" i="2"/>
  <c r="F29" i="2"/>
  <c r="G29" i="2" s="1"/>
  <c r="H29" i="2" s="1"/>
  <c r="I29" i="2" s="1"/>
  <c r="E30" i="2"/>
  <c r="C8" i="5" s="1"/>
  <c r="F45" i="2"/>
  <c r="G45" i="2"/>
  <c r="H45" i="2" s="1"/>
  <c r="F46" i="2"/>
  <c r="G46" i="2"/>
  <c r="H46" i="2"/>
  <c r="I46" i="2" s="1"/>
  <c r="J46" i="2" s="1"/>
  <c r="L46" i="2"/>
  <c r="F48" i="2"/>
  <c r="G48" i="2" s="1"/>
  <c r="F49" i="2"/>
  <c r="G49" i="2"/>
  <c r="H49" i="2" s="1"/>
  <c r="I49" i="2" s="1"/>
  <c r="E60" i="2"/>
  <c r="F60" i="2"/>
  <c r="G60" i="2"/>
  <c r="H60" i="2"/>
  <c r="I60" i="2"/>
  <c r="J60" i="2"/>
  <c r="K60" i="2"/>
  <c r="L60" i="2"/>
  <c r="M60" i="2"/>
  <c r="N60" i="2"/>
  <c r="O60" i="2"/>
  <c r="P60" i="2"/>
  <c r="Q60" i="2"/>
  <c r="B79" i="2"/>
  <c r="F84" i="2"/>
  <c r="F88" i="2"/>
  <c r="F89" i="2" s="1"/>
  <c r="G88" i="2"/>
  <c r="E89" i="2"/>
  <c r="F90" i="2"/>
  <c r="G90" i="2" s="1"/>
  <c r="H90" i="2" s="1"/>
  <c r="I90" i="2" s="1"/>
  <c r="F91" i="2"/>
  <c r="G91" i="2" s="1"/>
  <c r="H91" i="2" s="1"/>
  <c r="I91" i="2" s="1"/>
  <c r="B93" i="2"/>
  <c r="F94" i="2"/>
  <c r="G94" i="2" s="1"/>
  <c r="F95" i="2"/>
  <c r="G95" i="2"/>
  <c r="H95" i="2" s="1"/>
  <c r="I95" i="2"/>
  <c r="B97" i="2"/>
  <c r="E100" i="2"/>
  <c r="C20" i="5" s="1"/>
  <c r="F100" i="2"/>
  <c r="D20" i="5" s="1"/>
  <c r="E108" i="2"/>
  <c r="F108" i="2"/>
  <c r="H108" i="2"/>
  <c r="I108" i="2"/>
  <c r="J108" i="2"/>
  <c r="K108" i="2"/>
  <c r="L108" i="2"/>
  <c r="M108" i="2"/>
  <c r="N108" i="2"/>
  <c r="P108" i="2"/>
  <c r="Q108" i="2"/>
  <c r="E112" i="2"/>
  <c r="F112" i="2"/>
  <c r="F115" i="2" s="1"/>
  <c r="G112" i="2"/>
  <c r="H112" i="2" s="1"/>
  <c r="I112" i="2" s="1"/>
  <c r="F113" i="2"/>
  <c r="G113" i="2" s="1"/>
  <c r="F114" i="2"/>
  <c r="F116" i="2" s="1"/>
  <c r="F27" i="2" s="1"/>
  <c r="F73" i="2" s="1"/>
  <c r="E115" i="2"/>
  <c r="E116" i="2"/>
  <c r="E27" i="2" s="1"/>
  <c r="F117" i="2"/>
  <c r="G117" i="2"/>
  <c r="H117" i="2"/>
  <c r="I117" i="2" s="1"/>
  <c r="F118" i="2"/>
  <c r="G118" i="2"/>
  <c r="H118" i="2"/>
  <c r="I118" i="2" s="1"/>
  <c r="B121" i="2"/>
  <c r="B123" i="2"/>
  <c r="B124" i="2"/>
  <c r="F125" i="2"/>
  <c r="G125" i="2"/>
  <c r="H125" i="2" s="1"/>
  <c r="E126" i="2"/>
  <c r="F126" i="2"/>
  <c r="G126" i="2"/>
  <c r="J90" i="2" l="1"/>
  <c r="L90" i="2" s="1"/>
  <c r="K90" i="2"/>
  <c r="J117" i="2"/>
  <c r="I14" i="2"/>
  <c r="K117" i="2"/>
  <c r="H126" i="2"/>
  <c r="I125" i="2"/>
  <c r="J112" i="2"/>
  <c r="L112" i="2" s="1"/>
  <c r="K112" i="2"/>
  <c r="J118" i="2"/>
  <c r="L118" i="2" s="1"/>
  <c r="K118" i="2"/>
  <c r="F75" i="2"/>
  <c r="K91" i="2"/>
  <c r="J91" i="2"/>
  <c r="L91" i="2" s="1"/>
  <c r="N46" i="2"/>
  <c r="P46" i="2" s="1"/>
  <c r="M46" i="2"/>
  <c r="O46" i="2" s="1"/>
  <c r="Q46" i="2" s="1"/>
  <c r="H14" i="2"/>
  <c r="J49" i="2"/>
  <c r="L49" i="2" s="1"/>
  <c r="K49" i="2"/>
  <c r="G14" i="2"/>
  <c r="H94" i="2"/>
  <c r="H88" i="2"/>
  <c r="K29" i="2"/>
  <c r="J29" i="2"/>
  <c r="L29" i="2" s="1"/>
  <c r="E21" i="2"/>
  <c r="F85" i="2"/>
  <c r="G84" i="2"/>
  <c r="E19" i="2"/>
  <c r="J95" i="2"/>
  <c r="L95" i="2" s="1"/>
  <c r="K95" i="2"/>
  <c r="E73" i="2"/>
  <c r="H48" i="2"/>
  <c r="I45" i="2"/>
  <c r="G114" i="2"/>
  <c r="H113" i="2"/>
  <c r="G115" i="2"/>
  <c r="O108" i="2"/>
  <c r="G108" i="2"/>
  <c r="I18" i="2"/>
  <c r="G28" i="2"/>
  <c r="F30" i="2"/>
  <c r="D8" i="5" s="1"/>
  <c r="F14" i="2"/>
  <c r="K46" i="2"/>
  <c r="E15" i="2"/>
  <c r="E22" i="2" s="1"/>
  <c r="H84" i="2" l="1"/>
  <c r="G15" i="2"/>
  <c r="G22" i="2" s="1"/>
  <c r="I48" i="2"/>
  <c r="K14" i="2"/>
  <c r="F15" i="2"/>
  <c r="F19" i="2"/>
  <c r="E75" i="2"/>
  <c r="M49" i="2"/>
  <c r="O49" i="2" s="1"/>
  <c r="Q49" i="2" s="1"/>
  <c r="N49" i="2"/>
  <c r="P49" i="2" s="1"/>
  <c r="J18" i="2"/>
  <c r="K18" i="2"/>
  <c r="H114" i="2"/>
  <c r="G116" i="2"/>
  <c r="M29" i="2"/>
  <c r="O29" i="2" s="1"/>
  <c r="Q29" i="2" s="1"/>
  <c r="N29" i="2"/>
  <c r="P29" i="2" s="1"/>
  <c r="G89" i="2"/>
  <c r="N118" i="2"/>
  <c r="P118" i="2" s="1"/>
  <c r="M118" i="2"/>
  <c r="O118" i="2" s="1"/>
  <c r="Q118" i="2" s="1"/>
  <c r="J14" i="2"/>
  <c r="L117" i="2"/>
  <c r="H89" i="2"/>
  <c r="I88" i="2"/>
  <c r="I126" i="2"/>
  <c r="J125" i="2"/>
  <c r="K125" i="2"/>
  <c r="K126" i="2" s="1"/>
  <c r="E35" i="2"/>
  <c r="E39" i="2" s="1"/>
  <c r="J45" i="2"/>
  <c r="K45" i="2"/>
  <c r="N95" i="2"/>
  <c r="P95" i="2" s="1"/>
  <c r="M95" i="2"/>
  <c r="O95" i="2" s="1"/>
  <c r="Q95" i="2" s="1"/>
  <c r="M112" i="2"/>
  <c r="O112" i="2" s="1"/>
  <c r="Q112" i="2" s="1"/>
  <c r="N112" i="2"/>
  <c r="P112" i="2" s="1"/>
  <c r="I113" i="2"/>
  <c r="H115" i="2"/>
  <c r="H15" i="2" s="1"/>
  <c r="H22" i="2" s="1"/>
  <c r="H28" i="2"/>
  <c r="G30" i="2"/>
  <c r="E8" i="5" s="1"/>
  <c r="G100" i="2"/>
  <c r="E20" i="5" s="1"/>
  <c r="I94" i="2"/>
  <c r="M91" i="2"/>
  <c r="O91" i="2" s="1"/>
  <c r="Q91" i="2" s="1"/>
  <c r="N91" i="2"/>
  <c r="P91" i="2" s="1"/>
  <c r="F21" i="2"/>
  <c r="M90" i="2"/>
  <c r="O90" i="2" s="1"/>
  <c r="Q90" i="2" s="1"/>
  <c r="N90" i="2"/>
  <c r="P90" i="2" s="1"/>
  <c r="G27" i="2" l="1"/>
  <c r="G35" i="2"/>
  <c r="G39" i="2" s="1"/>
  <c r="J48" i="2"/>
  <c r="K48" i="2"/>
  <c r="E56" i="2"/>
  <c r="C10" i="5"/>
  <c r="E42" i="2"/>
  <c r="E44" i="2" s="1"/>
  <c r="J113" i="2"/>
  <c r="I115" i="2"/>
  <c r="K113" i="2"/>
  <c r="K115" i="2" s="1"/>
  <c r="L14" i="2"/>
  <c r="N117" i="2"/>
  <c r="M117" i="2"/>
  <c r="L45" i="2"/>
  <c r="J94" i="2"/>
  <c r="K94" i="2"/>
  <c r="E20" i="2"/>
  <c r="E23" i="2" s="1"/>
  <c r="F35" i="2"/>
  <c r="F39" i="2" s="1"/>
  <c r="F22" i="2"/>
  <c r="I114" i="2"/>
  <c r="H116" i="2"/>
  <c r="H27" i="2" s="1"/>
  <c r="J126" i="2"/>
  <c r="L125" i="2"/>
  <c r="L18" i="2"/>
  <c r="E85" i="2"/>
  <c r="H30" i="2"/>
  <c r="F8" i="5" s="1"/>
  <c r="H100" i="2"/>
  <c r="F20" i="5" s="1"/>
  <c r="I28" i="2"/>
  <c r="J88" i="2"/>
  <c r="K88" i="2"/>
  <c r="G21" i="2"/>
  <c r="I84" i="2"/>
  <c r="N14" i="2" l="1"/>
  <c r="P117" i="2"/>
  <c r="K84" i="2"/>
  <c r="J84" i="2"/>
  <c r="H73" i="2"/>
  <c r="H19" i="2"/>
  <c r="H35" i="2"/>
  <c r="H39" i="2" s="1"/>
  <c r="L88" i="2"/>
  <c r="M45" i="2"/>
  <c r="N45" i="2"/>
  <c r="L113" i="2"/>
  <c r="J115" i="2"/>
  <c r="I89" i="2"/>
  <c r="E10" i="5"/>
  <c r="G42" i="2"/>
  <c r="G44" i="2" s="1"/>
  <c r="G56" i="2"/>
  <c r="I21" i="2"/>
  <c r="I35" i="2"/>
  <c r="I39" i="2" s="1"/>
  <c r="I15" i="2"/>
  <c r="I22" i="2" s="1"/>
  <c r="D10" i="5"/>
  <c r="F42" i="2"/>
  <c r="F44" i="2" s="1"/>
  <c r="F56" i="2"/>
  <c r="E47" i="2"/>
  <c r="E50" i="2"/>
  <c r="E51" i="2" s="1"/>
  <c r="E53" i="2" s="1"/>
  <c r="E57" i="2" s="1"/>
  <c r="E62" i="2" s="1"/>
  <c r="E68" i="2" s="1"/>
  <c r="G61" i="2"/>
  <c r="G73" i="2"/>
  <c r="G19" i="2"/>
  <c r="G20" i="2" s="1"/>
  <c r="G23" i="2" s="1"/>
  <c r="E61" i="2"/>
  <c r="E80" i="2" s="1"/>
  <c r="K114" i="2"/>
  <c r="K116" i="2" s="1"/>
  <c r="K27" i="2" s="1"/>
  <c r="J114" i="2"/>
  <c r="I116" i="2"/>
  <c r="I27" i="2" s="1"/>
  <c r="L94" i="2"/>
  <c r="L48" i="2"/>
  <c r="K15" i="2"/>
  <c r="K22" i="2" s="1"/>
  <c r="H21" i="2"/>
  <c r="N18" i="2"/>
  <c r="M18" i="2"/>
  <c r="F20" i="2"/>
  <c r="F23" i="2" s="1"/>
  <c r="K28" i="2"/>
  <c r="I100" i="2"/>
  <c r="G20" i="5" s="1"/>
  <c r="J28" i="2"/>
  <c r="I30" i="2"/>
  <c r="G8" i="5" s="1"/>
  <c r="O117" i="2"/>
  <c r="M14" i="2"/>
  <c r="M125" i="2"/>
  <c r="N125" i="2"/>
  <c r="L126" i="2"/>
  <c r="G10" i="5" l="1"/>
  <c r="I42" i="2"/>
  <c r="I44" i="2" s="1"/>
  <c r="I56" i="2"/>
  <c r="J30" i="2"/>
  <c r="H8" i="5" s="1"/>
  <c r="L28" i="2"/>
  <c r="J100" i="2"/>
  <c r="H20" i="5" s="1"/>
  <c r="H56" i="2"/>
  <c r="F10" i="5"/>
  <c r="H42" i="2"/>
  <c r="H44" i="2" s="1"/>
  <c r="L114" i="2"/>
  <c r="J116" i="2"/>
  <c r="J27" i="2" s="1"/>
  <c r="H75" i="2"/>
  <c r="L84" i="2"/>
  <c r="G80" i="2"/>
  <c r="G75" i="2"/>
  <c r="N88" i="2"/>
  <c r="M88" i="2"/>
  <c r="K30" i="2"/>
  <c r="I8" i="5" s="1"/>
  <c r="K100" i="2"/>
  <c r="I20" i="5" s="1"/>
  <c r="L115" i="2"/>
  <c r="M113" i="2"/>
  <c r="N113" i="2"/>
  <c r="K21" i="2"/>
  <c r="J21" i="2"/>
  <c r="J15" i="2"/>
  <c r="J22" i="2" s="1"/>
  <c r="F61" i="2"/>
  <c r="F80" i="2" s="1"/>
  <c r="P45" i="2"/>
  <c r="H20" i="2"/>
  <c r="H23" i="2" s="1"/>
  <c r="E63" i="2"/>
  <c r="F50" i="2"/>
  <c r="F47" i="2"/>
  <c r="G47" i="2"/>
  <c r="G50" i="2"/>
  <c r="G51" i="2" s="1"/>
  <c r="G53" i="2" s="1"/>
  <c r="G57" i="2" s="1"/>
  <c r="G62" i="2" s="1"/>
  <c r="G68" i="2" s="1"/>
  <c r="P14" i="2"/>
  <c r="K73" i="2"/>
  <c r="K19" i="2"/>
  <c r="K35" i="2"/>
  <c r="K39" i="2" s="1"/>
  <c r="M48" i="2"/>
  <c r="N48" i="2"/>
  <c r="O18" i="2"/>
  <c r="N94" i="2"/>
  <c r="M94" i="2"/>
  <c r="O14" i="2"/>
  <c r="Q117" i="2"/>
  <c r="K89" i="2"/>
  <c r="O45" i="2"/>
  <c r="P125" i="2"/>
  <c r="P126" i="2" s="1"/>
  <c r="N126" i="2"/>
  <c r="M126" i="2"/>
  <c r="O125" i="2"/>
  <c r="P18" i="2"/>
  <c r="I73" i="2"/>
  <c r="I61" i="2"/>
  <c r="I19" i="2"/>
  <c r="I20" i="2" s="1"/>
  <c r="I23" i="2" s="1"/>
  <c r="J89" i="2"/>
  <c r="Q18" i="2" l="1"/>
  <c r="F51" i="2"/>
  <c r="F53" i="2" s="1"/>
  <c r="F57" i="2" s="1"/>
  <c r="L15" i="2"/>
  <c r="L22" i="2" s="1"/>
  <c r="M84" i="2"/>
  <c r="N84" i="2"/>
  <c r="N89" i="2" s="1"/>
  <c r="H61" i="2"/>
  <c r="H80" i="2" s="1"/>
  <c r="O126" i="2"/>
  <c r="Q125" i="2"/>
  <c r="Q126" i="2" s="1"/>
  <c r="J35" i="2"/>
  <c r="J39" i="2" s="1"/>
  <c r="M28" i="2"/>
  <c r="N28" i="2"/>
  <c r="L30" i="2"/>
  <c r="J8" i="5" s="1"/>
  <c r="L100" i="2"/>
  <c r="J20" i="5" s="1"/>
  <c r="M89" i="2"/>
  <c r="O88" i="2"/>
  <c r="H85" i="2"/>
  <c r="Q14" i="2"/>
  <c r="E58" i="2"/>
  <c r="E64" i="2"/>
  <c r="P48" i="2"/>
  <c r="O94" i="2"/>
  <c r="L89" i="2"/>
  <c r="J73" i="2"/>
  <c r="J19" i="2"/>
  <c r="O113" i="2"/>
  <c r="M115" i="2"/>
  <c r="K75" i="2"/>
  <c r="K42" i="2"/>
  <c r="K44" i="2" s="1"/>
  <c r="I10" i="5"/>
  <c r="K56" i="2"/>
  <c r="G63" i="2"/>
  <c r="P88" i="2"/>
  <c r="M114" i="2"/>
  <c r="N114" i="2"/>
  <c r="L116" i="2"/>
  <c r="L27" i="2" s="1"/>
  <c r="I47" i="2"/>
  <c r="I50" i="2"/>
  <c r="O48" i="2"/>
  <c r="I75" i="2"/>
  <c r="I80" i="2"/>
  <c r="Q45" i="2"/>
  <c r="P94" i="2"/>
  <c r="K20" i="2"/>
  <c r="K23" i="2" s="1"/>
  <c r="P113" i="2"/>
  <c r="P115" i="2" s="1"/>
  <c r="N115" i="2"/>
  <c r="G85" i="2"/>
  <c r="H47" i="2"/>
  <c r="H50" i="2"/>
  <c r="H51" i="2" s="1"/>
  <c r="H53" i="2" s="1"/>
  <c r="H57" i="2" s="1"/>
  <c r="H62" i="2" s="1"/>
  <c r="H68" i="2" s="1"/>
  <c r="H10" i="5" l="1"/>
  <c r="J42" i="2"/>
  <c r="J44" i="2" s="1"/>
  <c r="J56" i="2"/>
  <c r="O84" i="2"/>
  <c r="O28" i="2"/>
  <c r="M30" i="2"/>
  <c r="K8" i="5" s="1"/>
  <c r="M100" i="2"/>
  <c r="K20" i="5" s="1"/>
  <c r="E70" i="2"/>
  <c r="I85" i="2"/>
  <c r="J75" i="2"/>
  <c r="L35" i="2"/>
  <c r="L39" i="2" s="1"/>
  <c r="L73" i="2"/>
  <c r="L19" i="2"/>
  <c r="L20" i="2" s="1"/>
  <c r="O89" i="2"/>
  <c r="Q88" i="2"/>
  <c r="P114" i="2"/>
  <c r="P116" i="2" s="1"/>
  <c r="P27" i="2" s="1"/>
  <c r="N116" i="2"/>
  <c r="N27" i="2" s="1"/>
  <c r="N21" i="2"/>
  <c r="N15" i="2"/>
  <c r="N22" i="2" s="1"/>
  <c r="M116" i="2"/>
  <c r="M27" i="2" s="1"/>
  <c r="O114" i="2"/>
  <c r="M21" i="2"/>
  <c r="M15" i="2"/>
  <c r="M22" i="2" s="1"/>
  <c r="L21" i="2"/>
  <c r="F62" i="2"/>
  <c r="F68" i="2" s="1"/>
  <c r="F63" i="2"/>
  <c r="K47" i="2"/>
  <c r="K50" i="2"/>
  <c r="K85" i="2"/>
  <c r="H63" i="2"/>
  <c r="P84" i="2"/>
  <c r="P21" i="2"/>
  <c r="Q48" i="2"/>
  <c r="P89" i="2"/>
  <c r="O115" i="2"/>
  <c r="Q113" i="2"/>
  <c r="Q115" i="2" s="1"/>
  <c r="Q15" i="2" s="1"/>
  <c r="Q22" i="2" s="1"/>
  <c r="P15" i="2"/>
  <c r="P22" i="2" s="1"/>
  <c r="G58" i="2"/>
  <c r="G64" i="2"/>
  <c r="Q94" i="2"/>
  <c r="I51" i="2"/>
  <c r="I53" i="2" s="1"/>
  <c r="I57" i="2" s="1"/>
  <c r="K61" i="2"/>
  <c r="K80" i="2" s="1"/>
  <c r="J20" i="2"/>
  <c r="J23" i="2" s="1"/>
  <c r="P28" i="2"/>
  <c r="N30" i="2"/>
  <c r="L8" i="5" s="1"/>
  <c r="N100" i="2"/>
  <c r="L20" i="5" s="1"/>
  <c r="P100" i="2" l="1"/>
  <c r="N20" i="5" s="1"/>
  <c r="P30" i="2"/>
  <c r="N8" i="5" s="1"/>
  <c r="N35" i="2"/>
  <c r="N39" i="2" s="1"/>
  <c r="J85" i="2"/>
  <c r="O30" i="2"/>
  <c r="M8" i="5" s="1"/>
  <c r="Q28" i="2"/>
  <c r="O100" i="2"/>
  <c r="M20" i="5" s="1"/>
  <c r="G70" i="2"/>
  <c r="G69" i="2" s="1"/>
  <c r="N73" i="2"/>
  <c r="N19" i="2"/>
  <c r="H58" i="2"/>
  <c r="H64" i="2"/>
  <c r="L75" i="2"/>
  <c r="P35" i="2"/>
  <c r="P39" i="2" s="1"/>
  <c r="K51" i="2"/>
  <c r="K53" i="2" s="1"/>
  <c r="K57" i="2" s="1"/>
  <c r="M35" i="2"/>
  <c r="M39" i="2" s="1"/>
  <c r="P73" i="2"/>
  <c r="P19" i="2"/>
  <c r="Q84" i="2"/>
  <c r="Q89" i="2"/>
  <c r="E38" i="2"/>
  <c r="C12" i="5"/>
  <c r="E78" i="2"/>
  <c r="E86" i="2"/>
  <c r="J61" i="2"/>
  <c r="J80" i="2" s="1"/>
  <c r="O15" i="2"/>
  <c r="O22" i="2" s="1"/>
  <c r="I62" i="2"/>
  <c r="I68" i="2" s="1"/>
  <c r="I63" i="2"/>
  <c r="F58" i="2"/>
  <c r="F64" i="2"/>
  <c r="O116" i="2"/>
  <c r="O27" i="2" s="1"/>
  <c r="Q114" i="2"/>
  <c r="Q116" i="2" s="1"/>
  <c r="Q27" i="2" s="1"/>
  <c r="J10" i="5"/>
  <c r="L56" i="2"/>
  <c r="L42" i="2"/>
  <c r="L44" i="2" s="1"/>
  <c r="E69" i="2"/>
  <c r="J47" i="2"/>
  <c r="J50" i="2"/>
  <c r="J51" i="2" s="1"/>
  <c r="J53" i="2" s="1"/>
  <c r="J57" i="2" s="1"/>
  <c r="J62" i="2" s="1"/>
  <c r="J68" i="2" s="1"/>
  <c r="Q21" i="2"/>
  <c r="Q35" i="2"/>
  <c r="Q39" i="2" s="1"/>
  <c r="M73" i="2"/>
  <c r="M19" i="2"/>
  <c r="M20" i="2" s="1"/>
  <c r="M23" i="2" s="1"/>
  <c r="L23" i="2"/>
  <c r="E109" i="2"/>
  <c r="E122" i="2" l="1"/>
  <c r="E92" i="2"/>
  <c r="O10" i="5"/>
  <c r="Q42" i="2"/>
  <c r="Q44" i="2" s="1"/>
  <c r="Q56" i="2"/>
  <c r="Q73" i="2"/>
  <c r="Q61" i="2"/>
  <c r="Q19" i="2"/>
  <c r="Q20" i="2" s="1"/>
  <c r="Q23" i="2" s="1"/>
  <c r="C17" i="5"/>
  <c r="E81" i="2"/>
  <c r="C18" i="5" s="1"/>
  <c r="E121" i="2"/>
  <c r="L85" i="2"/>
  <c r="N75" i="2"/>
  <c r="O73" i="2"/>
  <c r="O19" i="2"/>
  <c r="O20" i="2" s="1"/>
  <c r="L10" i="5"/>
  <c r="N42" i="2"/>
  <c r="N44" i="2" s="1"/>
  <c r="N56" i="2"/>
  <c r="F70" i="2"/>
  <c r="F69" i="2"/>
  <c r="O35" i="2"/>
  <c r="O39" i="2" s="1"/>
  <c r="H70" i="2"/>
  <c r="E12" i="5"/>
  <c r="G38" i="2"/>
  <c r="G78" i="2"/>
  <c r="E17" i="5" s="1"/>
  <c r="G86" i="2"/>
  <c r="G92" i="2" s="1"/>
  <c r="O21" i="2"/>
  <c r="K62" i="2"/>
  <c r="K68" i="2" s="1"/>
  <c r="K63" i="2"/>
  <c r="N20" i="2"/>
  <c r="N23" i="2" s="1"/>
  <c r="Q30" i="2"/>
  <c r="O8" i="5" s="1"/>
  <c r="Q100" i="2"/>
  <c r="O20" i="5" s="1"/>
  <c r="K10" i="5"/>
  <c r="M56" i="2"/>
  <c r="M42" i="2"/>
  <c r="M44" i="2" s="1"/>
  <c r="P56" i="2"/>
  <c r="N10" i="5"/>
  <c r="P42" i="2"/>
  <c r="P44" i="2" s="1"/>
  <c r="P75" i="2"/>
  <c r="H109" i="2"/>
  <c r="L47" i="2"/>
  <c r="L50" i="2"/>
  <c r="L51" i="2" s="1"/>
  <c r="L53" i="2" s="1"/>
  <c r="L57" i="2" s="1"/>
  <c r="L62" i="2" s="1"/>
  <c r="L68" i="2" s="1"/>
  <c r="I58" i="2"/>
  <c r="I64" i="2"/>
  <c r="M75" i="2"/>
  <c r="L63" i="2"/>
  <c r="L58" i="2" s="1"/>
  <c r="L64" i="2"/>
  <c r="L61" i="2"/>
  <c r="L80" i="2" s="1"/>
  <c r="J63" i="2"/>
  <c r="P20" i="2"/>
  <c r="P23" i="2" s="1"/>
  <c r="G109" i="2"/>
  <c r="N61" i="2" l="1"/>
  <c r="N80" i="2" s="1"/>
  <c r="N85" i="2"/>
  <c r="Q80" i="2"/>
  <c r="Q75" i="2"/>
  <c r="M85" i="2"/>
  <c r="P85" i="2"/>
  <c r="N47" i="2"/>
  <c r="N50" i="2"/>
  <c r="N51" i="2" s="1"/>
  <c r="N53" i="2" s="1"/>
  <c r="N57" i="2" s="1"/>
  <c r="N62" i="2" s="1"/>
  <c r="N68" i="2" s="1"/>
  <c r="D12" i="5"/>
  <c r="F38" i="2"/>
  <c r="F86" i="2"/>
  <c r="F92" i="2" s="1"/>
  <c r="F78" i="2"/>
  <c r="L86" i="2"/>
  <c r="L92" i="2" s="1"/>
  <c r="G81" i="2"/>
  <c r="E18" i="5" s="1"/>
  <c r="Q47" i="2"/>
  <c r="Q50" i="2"/>
  <c r="Q51" i="2" s="1"/>
  <c r="Q53" i="2" s="1"/>
  <c r="Q57" i="2" s="1"/>
  <c r="Q62" i="2" s="1"/>
  <c r="Q68" i="2" s="1"/>
  <c r="E19" i="5"/>
  <c r="G96" i="2"/>
  <c r="E79" i="2"/>
  <c r="F121" i="2"/>
  <c r="P47" i="2"/>
  <c r="P50" i="2"/>
  <c r="P51" i="2" s="1"/>
  <c r="P53" i="2" s="1"/>
  <c r="P57" i="2" s="1"/>
  <c r="P62" i="2" s="1"/>
  <c r="P68" i="2" s="1"/>
  <c r="K58" i="2"/>
  <c r="K64" i="2"/>
  <c r="F12" i="5"/>
  <c r="H38" i="2"/>
  <c r="H78" i="2"/>
  <c r="H86" i="2"/>
  <c r="H92" i="2" s="1"/>
  <c r="O23" i="2"/>
  <c r="L70" i="2"/>
  <c r="M61" i="2"/>
  <c r="M80" i="2" s="1"/>
  <c r="L109" i="2"/>
  <c r="F109" i="2"/>
  <c r="P61" i="2"/>
  <c r="P80" i="2" s="1"/>
  <c r="C19" i="5"/>
  <c r="E123" i="2"/>
  <c r="E96" i="2"/>
  <c r="I70" i="2"/>
  <c r="I69" i="2" s="1"/>
  <c r="J58" i="2"/>
  <c r="J64" i="2"/>
  <c r="H69" i="2"/>
  <c r="M47" i="2"/>
  <c r="M50" i="2"/>
  <c r="M51" i="2" s="1"/>
  <c r="M53" i="2" s="1"/>
  <c r="M57" i="2" s="1"/>
  <c r="M62" i="2" s="1"/>
  <c r="M68" i="2" s="1"/>
  <c r="M10" i="5"/>
  <c r="O42" i="2"/>
  <c r="O44" i="2" s="1"/>
  <c r="O56" i="2"/>
  <c r="O75" i="2"/>
  <c r="F122" i="2"/>
  <c r="E87" i="2"/>
  <c r="Q85" i="2" l="1"/>
  <c r="O61" i="2"/>
  <c r="O80" i="2" s="1"/>
  <c r="F19" i="5"/>
  <c r="H96" i="2"/>
  <c r="J19" i="5"/>
  <c r="L96" i="2"/>
  <c r="D17" i="5"/>
  <c r="F81" i="2"/>
  <c r="D18" i="5" s="1"/>
  <c r="O85" i="2"/>
  <c r="G12" i="5"/>
  <c r="I38" i="2"/>
  <c r="I78" i="2"/>
  <c r="I86" i="2"/>
  <c r="I92" i="2" s="1"/>
  <c r="F79" i="2"/>
  <c r="G121" i="2"/>
  <c r="G101" i="2"/>
  <c r="G104" i="2"/>
  <c r="G105" i="2" s="1"/>
  <c r="D19" i="5"/>
  <c r="F96" i="2"/>
  <c r="P63" i="2"/>
  <c r="M63" i="2"/>
  <c r="K70" i="2"/>
  <c r="O47" i="2"/>
  <c r="O50" i="2"/>
  <c r="O51" i="2" s="1"/>
  <c r="O53" i="2" s="1"/>
  <c r="O57" i="2" s="1"/>
  <c r="O62" i="2" s="1"/>
  <c r="O68" i="2" s="1"/>
  <c r="F123" i="2"/>
  <c r="E93" i="2"/>
  <c r="F87" i="2"/>
  <c r="G122" i="2"/>
  <c r="F17" i="5"/>
  <c r="H81" i="2"/>
  <c r="F18" i="5" s="1"/>
  <c r="E124" i="2"/>
  <c r="E101" i="2"/>
  <c r="E104" i="2"/>
  <c r="E105" i="2" s="1"/>
  <c r="J12" i="5"/>
  <c r="L38" i="2"/>
  <c r="L78" i="2"/>
  <c r="J70" i="2"/>
  <c r="J69" i="2"/>
  <c r="L69" i="2"/>
  <c r="I109" i="2"/>
  <c r="Q63" i="2"/>
  <c r="N63" i="2"/>
  <c r="G87" i="2" l="1"/>
  <c r="H122" i="2"/>
  <c r="E103" i="2"/>
  <c r="C21" i="5" s="1"/>
  <c r="E102" i="2"/>
  <c r="G103" i="2"/>
  <c r="E21" i="5" s="1"/>
  <c r="G102" i="2"/>
  <c r="I12" i="5"/>
  <c r="K38" i="2"/>
  <c r="K78" i="2"/>
  <c r="K86" i="2"/>
  <c r="K92" i="2" s="1"/>
  <c r="F93" i="2"/>
  <c r="G123" i="2"/>
  <c r="O63" i="2"/>
  <c r="Q58" i="2"/>
  <c r="Q64" i="2"/>
  <c r="H101" i="2"/>
  <c r="H104" i="2"/>
  <c r="H105" i="2" s="1"/>
  <c r="M58" i="2"/>
  <c r="M64" i="2"/>
  <c r="E97" i="2"/>
  <c r="F124" i="2"/>
  <c r="H121" i="2"/>
  <c r="G79" i="2"/>
  <c r="G19" i="5"/>
  <c r="I96" i="2"/>
  <c r="K109" i="2"/>
  <c r="P58" i="2"/>
  <c r="P64" i="2"/>
  <c r="J17" i="5"/>
  <c r="L81" i="2"/>
  <c r="J18" i="5" s="1"/>
  <c r="G17" i="5"/>
  <c r="I81" i="2"/>
  <c r="G18" i="5" s="1"/>
  <c r="L101" i="2"/>
  <c r="L104" i="2"/>
  <c r="L105" i="2" s="1"/>
  <c r="K69" i="2"/>
  <c r="H12" i="5"/>
  <c r="J38" i="2"/>
  <c r="J78" i="2"/>
  <c r="J86" i="2"/>
  <c r="J92" i="2" s="1"/>
  <c r="J109" i="2"/>
  <c r="N58" i="2"/>
  <c r="N64" i="2"/>
  <c r="F104" i="2"/>
  <c r="F105" i="2" s="1"/>
  <c r="F101" i="2"/>
  <c r="H102" i="2" l="1"/>
  <c r="H103" i="2"/>
  <c r="F21" i="5" s="1"/>
  <c r="F97" i="2"/>
  <c r="G124" i="2"/>
  <c r="Q70" i="2"/>
  <c r="O58" i="2"/>
  <c r="O64" i="2"/>
  <c r="F102" i="2"/>
  <c r="F103" i="2"/>
  <c r="D21" i="5" s="1"/>
  <c r="H79" i="2"/>
  <c r="I121" i="2"/>
  <c r="H123" i="2"/>
  <c r="G93" i="2"/>
  <c r="N70" i="2"/>
  <c r="N69" i="2"/>
  <c r="L102" i="2"/>
  <c r="L103" i="2"/>
  <c r="J21" i="5" s="1"/>
  <c r="M70" i="2"/>
  <c r="M109" i="2" s="1"/>
  <c r="M69" i="2"/>
  <c r="H19" i="5"/>
  <c r="J96" i="2"/>
  <c r="I101" i="2"/>
  <c r="I104" i="2"/>
  <c r="I105" i="2" s="1"/>
  <c r="H17" i="5"/>
  <c r="J81" i="2"/>
  <c r="H18" i="5" s="1"/>
  <c r="I19" i="5"/>
  <c r="K96" i="2"/>
  <c r="H87" i="2"/>
  <c r="I122" i="2"/>
  <c r="P70" i="2"/>
  <c r="P109" i="2" s="1"/>
  <c r="N109" i="2"/>
  <c r="I17" i="5"/>
  <c r="K81" i="2"/>
  <c r="I18" i="5" s="1"/>
  <c r="I79" i="2" l="1"/>
  <c r="J121" i="2"/>
  <c r="K121" i="2"/>
  <c r="K79" i="2" s="1"/>
  <c r="G97" i="2"/>
  <c r="H124" i="2"/>
  <c r="H93" i="2"/>
  <c r="I123" i="2"/>
  <c r="O12" i="5"/>
  <c r="Q38" i="2"/>
  <c r="Q78" i="2"/>
  <c r="Q86" i="2"/>
  <c r="Q92" i="2" s="1"/>
  <c r="Q69" i="2"/>
  <c r="M38" i="2"/>
  <c r="K12" i="5"/>
  <c r="M78" i="2"/>
  <c r="M86" i="2"/>
  <c r="M92" i="2" s="1"/>
  <c r="N12" i="5"/>
  <c r="P38" i="2"/>
  <c r="P78" i="2"/>
  <c r="P86" i="2"/>
  <c r="P92" i="2" s="1"/>
  <c r="Q109" i="2"/>
  <c r="K101" i="2"/>
  <c r="K104" i="2"/>
  <c r="K105" i="2" s="1"/>
  <c r="P69" i="2"/>
  <c r="I103" i="2"/>
  <c r="G21" i="5" s="1"/>
  <c r="I102" i="2"/>
  <c r="K122" i="2"/>
  <c r="K87" i="2" s="1"/>
  <c r="J122" i="2"/>
  <c r="I87" i="2"/>
  <c r="J101" i="2"/>
  <c r="J104" i="2"/>
  <c r="J105" i="2" s="1"/>
  <c r="L12" i="5"/>
  <c r="N38" i="2"/>
  <c r="N78" i="2"/>
  <c r="N86" i="2"/>
  <c r="N92" i="2" s="1"/>
  <c r="O70" i="2"/>
  <c r="O69" i="2" s="1"/>
  <c r="K17" i="5" l="1"/>
  <c r="M81" i="2"/>
  <c r="K18" i="5" s="1"/>
  <c r="K103" i="2"/>
  <c r="I21" i="5" s="1"/>
  <c r="K102" i="2"/>
  <c r="N19" i="5"/>
  <c r="P96" i="2"/>
  <c r="H97" i="2"/>
  <c r="I124" i="2"/>
  <c r="N17" i="5"/>
  <c r="P81" i="2"/>
  <c r="N18" i="5" s="1"/>
  <c r="J123" i="2"/>
  <c r="K123" i="2"/>
  <c r="K93" i="2" s="1"/>
  <c r="I93" i="2"/>
  <c r="L19" i="5"/>
  <c r="N96" i="2"/>
  <c r="M12" i="5"/>
  <c r="O38" i="2"/>
  <c r="O78" i="2"/>
  <c r="O86" i="2"/>
  <c r="O92" i="2" s="1"/>
  <c r="O109" i="2"/>
  <c r="J87" i="2"/>
  <c r="L122" i="2"/>
  <c r="L17" i="5"/>
  <c r="N81" i="2"/>
  <c r="L18" i="5" s="1"/>
  <c r="O17" i="5"/>
  <c r="Q81" i="2"/>
  <c r="O18" i="5" s="1"/>
  <c r="J79" i="2"/>
  <c r="L121" i="2"/>
  <c r="J102" i="2"/>
  <c r="J103" i="2"/>
  <c r="H21" i="5" s="1"/>
  <c r="O19" i="5"/>
  <c r="Q96" i="2"/>
  <c r="K19" i="5"/>
  <c r="M96" i="2"/>
  <c r="Q101" i="2" l="1"/>
  <c r="Q104" i="2"/>
  <c r="Q105" i="2" s="1"/>
  <c r="I97" i="2"/>
  <c r="J124" i="2"/>
  <c r="K124" i="2"/>
  <c r="K97" i="2" s="1"/>
  <c r="L87" i="2"/>
  <c r="N122" i="2"/>
  <c r="M122" i="2"/>
  <c r="P101" i="2"/>
  <c r="P104" i="2"/>
  <c r="P105" i="2" s="1"/>
  <c r="N101" i="2"/>
  <c r="N104" i="2"/>
  <c r="N105" i="2" s="1"/>
  <c r="M17" i="5"/>
  <c r="O81" i="2"/>
  <c r="M18" i="5" s="1"/>
  <c r="N121" i="2"/>
  <c r="L79" i="2"/>
  <c r="M121" i="2"/>
  <c r="M19" i="5"/>
  <c r="O96" i="2"/>
  <c r="J93" i="2"/>
  <c r="L123" i="2"/>
  <c r="M101" i="2"/>
  <c r="M104" i="2"/>
  <c r="M105" i="2" s="1"/>
  <c r="M87" i="2" l="1"/>
  <c r="O122" i="2"/>
  <c r="N79" i="2"/>
  <c r="P121" i="2"/>
  <c r="P79" i="2" s="1"/>
  <c r="N87" i="2"/>
  <c r="P122" i="2"/>
  <c r="P87" i="2" s="1"/>
  <c r="M103" i="2"/>
  <c r="K21" i="5" s="1"/>
  <c r="M102" i="2"/>
  <c r="L93" i="2"/>
  <c r="N123" i="2"/>
  <c r="M123" i="2"/>
  <c r="N102" i="2"/>
  <c r="N103" i="2"/>
  <c r="L21" i="5" s="1"/>
  <c r="L124" i="2"/>
  <c r="J97" i="2"/>
  <c r="O101" i="2"/>
  <c r="O104" i="2"/>
  <c r="O105" i="2" s="1"/>
  <c r="M79" i="2"/>
  <c r="O121" i="2"/>
  <c r="P102" i="2"/>
  <c r="P103" i="2"/>
  <c r="N21" i="5" s="1"/>
  <c r="Q103" i="2"/>
  <c r="O21" i="5" s="1"/>
  <c r="Q102" i="2"/>
  <c r="O103" i="2" l="1"/>
  <c r="M21" i="5" s="1"/>
  <c r="O102" i="2"/>
  <c r="N124" i="2"/>
  <c r="M124" i="2"/>
  <c r="L97" i="2"/>
  <c r="M93" i="2"/>
  <c r="O123" i="2"/>
  <c r="O87" i="2"/>
  <c r="Q122" i="2"/>
  <c r="Q87" i="2" s="1"/>
  <c r="Q121" i="2"/>
  <c r="Q79" i="2" s="1"/>
  <c r="O79" i="2"/>
  <c r="N93" i="2"/>
  <c r="P123" i="2"/>
  <c r="P93" i="2" s="1"/>
  <c r="O93" i="2" l="1"/>
  <c r="Q123" i="2"/>
  <c r="Q93" i="2" s="1"/>
  <c r="M97" i="2"/>
  <c r="O124" i="2"/>
  <c r="P124" i="2"/>
  <c r="P97" i="2" s="1"/>
  <c r="N97" i="2"/>
  <c r="O97" i="2" l="1"/>
  <c r="Q124" i="2"/>
  <c r="Q97" i="2" s="1"/>
</calcChain>
</file>

<file path=xl/sharedStrings.xml><?xml version="1.0" encoding="utf-8"?>
<sst xmlns="http://schemas.openxmlformats.org/spreadsheetml/2006/main" count="530" uniqueCount="446">
  <si>
    <t>F/um</t>
  </si>
  <si>
    <t>V</t>
  </si>
  <si>
    <t>uA/um</t>
  </si>
  <si>
    <t>uS/um</t>
  </si>
  <si>
    <t>nm</t>
  </si>
  <si>
    <t>A</t>
  </si>
  <si>
    <t>mv/dec</t>
  </si>
  <si>
    <t>Sub-threshold Slope</t>
  </si>
  <si>
    <t>Parasitic Capacitance</t>
  </si>
  <si>
    <t>MV/cm</t>
  </si>
  <si>
    <t>Power Supply Voltage</t>
  </si>
  <si>
    <t>Oxide Dielectric Constant</t>
  </si>
  <si>
    <t>Silicon Dielectric Constant</t>
  </si>
  <si>
    <t>Free Space Dielectric Constant</t>
  </si>
  <si>
    <t>Oxide Relative Constant</t>
  </si>
  <si>
    <t>Silicon Relative Constant</t>
  </si>
  <si>
    <t>V/cm</t>
  </si>
  <si>
    <t>Mobility Enhancement Factor</t>
  </si>
  <si>
    <t>cm^2/V-sec</t>
  </si>
  <si>
    <t>cm/sec</t>
  </si>
  <si>
    <t>ps</t>
  </si>
  <si>
    <t>GHz</t>
  </si>
  <si>
    <t>Years in Future</t>
  </si>
  <si>
    <t>Year in Production</t>
  </si>
  <si>
    <t>Physical Constants</t>
  </si>
  <si>
    <t>Effective NMOS Mobility</t>
  </si>
  <si>
    <t>Ideal NMOS Current Drive</t>
  </si>
  <si>
    <t>Effective NMOS Current Drive</t>
  </si>
  <si>
    <t>Historical Trend Constants</t>
  </si>
  <si>
    <t>Yearly Percent Increase</t>
  </si>
  <si>
    <t>%</t>
  </si>
  <si>
    <t>Nominal Processor Performance Projection Base Value</t>
  </si>
  <si>
    <t>Effective Vertical Electric Field (Eeff)</t>
  </si>
  <si>
    <t>Saturation Lateral Electric Field</t>
  </si>
  <si>
    <t>Nominal Gate Delay Base Value</t>
  </si>
  <si>
    <t>Watts/um</t>
  </si>
  <si>
    <t>Nominal Processor Gate Delays per Cycle</t>
  </si>
  <si>
    <t>ohm-um</t>
  </si>
  <si>
    <t>Effective Parasitic Rsd</t>
  </si>
  <si>
    <t>1/cm^3</t>
  </si>
  <si>
    <t xml:space="preserve">Percent Rsd Current Reduction </t>
  </si>
  <si>
    <t>NMOS/PMOS Drive Ratio</t>
  </si>
  <si>
    <t>Device Tau Projection Base Value</t>
  </si>
  <si>
    <t>Ideal Unloaded Inverter Delay 
Scaling Target</t>
  </si>
  <si>
    <t>Device Tau Performance Scaling Target</t>
  </si>
  <si>
    <t>Nominal Gate Delay Scaling Target</t>
  </si>
  <si>
    <t>Nominal Gate NAND Inputs</t>
  </si>
  <si>
    <t>Nominal Gate Logical Effort
(NAND Gate)</t>
  </si>
  <si>
    <t>Latch Overhead Percentage of Cycle Time</t>
  </si>
  <si>
    <t>Maximum Gate Leakage Limit</t>
  </si>
  <si>
    <t>A/cm^2</t>
  </si>
  <si>
    <t>Gate Leakage Scaling Factor
(Stack-Gate &amp; Overlap Effects)</t>
  </si>
  <si>
    <t>Nominal Gate Electrical Effort
(Fan-Out)</t>
  </si>
  <si>
    <t>Cumulative Increase</t>
  </si>
  <si>
    <t>F/um^2</t>
  </si>
  <si>
    <t>Ideal NMOS Transconductance</t>
  </si>
  <si>
    <t>Effective NMOS Transconductance</t>
  </si>
  <si>
    <t>Effective Electric Field Reduction Factor
(Full Depletion/Dual-Gate Effects) (0-1)</t>
  </si>
  <si>
    <t>Adjusted Effective Electric Field</t>
  </si>
  <si>
    <t>K Scaling Factor (0 &lt; K &lt; 1)
(Ratio of Ideal/Max Current Drive)</t>
  </si>
  <si>
    <t>Unloaded Inverter Delay</t>
  </si>
  <si>
    <t>Vdd</t>
  </si>
  <si>
    <t>Lgate</t>
  </si>
  <si>
    <t>Xj-eff</t>
  </si>
  <si>
    <t>Tgate-EOT</t>
  </si>
  <si>
    <t>Idrain-off</t>
  </si>
  <si>
    <t>SS</t>
  </si>
  <si>
    <t>Vt</t>
  </si>
  <si>
    <t>Eeff</t>
  </si>
  <si>
    <t>Eeff-adjusted</t>
  </si>
  <si>
    <t>Vdsat</t>
  </si>
  <si>
    <t>K</t>
  </si>
  <si>
    <t>Idrain-ideal</t>
  </si>
  <si>
    <t>Rsd</t>
  </si>
  <si>
    <t>Idrain-eff</t>
  </si>
  <si>
    <t>Cpar</t>
  </si>
  <si>
    <t>Ideal Gate Area Capacitance</t>
  </si>
  <si>
    <t>Ideal NMOS Device Gate Capacitance</t>
  </si>
  <si>
    <t>Effective NMOS Device Gate Capacitance</t>
  </si>
  <si>
    <t>Tau-inverter</t>
  </si>
  <si>
    <t>Tau-NAND</t>
  </si>
  <si>
    <t>Fprocessor</t>
  </si>
  <si>
    <t>Delta-year</t>
  </si>
  <si>
    <t>Param-short-channel2</t>
  </si>
  <si>
    <t>Tgate-inversion</t>
  </si>
  <si>
    <t>Cgate-area-ideal</t>
  </si>
  <si>
    <t>Param-gate-leakage1</t>
  </si>
  <si>
    <t>Param-gate-leakage2</t>
  </si>
  <si>
    <t>Igate-max</t>
  </si>
  <si>
    <t>Idrain-Vt-define</t>
  </si>
  <si>
    <t>Mobility-ideal</t>
  </si>
  <si>
    <t>Param-mobility-enhancement</t>
  </si>
  <si>
    <t>Mobility-eff</t>
  </si>
  <si>
    <t>vsat</t>
  </si>
  <si>
    <t>gm-ideal</t>
  </si>
  <si>
    <t>Idrain-ideal-max</t>
  </si>
  <si>
    <t>gm-eff</t>
  </si>
  <si>
    <t>Percent-Rsd</t>
  </si>
  <si>
    <t>Cgate-NMOS-ideal</t>
  </si>
  <si>
    <t>Cgate-NMOS-eff</t>
  </si>
  <si>
    <t>Tau-NMOS</t>
  </si>
  <si>
    <t>Tau-NMOS-target</t>
  </si>
  <si>
    <t>Tau-NMOS-ideal-max</t>
  </si>
  <si>
    <t>Cinverter-unloaded</t>
  </si>
  <si>
    <t>Tau-inverter-target</t>
  </si>
  <si>
    <t>Param-NAND-input</t>
  </si>
  <si>
    <t>Tau-NAND-target</t>
  </si>
  <si>
    <t>Fprocessor-target</t>
  </si>
  <si>
    <t>Pdynamic-NMOS</t>
  </si>
  <si>
    <t>Power-Delay-NMOS</t>
  </si>
  <si>
    <t>Pdynamic-gate</t>
  </si>
  <si>
    <t>Power-Delay-gate</t>
  </si>
  <si>
    <t>Epsilon-0</t>
  </si>
  <si>
    <t>EpsilonR-Si</t>
  </si>
  <si>
    <t>EpsilionR-SiO2</t>
  </si>
  <si>
    <t>Epsilon-SiO2</t>
  </si>
  <si>
    <t>Epsilon-Si</t>
  </si>
  <si>
    <t>Ecrit</t>
  </si>
  <si>
    <t>Xj-eff = Param-short-channel2 * Lgate</t>
  </si>
  <si>
    <t>Xdep-eff</t>
  </si>
  <si>
    <t>mu-0-ac</t>
  </si>
  <si>
    <t>mu-exp-ac</t>
  </si>
  <si>
    <t>Mobility-ac</t>
  </si>
  <si>
    <t>mu-0-sr</t>
  </si>
  <si>
    <t>mu-exp-sr</t>
  </si>
  <si>
    <t>Mobility-sr</t>
  </si>
  <si>
    <t>Base-device</t>
  </si>
  <si>
    <t>Unloaded Inverter Delay Base Value</t>
  </si>
  <si>
    <t>Base-inverter</t>
  </si>
  <si>
    <t>Base-NAND</t>
  </si>
  <si>
    <t>Base-freq</t>
  </si>
  <si>
    <t>Yearly-rate</t>
  </si>
  <si>
    <t>Cumulative-increase</t>
  </si>
  <si>
    <t>User-Specified Input Parameter</t>
  </si>
  <si>
    <t>Parameter from ORTC</t>
  </si>
  <si>
    <t>Parameter from Lithography TWG and ORTC</t>
  </si>
  <si>
    <t>Cgate-area-ideal = Epsilon-SiO2 / Tgate-inversion</t>
  </si>
  <si>
    <t>Physical Constant</t>
  </si>
  <si>
    <t>Copy of Idrain-eff used for iterative reference with Idrain-Vt-define</t>
  </si>
  <si>
    <t>Voverdrive</t>
  </si>
  <si>
    <t>Voverdrive = Vdd - Vt</t>
  </si>
  <si>
    <t>Eeff = ( Vdd + Vt ) / ( 6 * Tgate-inversion )</t>
  </si>
  <si>
    <t>Mobility-ideal = Mobility-ac * Mobility-sr / ( Mobility-ac + Mobility-sr )</t>
  </si>
  <si>
    <t>Mobility-eff = Mobility-ideal * Param-mobility-enhancement</t>
  </si>
  <si>
    <t>Vdsat = K * Lgate * Ecrit</t>
  </si>
  <si>
    <t>Idrain-ideal-max = vsat * Cgate-area-ideal * Voverdrive</t>
  </si>
  <si>
    <t>Idrain-ideal = vsat * Cgate-area-ideal * Voverdrive * K</t>
  </si>
  <si>
    <t>gm-eff = gm-ideal / ( 1 + 0.5 * Rsd * gm-ideal )</t>
  </si>
  <si>
    <t>Percent-Rsd = ( Idrain-ideal - Idrain-eff ) / Idrain-ideal</t>
  </si>
  <si>
    <t>Cgate-NMOS-ideal = Cgate-area-ideal * Lgate</t>
  </si>
  <si>
    <t>Cgate-NMOS-eff = Cgate-NMOS-ideal + Cpar</t>
  </si>
  <si>
    <t>Tau-NMOS = Cgate-NMOS-eff * Vdd / Idrain-eff</t>
  </si>
  <si>
    <t>Tau-NMOS-ideal-max = Cgate-NMOS-ideal * Vdd / Idrain-ideal-max</t>
  </si>
  <si>
    <t>Ratio-NP-ratio</t>
  </si>
  <si>
    <t xml:space="preserve">Cinverter-unloaded = ( 1 + Ratio-NP-ratio ) </t>
  </si>
  <si>
    <t>Param-gate-cycle</t>
  </si>
  <si>
    <t>Tau-inverter = Cinverter-unloaded * Vdd / Idrain-eff</t>
  </si>
  <si>
    <t>Param-NAND-log-eff</t>
  </si>
  <si>
    <t>Param-NAND-log-eff = ( Ratio-NP-ratio + Param-NAND-input ) / (1 + Ratio-NP-ratio )</t>
  </si>
  <si>
    <t>Param-NAND-ele-eff</t>
  </si>
  <si>
    <t>Fprocessor = 1 / ( Param-gate-cycle * Tau-NAND * ( 1 + Param-latch-overhead ) )</t>
  </si>
  <si>
    <t>Param-latch-overhead</t>
  </si>
  <si>
    <t>Fprocessor-target = Base-freq * ( 1 + Yearly-rate ) ^ Delta-year</t>
  </si>
  <si>
    <t>Pdynamic-NMOS = Cgate-NMOS-eff * Fprocessor * Vdd^2</t>
  </si>
  <si>
    <t>Ratio-Dyn-Stat</t>
  </si>
  <si>
    <t>Power-Delay-NMOS = Pdynamic-NMOS / Fprocessor</t>
  </si>
  <si>
    <t>Pdynamic-gate = ( 100 * Lgate ) * Cinverter-unloaded * Param-NAND-log-eff * Param-NAND-ele-eff * Fprocessor * Vdd^2</t>
  </si>
  <si>
    <t>Power-Delay-gate = Pdynamic-gate / Fprocessor</t>
  </si>
  <si>
    <t>E-channel-lateral</t>
  </si>
  <si>
    <t>Egate-vertical</t>
  </si>
  <si>
    <t>Egate-vertical = Vdd / Tgate-inversion</t>
  </si>
  <si>
    <t>E-channel-lateral = ( Vdd - Vdsat - 0.5 * Rsd * Idrain-eff ) / ( Lgate / 2 )</t>
  </si>
  <si>
    <t>Epsilion-SiO2 = EpsilonR-SiO2 * Epsilon-0</t>
  </si>
  <si>
    <t>Epsilion-Si = EpsilonR-Si * Epsilon-0</t>
  </si>
  <si>
    <t>2 * vsat / Mobility-eff</t>
  </si>
  <si>
    <t>Copied from 2003 value of NMOS Device Tau</t>
  </si>
  <si>
    <t>Copied from 2003 value of NAND Gate Delay</t>
  </si>
  <si>
    <t>Copied from 2003 value of Unloaded Inverter Delay</t>
  </si>
  <si>
    <t>Copied from 2003 value of Processor Frequency</t>
  </si>
  <si>
    <t>Cumulative-increase = ( 1 + Yearly-rate )^Delta-year</t>
  </si>
  <si>
    <t>Idrain-eff (copy)</t>
  </si>
  <si>
    <t>Year</t>
  </si>
  <si>
    <t>Node</t>
  </si>
  <si>
    <t>Delta-year = Year - 2003</t>
  </si>
  <si>
    <t xml:space="preserve">Igate-max &lt;= ( Param-gate-leakage1 / Param-gate-leakage2 ) * ( Idrain-off / Lgate ) </t>
  </si>
  <si>
    <t>Gate Dielectric Parameters</t>
  </si>
  <si>
    <t>Off-State Current/Threshold-Voltage Parameters</t>
  </si>
  <si>
    <t>Parasitic S/D Resistance and Effective Current Drive</t>
  </si>
  <si>
    <t>Device Time Constant Calculation</t>
  </si>
  <si>
    <t>Gate Delay / Processor Frequency Calculation</t>
  </si>
  <si>
    <t>Static/Dynamic Power Metrics</t>
  </si>
  <si>
    <t>General Parameters</t>
  </si>
  <si>
    <t>Mobility-ac = mu-0-ac / ( Eeff )^mu-exp-ac</t>
  </si>
  <si>
    <t>Mobility-sr = mu-0-sr / ( Eeff )^mu-exp-ac</t>
  </si>
  <si>
    <t>gm-ideal = Cgate-area-ideal * vsat * ( 1 - ( ( Lgate * Ecrit ) / (  Voverdrive + Lgate * Ecrit ) )^2 )</t>
  </si>
  <si>
    <t>K =  Voverdrive / ( Voverdrive + Lgate * Ecrit )</t>
  </si>
  <si>
    <t>Idrain-eff = Idrain-ideal / ( 1 + ( Rsd * Idrain-ideal ) / Voverdrive )</t>
  </si>
  <si>
    <t>Tau-NMOS-target = Base-device / ( 1 + Yearly-rate ) ^ Delta-year</t>
  </si>
  <si>
    <t>Tau-inverter-target = Base-inverter / ( 1 + Yearly-rate ) ^ Delta-year</t>
  </si>
  <si>
    <t>Tau-NAND-target = Base-NAND / ( 1 + Yearly-rate ) ^ Delta-year</t>
  </si>
  <si>
    <t>Watts/gate</t>
  </si>
  <si>
    <t>Joules/gate</t>
  </si>
  <si>
    <t>Tau-NAND = Tau-inverter * Param-NAND-log-eff * Param-NAND-ele-eff * Param-ele-eff-mult</t>
  </si>
  <si>
    <t>Param-ele-eff-mult</t>
  </si>
  <si>
    <t>Ideal NMOS Mobility</t>
  </si>
  <si>
    <t>Inversion Gate Dielectric Thickness Value</t>
  </si>
  <si>
    <t>NMOS Current-Drive Parameters</t>
  </si>
  <si>
    <t>NMOS Mobility Parameters</t>
  </si>
  <si>
    <t>Nominal HP Processor Operating Frequency</t>
  </si>
  <si>
    <t>Nominal HP Processor Operating Frequency Scaling Target</t>
  </si>
  <si>
    <t>NMOS Device Normalized Dynamic 
Power Dissipation</t>
  </si>
  <si>
    <t>Dynamic Power Dissipation 
per Nominal Gate (W=100*L)</t>
  </si>
  <si>
    <t>Nominal Gate Power Delay Product
(W=100*L)</t>
  </si>
  <si>
    <t xml:space="preserve">NMOS Device Time Constant </t>
  </si>
  <si>
    <t>Voltage Overdrive</t>
  </si>
  <si>
    <t>Vdsat (Drain Saturation Voltage)</t>
  </si>
  <si>
    <t>Drain Current Used for Vt Definition
(Needs to be set equal to Idrain-eff)</t>
  </si>
  <si>
    <t>Units</t>
  </si>
  <si>
    <t>Variables</t>
  </si>
  <si>
    <t>Maximum Ideal NMOS Current Drive (K = 1)
(No Parasitics)</t>
  </si>
  <si>
    <t>Parasitic Fringe/Overlap Capacitance</t>
  </si>
  <si>
    <t>Unloaded Inverter Capacitance
(No Junction/Interconnect Cap)</t>
  </si>
  <si>
    <t>Parasitic Electrical Effort Multiplier 
(Accounts for Junction/Interconnect Capacitance Loading)</t>
  </si>
  <si>
    <t>Minimum Ideal Device Time Constant
(I=Max Ideal, No Parasitic C or R)</t>
  </si>
  <si>
    <t>Saturation Threshold Voltage</t>
  </si>
  <si>
    <t>Technology Generation</t>
  </si>
  <si>
    <t>Gate Poly Depletion &amp; Inversion-Layer Thickness</t>
  </si>
  <si>
    <t>Tgate-dep-inv</t>
  </si>
  <si>
    <t>Tgate-inversion = Tgate-EOT + Tgate-dep-inv</t>
  </si>
  <si>
    <t>Ratio of Gate Leakage Static Power 
(per unit device width) to 
Sub-Threshold Static Power
(per unit device width)</t>
  </si>
  <si>
    <t>Source/Drain Subthreshold Off-State Leakage Drain Current</t>
  </si>
  <si>
    <t>Mobility AC Model Pre-Factor
(Surface Acoustic Phonon Scattering)</t>
  </si>
  <si>
    <t>Mobility AC Model Exponent
(Surface Acoustic Phonon Scattering)</t>
  </si>
  <si>
    <t>Mobility AC Component
(Surface Acoustic Phonon Scattering)</t>
  </si>
  <si>
    <t>Mobility SR Model Pre-Factor
(Surface Roughness Scattering)</t>
  </si>
  <si>
    <t>Mobility SR Model Exponent
(Surface Roughness Scattering)</t>
  </si>
  <si>
    <t>Mobility SR Component
(Surface Roughness Scattering)</t>
  </si>
  <si>
    <t>Effective Saturation Carrier Velocity</t>
  </si>
  <si>
    <t>Parameter Equations 
(All variables assumed to be of similar dimensional units)</t>
  </si>
  <si>
    <t>The 2003 PIDS device modeling/requirements worksheets have been substantially updated and improved from the 2001 version.  These changes are reflected in the enclosed three Excel workbooks for High-Performance (HP), Low-Operating-Power (LOP), and Low-STandby-Power (LSTP).  For each workbook, the basic device modeling equations are the same; only the various input parameters are different, depending on the particular application.</t>
  </si>
  <si>
    <t>The main changes in the 2003 device models compared with the 2001 models can be summarized as follows:</t>
  </si>
  <si>
    <t>*  The impact of velocity saturation effects on current drive is now explicitly taken into account</t>
  </si>
  <si>
    <t>*  A more realistic model for mobility and its dependence of the effective electric field is included</t>
  </si>
  <si>
    <t>*  A simple empirical model for short-channel effects is now included, providing a scaling constraint on oxide thickness and effective junction depth</t>
  </si>
  <si>
    <t>*  Gate current is now linked to circuit static-power dissipation requirements and is now explicitly expressed as a technology requirement</t>
  </si>
  <si>
    <t>*  The threshold-voltage definition has been modified to provide more realistic values, especially at higher off-state current values</t>
  </si>
  <si>
    <t>*  More realistic expressions for gate delay and expected processor frequency have been added</t>
  </si>
  <si>
    <t>Each worksheet consists of several sections:</t>
  </si>
  <si>
    <t>* General Parameters (such as the technology node, the gate length, the power-supply voltage)</t>
  </si>
  <si>
    <t>* Short-Channel Control Parameters (such as the effective junction depth and physical gate dielectric thickness)</t>
  </si>
  <si>
    <t>* Gate Dielectric Parameters (such as the ratio of dielectric constant to oxide, EOT, inversion-thickness, and gate-leakage requirement)</t>
  </si>
  <si>
    <t>* Off-State Leakage Parameters (such as off-state drain current, subthreshold slope, DIBL, threshold voltage)</t>
  </si>
  <si>
    <t>* Mobility Parameters (such as effective electric field, mobility)</t>
  </si>
  <si>
    <t>* Current Drive Parameters (such as voltage overdrive, saturation electric field, Vdsat, saturation carrier velocity, K scaling factor, drain current drive and transconductance)</t>
  </si>
  <si>
    <t>* Parasitic S/D Resistance Parameters (such as RSD, the effective drain current drive)</t>
  </si>
  <si>
    <t>* Parasitic Capacitance Parameters (such as fringe capacitance)</t>
  </si>
  <si>
    <t>* Device Time Constant Calculation (includes historical reference and minimum ideal value)</t>
  </si>
  <si>
    <t>* Gate Delay/Processor  Calculation (includes circuit assumptions, historical reference)</t>
  </si>
  <si>
    <t>* Static/Dynamic Power Metrics (includes dynamic power, static power, power-delay products)</t>
  </si>
  <si>
    <t>* Physical Constants</t>
  </si>
  <si>
    <t>* Historical Trend Constants (includes parameters to set historical reference)</t>
  </si>
  <si>
    <t>Each row in each worksheet has been color coded:</t>
  </si>
  <si>
    <t>* Yellow:  These cells are input parameters.  User-specified values may be entered for each of the years (each of the different columns)</t>
  </si>
  <si>
    <t>* Green:  These cells are input parameters for which only ONE value applies to ALL years.  ONE user-specified value may be entered in for the 2003 year;  other years will copy this value.</t>
  </si>
  <si>
    <t>* White:  These cells contain output parameters from the device model.  The user shoud NOT independently adjust the parameters in these cells.</t>
  </si>
  <si>
    <t>* Red:  These cells are output parameters fro the device model.  The user shoud NOT independently adjust the parameters in these cells.  These particular parameters are of greater interest and should be considered as leading candidates for inclusion in the 2003 tables</t>
  </si>
  <si>
    <t>* Orange:   These cells are output parameters fro the device model.  The user should NOT independently adjust the parameters in these cells.  These cells are target references for parameters such as the device time constant or the threshold-voltage drain current.  The goal of each device optimization is to try to adjust the yellow input parameters to reach these target goals.  In the case of the threshold-voltage current, the goal is to set the value to match the effective drain current value (this is a form of manual iteration required by the formulas).</t>
  </si>
  <si>
    <t xml:space="preserve">For each worksheet, the following initial device scaling scenario has been included/proposed.  THESE PROPOSAL ARE VERY PRELIMINARY!  Many many different scaling scenarios are possible.  What is included is a "share the burden" scaling scenario similar to the philosophy used for the 2001 tables.  </t>
  </si>
  <si>
    <t>Specifically, the following main trends have been assumed:</t>
  </si>
  <si>
    <t>*  The physical gate dielectric thickness would asymptote at 11A for HP, 14A for LOP, and 18A for LSTP.  To achieve the required EOT values, higher-K dielectrics than oxide will needed to be introduced.  This results in the requirement of "high-K" gate dielectric (with relative dielectric constant &gt; 2 compared to oxide) at 2010 for HP and LOP, and at 2009 for LSTP (approximately the 45nm technology node).</t>
  </si>
  <si>
    <t>*  Metal gates at the 45nm technology node will allow the eventual elimination of gate depletion effects.</t>
  </si>
  <si>
    <t>*  Mobility improvements will be available; however no change in the velocity saturation value will occur (i.e. no significant macroscopically observable effects due to velocity overshoot are assumed).</t>
  </si>
  <si>
    <t>*  Different device topologies (Fully-depleted SOI, FINFETs etc) adopted at the 45nm node will allow DIBL and the effective electric field to be reduced by 50% for a given gate bias.</t>
  </si>
  <si>
    <t>*  The rate of increase of allowable HP gate leakage has been reduced from its 2001 values.</t>
  </si>
  <si>
    <t>*  The required decrease in parasitic RSD remains roughly unchanged from the 2001 roadmap; almost identical RSD numbers are assumed for HP, LOP, and LSTP.</t>
  </si>
  <si>
    <t>If you have any questions, comments, suggestions, or feedback, please contact either Jim Chung (508) 841-3283 jim.chung@hp.com or  Peter Zeitzoff (512) 356-3608 peter.zeitzoff@sematech.org.  Please also forward this information to other ITRS TWG members who may be appropriate that are not on the above mailing list.</t>
  </si>
  <si>
    <t>Thank you,</t>
  </si>
  <si>
    <t>Jim Chung</t>
  </si>
  <si>
    <t>Special Note to the Low-Power PIDS TWG Working Group:</t>
  </si>
  <si>
    <t xml:space="preserve">In terms of both the LOP and LSTP worksheets, the latest feedback from Toshihiro Sugii on 2/8/03 has been incorporated. Specifically, updated values have been provided for LSTP and LOP off-state drain-current and the LOP power-supply voltage. In addition, the LOP Lgate value now lags that of HP by 2 years; the LSTP Lgate value now lags that of HP by 3 years.  These updated input values have been incorporated in the enclosed  LOP and LSTP worksheets.  </t>
  </si>
  <si>
    <t xml:space="preserve">In order to keep the HP, LOP, and LSTP PIDS activities synchronized, it is proposed that these updated worksheets (and the accompanying updated device models) be the basis for the 2003 PIDS HP, LOP, and LSTP table entries. </t>
  </si>
  <si>
    <t>Special Note to Thomas Skotnicki (background material on the worksheet models):</t>
  </si>
  <si>
    <t>To a large extent, the HP, LOP, and LSTP formulas used in the enclosed worksheets are directly equivalent to those equations in the MASTAR simulation program.  In certain cases, reduced or alternate parameter definitions were used, primarily for simplification purposes.  In each of the three spreadsheets, for each row, the variable name is defined and the associated equation is presented (if appicable).</t>
  </si>
  <si>
    <t>Specifically, the following worksheet device parameter definitions are identical to those used in MASTAR:</t>
  </si>
  <si>
    <t>* DIBL (Drain-induced-barrier-lowering Vt term)</t>
  </si>
  <si>
    <t>* SS (Subthreshold slope)</t>
  </si>
  <si>
    <t>* X-dep-eff (Effective junction depth)</t>
  </si>
  <si>
    <t>* T-gate-inversion (Inversion gate dielectric thickness) (same as MASTAR Tox_el parameter)</t>
  </si>
  <si>
    <t>* Mobility (includes both the ac and sr components)</t>
  </si>
  <si>
    <t>* Cgate-area-ideal (Gate area capacitance) (same as MASTAR Cox_el parameter)</t>
  </si>
  <si>
    <t xml:space="preserve">* Ecrit (Saturation lateral electric field) </t>
  </si>
  <si>
    <t>The following worksheet parameter definitions are slightly different from those in MASTAR:</t>
  </si>
  <si>
    <t>* Vt (Threshold voltage) (The spreadsheet definition Vt = (1/1000) * SS * LOG[ Idrain-eff / Idrain-off ] provides more realistic Vt values, especially for higher values of Idrain-off</t>
  </si>
  <si>
    <t>* Eeff (Effective vertical electric field) (only the first term in the MASTAR equation has been used)</t>
  </si>
  <si>
    <t>* Vdsat (Saturation drain voltage)  (the "d" term in the MASTAR equation has been omitted)</t>
  </si>
  <si>
    <t>* Rsd impact on Idrain (only the first two demoninator terms from the corresponding MASTAR equation have been used).</t>
  </si>
  <si>
    <t>For the main drain current equation, the expression used in the worksheets is analytically identical to the MASTAR equation.  However by re-arranging the variables, the "K" scaling variable can now be explicitly represented.  A reference for this alternate formulation for drain current can be found in Equations 5-37 and 5-38 on page 256 of the book "Silicon Processing for the VLSI Era: Volume 3" by Wolf.</t>
  </si>
  <si>
    <t>Footnotes</t>
  </si>
  <si>
    <t>Values set by ORTC.  Gate dimensional control is set by the Lithography and FEP Etch ITWGs, and is assumed to have a three sigma value of plus/minus 10%.  Gate dimension variation is assumed to be the primary factor responsible for driving device parameter variation.</t>
  </si>
  <si>
    <t xml:space="preserve">Accounts for gate depletion and inversion-layer thickness effects.   </t>
  </si>
  <si>
    <t>Near-Term Years</t>
  </si>
  <si>
    <t>Long-Term Years</t>
  </si>
  <si>
    <t>Spreadsheet Contacts:  
Jim Chung (508) 841-3283 jim.chung@hp.com   
Peter Zeitzoff (512) 356-3608 peter.zeitzoff@sematech.org</t>
  </si>
  <si>
    <t>*  The previous simple Rsd model has been removed;  Rsd is now a user-specified parameter.</t>
  </si>
  <si>
    <t>*  The previous DIBL model has been removed;  Vt is now the saturation threshold voltage.</t>
  </si>
  <si>
    <t>*  The previous physical oxide model and relative dielectric constant parameter have been removed;  the short-channel constraints now apply directly to EOT.</t>
  </si>
  <si>
    <t>Pstatic-NMOS</t>
  </si>
  <si>
    <t>Pstatic-NMOS-sdleak = Vdd * Idrain-off  * ( 1 + Param-gate-leakage1 )</t>
  </si>
  <si>
    <t>Ratio-Dyn-Stat = Pdynamic-NMOS / Pstatic-NMOS-sdleak</t>
  </si>
  <si>
    <t>*  The NMOS static power dissipation term has been modified to include the gate-current static power dissipation component.</t>
  </si>
  <si>
    <t>Ratio of Normalized Dynamic to Static Power Dissipation
(Drain and Gate Leakage)</t>
  </si>
  <si>
    <t>*  All of the extra year columns have been eliminated; only the official 2003 near-term and far-term years remain.</t>
  </si>
  <si>
    <t>*  All the technology generation entries have been removed, pending their final definition by the ORTC.</t>
  </si>
  <si>
    <t>Effective Saturation Carrier Velocity Enhancement Factor</t>
  </si>
  <si>
    <t>Param-vsat-enhancement</t>
  </si>
  <si>
    <t>vsat = Param-vsat-enhancement * 1e7 (Unadjusted saturation velocity = 1e7cm/sec)</t>
  </si>
  <si>
    <t>*  2003 LOP and LSTP short-channel parameters slightly adjusted to make 2003 reference EOT values match published data.</t>
  </si>
  <si>
    <t>*  Assumed that enhancements in the effective saturation velocity will eventually be possible, which will enable continuation of the historical device performance scaling trend.</t>
  </si>
  <si>
    <t>*  NOTE:  Upcoming spreadsheet revisions may include modifications to the short-channel model as well as to the assumed short-channel scaling constraints on EOT and Xj-eff.</t>
  </si>
  <si>
    <t>(Second Draft) Comments to March 20, 2003 -01 Version:</t>
  </si>
  <si>
    <t>(Third Draft) Comments to March 26, 2003 -01 Version:</t>
  </si>
  <si>
    <t>Thermal Voltage</t>
  </si>
  <si>
    <t>Vthermal</t>
  </si>
  <si>
    <t>PHI-f</t>
  </si>
  <si>
    <t xml:space="preserve">Intrinsic Doping Concentration </t>
  </si>
  <si>
    <t>Nintrinsic</t>
  </si>
  <si>
    <t>Fermi Potential</t>
  </si>
  <si>
    <t>Vflatband</t>
  </si>
  <si>
    <t>Vth-longchannel</t>
  </si>
  <si>
    <t>Long-Channel Threshold Voltage</t>
  </si>
  <si>
    <t>PHI-f = Vthermal * ln[ Nchannel / Nintrinsic ]</t>
  </si>
  <si>
    <t>Vth-longchannel = Vflatband + 2 * PHI-f + ( 1 / Cgate-area-ideal ) * [ 2 * Epsilon-Si * q * Nchannel * ( 2 * PHI-f ) ]^0.5</t>
  </si>
  <si>
    <t>Nchannel</t>
  </si>
  <si>
    <t>Xdep-eff = [ 2 * ( 2 * PHI-f ) * Epsilon-Si / ( q * Nchannel ) ]^0.5</t>
  </si>
  <si>
    <t>Effective Channel Doping</t>
  </si>
  <si>
    <t>Delta-Vth</t>
  </si>
  <si>
    <t>Delta-Vth = Vth-longchannel - Vth</t>
  </si>
  <si>
    <t>EOT-target</t>
  </si>
  <si>
    <t>Param-EOT-target1</t>
  </si>
  <si>
    <t>Param-EOT-target1 = ( Epsilon-Si / Epsilion-SiO2 ) * ( 0.64 * ( 2 * PHI-f ) + 0.8 * Vdd )</t>
  </si>
  <si>
    <t>Param-EOT-target2</t>
  </si>
  <si>
    <t>EOT-target = Delta-Vth / ( Param-EOT-target1 * Param-EOT-target2 ) - Tgate-dep-inv</t>
  </si>
  <si>
    <t>1/A</t>
  </si>
  <si>
    <t>Param-EOT-target2 =0.1* ( 1 + ( Xj-eff / Lgate )^2 ) * ( Xdep-eff / ( Lgate )^2 )</t>
  </si>
  <si>
    <t>Target NMOS Current Drive (Idrain-eff)
(Iterative Reference for Idrain-Vt-define)</t>
  </si>
  <si>
    <t>Reliability Hazard Factors</t>
  </si>
  <si>
    <t>Gate Dielectric Electric Field</t>
  </si>
  <si>
    <t xml:space="preserve">Peak Lateral Channel Electric Field </t>
  </si>
  <si>
    <t>Short-Channel Effect Parameters</t>
  </si>
  <si>
    <t>Effective Flatband Voltage</t>
  </si>
  <si>
    <t>Threshold Voltage Shift due to SCE &amp; DIBL</t>
  </si>
  <si>
    <t>EOT Target Parameter #1
(Bias Dependence)</t>
  </si>
  <si>
    <t>EOT Target Parameter #2
(Xj, Xdep, &amp; Lgate Dependence)</t>
  </si>
  <si>
    <t>EOT (Equivalent Oxide Thickness)</t>
  </si>
  <si>
    <t>Target EOT Required for Threshold Voltage
(Iterative Reference for EOT)</t>
  </si>
  <si>
    <t>Short-Channel Effect 
Xj-eff (or Tsi) to Lgate Ratio</t>
  </si>
  <si>
    <t>Effective Extension Junction Depth
(or Silicon Film Thickness)</t>
  </si>
  <si>
    <t>Effective Channel Depletion Depth</t>
  </si>
  <si>
    <t xml:space="preserve">*  The former simple empirical model for short-channel effects has been replaced with a more complete model based on the short-channel-effect and DIBL portions of the threshold-voltage model contained in the MASTAR program. </t>
  </si>
  <si>
    <t>*  This new model provides a more realistic scaling constraint on oxide thickness, effective junction depth (or silicon-film thickness), and now explicitly includes the effective channel doping concentration as well</t>
  </si>
  <si>
    <t xml:space="preserve">*  The short-channel effect model has been significantly changed. </t>
  </si>
  <si>
    <t>*  Note, that there now exists an EOT target value (color coded Orange) which is a constraint derived from the new short-channel threshold-voltage model.</t>
  </si>
  <si>
    <t>*  The user-specified EOT value must be set to agree self-consistently with the target EOT value.</t>
  </si>
  <si>
    <t>*  The physical gate lengths for the long-term years have been slightly adjusted to bring them in agreement with the ORTC values.</t>
  </si>
  <si>
    <t>*  A slightly more aggressive scaling of the power-supply voltage has been made (to reduce dynamic power dissipation).</t>
  </si>
  <si>
    <t>*  The effective junction depth is assumed to scale as a fixed percentage of the physical gate length.</t>
  </si>
  <si>
    <t>*  A less aggressive scaling of the required EOT value to meet short-channel effects has been assumed (based on FEP feedback).</t>
  </si>
  <si>
    <t>*  An earlier availability of metal gates has been assumed.</t>
  </si>
  <si>
    <t>*  The parasitic gate capacitance component (due to overlap and fringing effects) is no longer assumed to be constant, but is now scaled.</t>
  </si>
  <si>
    <t>*  The ratio between static power due to gate leakage and drain-current leakage (at room temperature) is now chosen so that the two static power dissipation components are equivalent at 100C.</t>
  </si>
  <si>
    <t>*  Summary of threshold-voltage and EOT determination procedure:</t>
  </si>
  <si>
    <t>*  First, the effective junction depth (or silicon-film thickness) is chosen (typically, this is assumed to be a fixed fraction of the physical gate length).</t>
  </si>
  <si>
    <t>*  Next, the user-specified EOT value is entered.</t>
  </si>
  <si>
    <t>*  Next, the target threshold-voltage drain current value (see the appropriate orange row)  is set to agree with the actual drain current value.</t>
  </si>
  <si>
    <t>*  Next, the effective channel doping value is adjusted until the target EOT value (see the appropriate orange colored row) agrees with the user-specified EOT value.</t>
  </si>
  <si>
    <t>*  Next, repeat the above two iteration steps until the EOT and drain-current values are self-consistent with their target values (I.e. make sure that the contents of the appropriate yellow and orange rows agree).</t>
  </si>
  <si>
    <t>*  The EOT target value is generated by the following algorithm:</t>
  </si>
  <si>
    <t>*  The long-channel threshold voltage is calculated using the MASTAR formula.</t>
  </si>
  <si>
    <t>*  The short-channel saturation threshold voltage is calculated based on the user-specified off-state current target, the subthreshold slope, and the drain saturation current value (in a self consistent manner).</t>
  </si>
  <si>
    <t>*  The delta between the long-channel and short-channel threshold voltage values represents the threshold voltage shift due to short-channel and DIBL effects.</t>
  </si>
  <si>
    <t>*  The MASTAR formulas for these short-channel and DIBL effects are used to generate the target EOT value.</t>
  </si>
  <si>
    <t>*  Based on feedback, modifications to certain of the underlying device scaling assumptions have been made:</t>
  </si>
  <si>
    <t>*  Adjustments have been made to the amount of mobility and saturation velocity improvement required to sustain the target device time constant scaling.</t>
  </si>
  <si>
    <t>*  Device reliability hazards have been grouped into their own sub-section.</t>
  </si>
  <si>
    <t>*  The effective flatband voltage parameter (in the long-channel threshold voltage model) is used as a constant fitting parameter to match the 2003 reference data.</t>
  </si>
  <si>
    <t>*  The new model also accounts for the impact of dual-gate/fully-depleted devices on the required channel doping for short-channel effects and the sub-threshold slope.</t>
  </si>
  <si>
    <t>Threshold Voltage Adjustment Factor
(Full Depletion/Dual-Gate Effects) (0-1)</t>
  </si>
  <si>
    <t>*  The 2003 EOT value has been set to 13A (down from 14A).</t>
  </si>
  <si>
    <t>(Fourth Draft) Comments to May 3, 2003 -01 Version:</t>
  </si>
  <si>
    <t>Sub-threshold Slope Adjustment Factor
(Full Depletion/Dual-Gate Effects)(0-1)</t>
  </si>
  <si>
    <t>Param-Dual-Gate1</t>
  </si>
  <si>
    <t>Param-Dual-Gate2</t>
  </si>
  <si>
    <t>Vt = SS * LOG[ ( Idrain * Param-Dual-Gate2 - Vt-define / 100) / Idrain-off ]</t>
  </si>
  <si>
    <t>Param-Dual-Gate3</t>
  </si>
  <si>
    <t>Eeff-adjusted = Eeff * Param-Dual-Gate3</t>
  </si>
  <si>
    <t>SS = Vthermal * ln[ 10 ] * [ 1 + ( Epsilon-Si / Epsilon-SiO2 ) * ( Tgate-inversion / Xdep-eff ) * Param-Dual-Gate1 ]</t>
  </si>
  <si>
    <t>(Fifth Draft) Comments to May 15, 2003 -01 Version:</t>
  </si>
  <si>
    <t>*  An error in the implementation of the sub-threshold slope formula (Row 35) has been identified and corrected for all three worksheets.</t>
  </si>
  <si>
    <t>*  The subthreshold slope formula has been modified to include the impact of dual-gate/fully-depleted device effects.</t>
  </si>
  <si>
    <t>*  There now exist 3 user-specified parameters to account for dual-gate/fully-depleted device effects:</t>
  </si>
  <si>
    <t>*  Param-Dual-Gate1 is a factor that reduces the sub-threshold slope.</t>
  </si>
  <si>
    <t>*  Param-Dual-Gate2 is a factor that accounts for the increased current drive of a dual-gate device on the threshold-voltage definition.</t>
  </si>
  <si>
    <t>*  Param-Dual-Gate3 is a factor that accounts for the reduction in effective electric field (and the increase in mobility) due to dual-gate/fully-depleted device effects.</t>
  </si>
  <si>
    <t>*  The LOP EOT scaling scenario has been slightly changed to make it a more linear function of time (1A/year in short-term years; 2A/3years in long-term years).</t>
  </si>
  <si>
    <t>*  The LSTP EOT scaling scenario has been slightly changed to make it a more linear function of time (1A/year).</t>
  </si>
  <si>
    <t>Physical Lgate (Low-Standby-Power)</t>
  </si>
  <si>
    <t>*  Based on the most recent PIDS and FEP feedback, the following scaling scenario assumptions have been adjusted (or re-confirmed):</t>
  </si>
  <si>
    <t>*  The 2 year lag of LOP and the 3 year lag of LSTP behind the HP physical gate length has been reconfirmed due to leakage/manufacturabilty reasons.</t>
  </si>
  <si>
    <t>*  The LOP-power supply values have been increased for the longer-term years.</t>
  </si>
  <si>
    <t>*  The LSTP power-supply values now match the HP power-supply values based on identical physical gate length (rather than year).</t>
  </si>
  <si>
    <t>*  The HP/LOP/LSTP EOT values now are scaled down with physical gate length to an asymptotic value of 4A (at zero gate length).</t>
  </si>
  <si>
    <t>*  The transistion from poly-gate to metal-gate is now a little more abrupt (there is no 5A transition point).</t>
  </si>
  <si>
    <t>*  The gate/drain static leakage power ratio is set to 10 for HP (comparison is made at high-temperature operation).</t>
  </si>
  <si>
    <t>*  The gate/drain static leakage power ratio is set to 1 for LOP/LSTP (comparison is made at room-temperature operation).</t>
  </si>
  <si>
    <t>*  The LOP off-state drain-current leakage have been reduced to better reflect system low-power requirements.</t>
  </si>
  <si>
    <t>*  The LSTP off-state drain-current leakage values have been reduced to better reflect static low-power system requirements.</t>
  </si>
  <si>
    <t>*  The scaling for parasitic RSD and overlap/edge capacitance have been made less aggressive.</t>
  </si>
  <si>
    <t>*  The onset of high-mobility and high saturation-velocity technologies have been adjusted to maintain the historical performance scaling trend.</t>
  </si>
  <si>
    <t>*  For the HP scaling scenario, some form of dual-gate or fully-depleted device has been assumed to be available to be phased in starting in 2008 (each of the Param-Dual-Gate parameters has been intially set to 0.8 with a transition to 0.5).</t>
  </si>
  <si>
    <t>*  For the LOP and LSTP scaling scenarios, some form of dual-gate device has been assumed to be available by 2012 (each of the Param-Dual-Gate parameters has been set to 0.5).</t>
  </si>
  <si>
    <t>(Sixth Draft) Comments to May 30, 2003 -01 Version:</t>
  </si>
  <si>
    <t>*  The LOP/LSTP EOT gate-length proportional scaling begins at 2006; more gradual year-based scaling occurs from 2003-2005 (to achieve reasonable gate leakage values).</t>
  </si>
  <si>
    <t>Nominal Gate Delay (NAND Gate)</t>
  </si>
  <si>
    <t>NMOS Device Static Power Dissipation due to Drain &amp; Gate Leakage</t>
  </si>
  <si>
    <t>NMOS Device Power Delay Product</t>
  </si>
  <si>
    <t>Joules/um</t>
  </si>
  <si>
    <t>Relative Performance Improvement (compared to 2003)</t>
  </si>
  <si>
    <t>Ratio-Performance</t>
  </si>
  <si>
    <t>Ratio-Performance = Tau-NMOS(2003) / Tau-NMOS</t>
  </si>
  <si>
    <t>(Seventh Draft) Comments to June 20, 2003 -01 Version:</t>
  </si>
  <si>
    <t>*  The LOP off-state drain-current leakage have been returned to the fifth draft values (reflects latest Asian Sub-TWG feedback).</t>
  </si>
  <si>
    <t>*  The LSTP off-state drain-current leakage values have been returned to the fifth draft values (reflects latest Asian Sub-TWG feedback).</t>
  </si>
  <si>
    <t>*  The onset of high-mobility technology has been adjusted earlier to reflect industrial expectations of availability.</t>
  </si>
  <si>
    <t>*  The maximum mobility and saturation velocity enhancement possible due to new technologies has been capped at 2 and 1.3 respectively.</t>
  </si>
  <si>
    <t>*  The 2003 LOP and LSTP reference point device designs have been adjusted to more realistically reflect published results.</t>
  </si>
  <si>
    <t>*  A new workbook page has been added with the proposed technology table entries for the PIDS publication.</t>
  </si>
  <si>
    <t>*  The units for the device power-delay product have been corrected (to Joules/um).</t>
  </si>
  <si>
    <t>*  The relative device performance improvement relative to 2003 is now calculated.</t>
  </si>
  <si>
    <t>LSTP PIDS Worksheet 
Version:  Aug 4, 2003 -01</t>
  </si>
  <si>
    <t xml:space="preserve"> </t>
  </si>
  <si>
    <t xml:space="preserve">  </t>
  </si>
  <si>
    <t>lstp90</t>
  </si>
  <si>
    <t>lstp65</t>
  </si>
  <si>
    <t>lstp45</t>
  </si>
  <si>
    <t>lstp32</t>
  </si>
  <si>
    <t>lstp22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</si>
</sst>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
    <numFmt numFmtId="166" formatCode="0.0"/>
    <numFmt numFmtId="167" formatCode="0.0E+00"/>
  </numFmts>
  <fonts count="3" x14ac:knownFonts="1">
    <font>
      <sz val="10"/>
      <name val="Arial"/>
    </font>
    <font>
      <b/>
      <sz val="10"/>
      <name val="Arial"/>
      <family val="2"/>
    </font>
    <font>
      <sz val="10"/>
      <name val="Arial"/>
      <family val="2"/>
    </font>
  </fonts>
  <fills count="6">
    <fill>
      <patternFill patternType="none"/>
    </fill>
    <fill>
      <patternFill patternType="gray125"/>
    </fill>
    <fill>
      <patternFill patternType="solid">
        <fgColor indexed="13"/>
        <bgColor indexed="64"/>
      </patternFill>
    </fill>
    <fill>
      <patternFill patternType="solid">
        <fgColor indexed="42"/>
        <bgColor indexed="64"/>
      </patternFill>
    </fill>
    <fill>
      <patternFill patternType="solid">
        <fgColor indexed="10"/>
        <bgColor indexed="64"/>
      </patternFill>
    </fill>
    <fill>
      <patternFill patternType="solid">
        <fgColor indexed="52"/>
        <bgColor indexed="64"/>
      </patternFill>
    </fill>
  </fills>
  <borders count="26">
    <border>
      <left/>
      <right/>
      <top/>
      <bottom/>
      <diagonal/>
    </border>
    <border>
      <left style="thick">
        <color indexed="64"/>
      </left>
      <right style="thick">
        <color indexed="64"/>
      </right>
      <top style="thick">
        <color indexed="64"/>
      </top>
      <bottom style="thick">
        <color indexed="64"/>
      </bottom>
      <diagonal/>
    </border>
    <border>
      <left style="thin">
        <color indexed="64"/>
      </left>
      <right style="thin">
        <color indexed="64"/>
      </right>
      <top style="thin">
        <color indexed="64"/>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bottom style="thick">
        <color indexed="64"/>
      </bottom>
      <diagonal/>
    </border>
    <border>
      <left style="thick">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ck">
        <color indexed="64"/>
      </left>
      <right/>
      <top style="thick">
        <color indexed="64"/>
      </top>
      <bottom style="thick">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right style="thin">
        <color indexed="64"/>
      </right>
      <top style="thick">
        <color indexed="64"/>
      </top>
      <bottom style="thin">
        <color indexed="64"/>
      </bottom>
      <diagonal/>
    </border>
    <border>
      <left/>
      <right style="thin">
        <color indexed="64"/>
      </right>
      <top style="thin">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s>
  <cellStyleXfs count="1">
    <xf numFmtId="0" fontId="0" fillId="0" borderId="0"/>
  </cellStyleXfs>
  <cellXfs count="240">
    <xf numFmtId="0" fontId="0" fillId="0" borderId="0" xfId="0"/>
    <xf numFmtId="0" fontId="0" fillId="0" borderId="0" xfId="0" applyAlignment="1">
      <alignment vertical="center" wrapText="1"/>
    </xf>
    <xf numFmtId="0" fontId="0" fillId="0" borderId="0" xfId="0" applyAlignment="1">
      <alignment horizontal="center" vertical="center"/>
    </xf>
    <xf numFmtId="0" fontId="0" fillId="0" borderId="0" xfId="0" applyFill="1"/>
    <xf numFmtId="0" fontId="0" fillId="0" borderId="1" xfId="0" applyBorder="1" applyAlignment="1">
      <alignment vertical="center" wrapText="1"/>
    </xf>
    <xf numFmtId="0" fontId="0" fillId="0" borderId="1" xfId="0" applyBorder="1" applyAlignment="1">
      <alignment horizontal="center" vertical="center"/>
    </xf>
    <xf numFmtId="0" fontId="0" fillId="2" borderId="1" xfId="0" applyFill="1" applyBorder="1" applyAlignment="1">
      <alignment vertical="center" wrapText="1"/>
    </xf>
    <xf numFmtId="0" fontId="0" fillId="2" borderId="1" xfId="0" applyFill="1" applyBorder="1" applyAlignment="1">
      <alignment horizontal="center" vertical="center"/>
    </xf>
    <xf numFmtId="0" fontId="0" fillId="0" borderId="1" xfId="0" applyFill="1" applyBorder="1" applyAlignment="1">
      <alignment vertical="center" wrapText="1"/>
    </xf>
    <xf numFmtId="0" fontId="0" fillId="0" borderId="1" xfId="0" applyFill="1" applyBorder="1" applyAlignment="1">
      <alignment horizontal="center" vertical="center"/>
    </xf>
    <xf numFmtId="0" fontId="1" fillId="0" borderId="1" xfId="0" applyFont="1" applyBorder="1" applyAlignment="1">
      <alignment vertical="center" wrapText="1"/>
    </xf>
    <xf numFmtId="0" fontId="0" fillId="3" borderId="1" xfId="0" applyFill="1" applyBorder="1" applyAlignment="1">
      <alignment vertical="center" wrapText="1"/>
    </xf>
    <xf numFmtId="0" fontId="0" fillId="3" borderId="1" xfId="0" applyFill="1" applyBorder="1" applyAlignment="1">
      <alignment horizontal="center" vertical="center"/>
    </xf>
    <xf numFmtId="0" fontId="1" fillId="0" borderId="1" xfId="0" applyFont="1" applyFill="1" applyBorder="1" applyAlignment="1">
      <alignment vertical="center" wrapText="1"/>
    </xf>
    <xf numFmtId="0" fontId="0" fillId="4" borderId="1" xfId="0" applyFill="1" applyBorder="1" applyAlignment="1">
      <alignment vertical="center" wrapText="1"/>
    </xf>
    <xf numFmtId="0" fontId="0" fillId="4" borderId="1" xfId="0" applyFill="1" applyBorder="1" applyAlignment="1">
      <alignment horizontal="center" vertical="center"/>
    </xf>
    <xf numFmtId="0" fontId="1" fillId="0" borderId="0" xfId="0" applyFont="1" applyAlignment="1">
      <alignment horizontal="center" vertical="center"/>
    </xf>
    <xf numFmtId="1" fontId="2" fillId="0" borderId="2" xfId="0" applyNumberFormat="1" applyFont="1" applyFill="1" applyBorder="1" applyAlignment="1">
      <alignment horizontal="center" vertical="center"/>
    </xf>
    <xf numFmtId="0" fontId="2" fillId="2" borderId="2" xfId="0" applyFont="1" applyFill="1" applyBorder="1" applyAlignment="1">
      <alignment horizontal="center" vertical="center"/>
    </xf>
    <xf numFmtId="2" fontId="2" fillId="2" borderId="2" xfId="0" applyNumberFormat="1" applyFont="1" applyFill="1" applyBorder="1" applyAlignment="1">
      <alignment horizontal="center" vertical="center"/>
    </xf>
    <xf numFmtId="1" fontId="2" fillId="4" borderId="2" xfId="0" applyNumberFormat="1" applyFont="1" applyFill="1" applyBorder="1" applyAlignment="1">
      <alignment horizontal="center" vertical="center"/>
    </xf>
    <xf numFmtId="1" fontId="2" fillId="0" borderId="2" xfId="0" applyNumberFormat="1" applyFont="1" applyBorder="1" applyAlignment="1">
      <alignment horizontal="center" vertical="center"/>
    </xf>
    <xf numFmtId="2" fontId="2" fillId="0" borderId="2" xfId="0" applyNumberFormat="1" applyFont="1" applyBorder="1" applyAlignment="1">
      <alignment horizontal="center" vertical="center"/>
    </xf>
    <xf numFmtId="0" fontId="2" fillId="0" borderId="2" xfId="0" applyFont="1" applyBorder="1"/>
    <xf numFmtId="167" fontId="2" fillId="0" borderId="2" xfId="0" applyNumberFormat="1" applyFont="1" applyFill="1" applyBorder="1" applyAlignment="1">
      <alignment horizontal="center" vertical="center"/>
    </xf>
    <xf numFmtId="2" fontId="2" fillId="0" borderId="2" xfId="0" applyNumberFormat="1" applyFont="1" applyFill="1" applyBorder="1" applyAlignment="1">
      <alignment horizontal="center" vertical="center"/>
    </xf>
    <xf numFmtId="166" fontId="2" fillId="0" borderId="2" xfId="0" applyNumberFormat="1" applyFont="1" applyFill="1" applyBorder="1" applyAlignment="1">
      <alignment horizontal="center" vertical="center"/>
    </xf>
    <xf numFmtId="166" fontId="2" fillId="0" borderId="2" xfId="0" applyNumberFormat="1" applyFont="1" applyBorder="1" applyAlignment="1">
      <alignment horizontal="center" vertical="center"/>
    </xf>
    <xf numFmtId="11" fontId="2" fillId="0" borderId="2" xfId="0" applyNumberFormat="1" applyFont="1" applyFill="1" applyBorder="1" applyAlignment="1">
      <alignment horizontal="center" vertical="center"/>
    </xf>
    <xf numFmtId="11" fontId="2" fillId="0" borderId="2" xfId="0" applyNumberFormat="1" applyFont="1" applyBorder="1" applyAlignment="1">
      <alignment horizontal="center" vertical="center"/>
    </xf>
    <xf numFmtId="0" fontId="2" fillId="0" borderId="0" xfId="0" applyFont="1"/>
    <xf numFmtId="0" fontId="0" fillId="3" borderId="3" xfId="0" applyFill="1" applyBorder="1" applyAlignment="1">
      <alignment vertical="center" wrapText="1"/>
    </xf>
    <xf numFmtId="0" fontId="0" fillId="3" borderId="3" xfId="0" applyFill="1" applyBorder="1" applyAlignment="1">
      <alignment horizontal="center" vertical="center"/>
    </xf>
    <xf numFmtId="0" fontId="1" fillId="0" borderId="0" xfId="0" applyFont="1" applyAlignment="1">
      <alignment vertical="center" wrapText="1"/>
    </xf>
    <xf numFmtId="0" fontId="0" fillId="5" borderId="1" xfId="0" applyFill="1" applyBorder="1" applyAlignment="1">
      <alignment vertical="center" wrapText="1"/>
    </xf>
    <xf numFmtId="0" fontId="0" fillId="5" borderId="1" xfId="0" applyFill="1" applyBorder="1" applyAlignment="1">
      <alignment horizontal="center" vertical="center"/>
    </xf>
    <xf numFmtId="166" fontId="2" fillId="2" borderId="2" xfId="0" applyNumberFormat="1" applyFont="1" applyFill="1" applyBorder="1" applyAlignment="1">
      <alignment horizontal="center" vertical="center"/>
    </xf>
    <xf numFmtId="2" fontId="2" fillId="5" borderId="2" xfId="0" applyNumberFormat="1" applyFont="1" applyFill="1" applyBorder="1" applyAlignment="1">
      <alignment horizontal="center" vertical="center"/>
    </xf>
    <xf numFmtId="0" fontId="0" fillId="0" borderId="0" xfId="0" applyAlignment="1">
      <alignment horizontal="left" vertical="center"/>
    </xf>
    <xf numFmtId="0" fontId="0" fillId="0" borderId="1" xfId="0" applyBorder="1" applyAlignment="1">
      <alignment horizontal="left" vertical="center"/>
    </xf>
    <xf numFmtId="0" fontId="0" fillId="4" borderId="1" xfId="0" applyFill="1" applyBorder="1" applyAlignment="1">
      <alignment horizontal="left" vertical="center"/>
    </xf>
    <xf numFmtId="0" fontId="0" fillId="0" borderId="1" xfId="0" applyFill="1" applyBorder="1" applyAlignment="1">
      <alignment horizontal="left" vertical="center"/>
    </xf>
    <xf numFmtId="0" fontId="0" fillId="0" borderId="0" xfId="0" applyFill="1" applyAlignment="1">
      <alignment horizontal="left" vertical="center"/>
    </xf>
    <xf numFmtId="0" fontId="0" fillId="2" borderId="1" xfId="0" applyFill="1" applyBorder="1" applyAlignment="1">
      <alignment horizontal="left" vertical="center"/>
    </xf>
    <xf numFmtId="0" fontId="0" fillId="3" borderId="1" xfId="0" applyFill="1" applyBorder="1" applyAlignment="1">
      <alignment horizontal="left" vertical="center"/>
    </xf>
    <xf numFmtId="0" fontId="0" fillId="5" borderId="1" xfId="0" applyFill="1" applyBorder="1" applyAlignment="1">
      <alignment horizontal="left" vertical="center"/>
    </xf>
    <xf numFmtId="0" fontId="0" fillId="4" borderId="4" xfId="0" applyFill="1" applyBorder="1" applyAlignment="1">
      <alignment vertical="center" wrapText="1"/>
    </xf>
    <xf numFmtId="0" fontId="0" fillId="4" borderId="4" xfId="0" applyFill="1" applyBorder="1" applyAlignment="1">
      <alignment horizontal="center" vertical="center"/>
    </xf>
    <xf numFmtId="0" fontId="0" fillId="4" borderId="4" xfId="0" applyFill="1" applyBorder="1" applyAlignment="1">
      <alignment horizontal="left" vertical="center"/>
    </xf>
    <xf numFmtId="0" fontId="1" fillId="0" borderId="5" xfId="0" applyFont="1" applyBorder="1" applyAlignment="1">
      <alignment horizontal="center" vertical="center"/>
    </xf>
    <xf numFmtId="0" fontId="1" fillId="2" borderId="5" xfId="0" applyFont="1" applyFill="1" applyBorder="1" applyAlignment="1">
      <alignment horizontal="center" vertical="center"/>
    </xf>
    <xf numFmtId="0" fontId="1" fillId="4" borderId="5" xfId="0" applyFont="1" applyFill="1" applyBorder="1" applyAlignment="1">
      <alignment horizontal="center" vertical="center"/>
    </xf>
    <xf numFmtId="0" fontId="1" fillId="0" borderId="5" xfId="0" applyFont="1" applyFill="1" applyBorder="1" applyAlignment="1">
      <alignment horizontal="center" vertical="center"/>
    </xf>
    <xf numFmtId="2" fontId="1" fillId="0" borderId="5" xfId="0" applyNumberFormat="1" applyFont="1" applyFill="1" applyBorder="1" applyAlignment="1">
      <alignment horizontal="center" vertical="center"/>
    </xf>
    <xf numFmtId="166" fontId="1" fillId="0" borderId="5" xfId="0" applyNumberFormat="1" applyFont="1" applyFill="1" applyBorder="1" applyAlignment="1">
      <alignment horizontal="center" vertical="center"/>
    </xf>
    <xf numFmtId="1" fontId="1" fillId="2" borderId="5" xfId="0" applyNumberFormat="1" applyFont="1" applyFill="1" applyBorder="1" applyAlignment="1">
      <alignment horizontal="center" vertical="center"/>
    </xf>
    <xf numFmtId="1" fontId="1" fillId="4" borderId="5" xfId="0" applyNumberFormat="1" applyFont="1" applyFill="1" applyBorder="1" applyAlignment="1">
      <alignment horizontal="center" vertical="center"/>
    </xf>
    <xf numFmtId="11" fontId="1" fillId="0" borderId="5" xfId="0" applyNumberFormat="1" applyFont="1" applyFill="1" applyBorder="1" applyAlignment="1">
      <alignment horizontal="center" vertical="center"/>
    </xf>
    <xf numFmtId="1" fontId="1" fillId="0" borderId="5" xfId="0" applyNumberFormat="1" applyFont="1" applyFill="1" applyBorder="1" applyAlignment="1">
      <alignment horizontal="center" vertical="center"/>
    </xf>
    <xf numFmtId="167" fontId="1" fillId="0" borderId="5" xfId="0" applyNumberFormat="1" applyFont="1" applyFill="1" applyBorder="1" applyAlignment="1">
      <alignment horizontal="center" vertical="center"/>
    </xf>
    <xf numFmtId="1" fontId="1" fillId="0" borderId="5" xfId="0" applyNumberFormat="1" applyFont="1" applyBorder="1" applyAlignment="1">
      <alignment horizontal="center" vertical="center"/>
    </xf>
    <xf numFmtId="1" fontId="1" fillId="5" borderId="5" xfId="0" applyNumberFormat="1" applyFont="1" applyFill="1" applyBorder="1" applyAlignment="1">
      <alignment horizontal="center" vertical="center"/>
    </xf>
    <xf numFmtId="2" fontId="1" fillId="0" borderId="5" xfId="0" applyNumberFormat="1" applyFont="1" applyBorder="1" applyAlignment="1">
      <alignment horizontal="center" vertical="center"/>
    </xf>
    <xf numFmtId="166" fontId="1" fillId="0" borderId="5" xfId="0" applyNumberFormat="1" applyFont="1" applyBorder="1" applyAlignment="1">
      <alignment horizontal="center" vertical="center"/>
    </xf>
    <xf numFmtId="166" fontId="1" fillId="2" borderId="5" xfId="0" applyNumberFormat="1" applyFont="1" applyFill="1" applyBorder="1" applyAlignment="1">
      <alignment horizontal="center" vertical="center"/>
    </xf>
    <xf numFmtId="167" fontId="1" fillId="2" borderId="5" xfId="0" applyNumberFormat="1" applyFont="1" applyFill="1" applyBorder="1" applyAlignment="1">
      <alignment horizontal="center" vertical="center"/>
    </xf>
    <xf numFmtId="167" fontId="1" fillId="0" borderId="5" xfId="0" applyNumberFormat="1" applyFont="1" applyBorder="1" applyAlignment="1">
      <alignment horizontal="center" vertical="center"/>
    </xf>
    <xf numFmtId="2" fontId="1" fillId="5" borderId="5" xfId="0" applyNumberFormat="1" applyFont="1" applyFill="1" applyBorder="1" applyAlignment="1">
      <alignment horizontal="center" vertical="center"/>
    </xf>
    <xf numFmtId="166" fontId="1" fillId="4" borderId="5" xfId="0" applyNumberFormat="1" applyFont="1" applyFill="1" applyBorder="1" applyAlignment="1">
      <alignment horizontal="center" vertical="center"/>
    </xf>
    <xf numFmtId="166" fontId="1" fillId="5" borderId="5" xfId="0" applyNumberFormat="1" applyFont="1" applyFill="1" applyBorder="1" applyAlignment="1">
      <alignment horizontal="center" vertical="center"/>
    </xf>
    <xf numFmtId="167" fontId="1" fillId="4" borderId="5" xfId="0" applyNumberFormat="1" applyFont="1" applyFill="1" applyBorder="1" applyAlignment="1">
      <alignment horizontal="center" vertical="center"/>
    </xf>
    <xf numFmtId="11" fontId="1" fillId="0" borderId="5" xfId="0" applyNumberFormat="1" applyFont="1" applyBorder="1" applyAlignment="1">
      <alignment horizontal="center" vertical="center"/>
    </xf>
    <xf numFmtId="0" fontId="1" fillId="0" borderId="1" xfId="0" applyFont="1" applyBorder="1" applyAlignment="1">
      <alignment horizontal="center" vertical="center"/>
    </xf>
    <xf numFmtId="2" fontId="1" fillId="3" borderId="5" xfId="0" applyNumberFormat="1" applyFont="1" applyFill="1" applyBorder="1" applyAlignment="1">
      <alignment horizontal="center" vertical="center"/>
    </xf>
    <xf numFmtId="166" fontId="1" fillId="3" borderId="5" xfId="0" applyNumberFormat="1" applyFont="1" applyFill="1" applyBorder="1" applyAlignment="1">
      <alignment horizontal="center" vertical="center"/>
    </xf>
    <xf numFmtId="1" fontId="1" fillId="3" borderId="5" xfId="0" applyNumberFormat="1" applyFont="1" applyFill="1" applyBorder="1" applyAlignment="1">
      <alignment horizontal="center" vertical="center"/>
    </xf>
    <xf numFmtId="1" fontId="2" fillId="2" borderId="2" xfId="0" applyNumberFormat="1" applyFont="1" applyFill="1" applyBorder="1" applyAlignment="1">
      <alignment horizontal="center" vertical="center"/>
    </xf>
    <xf numFmtId="1" fontId="2" fillId="5" borderId="2" xfId="0" applyNumberFormat="1" applyFont="1" applyFill="1" applyBorder="1" applyAlignment="1">
      <alignment horizontal="center" vertical="center"/>
    </xf>
    <xf numFmtId="167" fontId="2" fillId="0" borderId="2" xfId="0" applyNumberFormat="1" applyFont="1" applyBorder="1" applyAlignment="1">
      <alignment horizontal="center" vertical="center"/>
    </xf>
    <xf numFmtId="2" fontId="2" fillId="4" borderId="2" xfId="0" applyNumberFormat="1" applyFont="1" applyFill="1" applyBorder="1" applyAlignment="1">
      <alignment horizontal="center" vertical="center"/>
    </xf>
    <xf numFmtId="166" fontId="2" fillId="4" borderId="2" xfId="0" applyNumberFormat="1" applyFont="1" applyFill="1" applyBorder="1" applyAlignment="1">
      <alignment horizontal="center" vertical="center"/>
    </xf>
    <xf numFmtId="166" fontId="2" fillId="5" borderId="2" xfId="0" applyNumberFormat="1" applyFont="1" applyFill="1" applyBorder="1" applyAlignment="1">
      <alignment horizontal="center" vertical="center"/>
    </xf>
    <xf numFmtId="167" fontId="2" fillId="4" borderId="2" xfId="0" applyNumberFormat="1" applyFont="1" applyFill="1" applyBorder="1" applyAlignment="1">
      <alignment horizontal="center" vertical="center"/>
    </xf>
    <xf numFmtId="11" fontId="1" fillId="3" borderId="5" xfId="0" applyNumberFormat="1" applyFont="1" applyFill="1" applyBorder="1" applyAlignment="1">
      <alignment horizontal="center" vertical="center"/>
    </xf>
    <xf numFmtId="0" fontId="1" fillId="3" borderId="5" xfId="0" applyFont="1" applyFill="1" applyBorder="1" applyAlignment="1">
      <alignment horizontal="center" vertical="center"/>
    </xf>
    <xf numFmtId="2" fontId="2" fillId="0" borderId="6" xfId="0" applyNumberFormat="1" applyFont="1" applyBorder="1" applyAlignment="1">
      <alignment horizontal="center" vertical="center"/>
    </xf>
    <xf numFmtId="2" fontId="1" fillId="2" borderId="5" xfId="0" applyNumberFormat="1" applyFont="1" applyFill="1" applyBorder="1" applyAlignment="1">
      <alignment horizontal="center" vertical="center"/>
    </xf>
    <xf numFmtId="0" fontId="1" fillId="0" borderId="1" xfId="0" applyFont="1" applyBorder="1" applyAlignment="1">
      <alignment horizontal="center" vertical="center" wrapText="1"/>
    </xf>
    <xf numFmtId="0" fontId="1" fillId="0" borderId="0" xfId="0" applyFont="1"/>
    <xf numFmtId="0" fontId="1" fillId="0" borderId="0" xfId="0" applyFont="1" applyAlignment="1">
      <alignment horizontal="center" vertical="center" wrapText="1"/>
    </xf>
    <xf numFmtId="0" fontId="0" fillId="0" borderId="0" xfId="0" applyFill="1" applyAlignment="1">
      <alignment vertical="center" wrapText="1"/>
    </xf>
    <xf numFmtId="1" fontId="2" fillId="4" borderId="7" xfId="0" applyNumberFormat="1" applyFont="1" applyFill="1" applyBorder="1" applyAlignment="1">
      <alignment horizontal="center" vertical="center"/>
    </xf>
    <xf numFmtId="1" fontId="2" fillId="0" borderId="7" xfId="0" applyNumberFormat="1" applyFont="1" applyFill="1" applyBorder="1" applyAlignment="1">
      <alignment horizontal="center" vertical="center"/>
    </xf>
    <xf numFmtId="2" fontId="2" fillId="0" borderId="7" xfId="0" applyNumberFormat="1" applyFont="1" applyFill="1" applyBorder="1" applyAlignment="1">
      <alignment horizontal="center" vertical="center"/>
    </xf>
    <xf numFmtId="166" fontId="2" fillId="0" borderId="7" xfId="0" applyNumberFormat="1" applyFont="1" applyFill="1" applyBorder="1" applyAlignment="1">
      <alignment horizontal="center" vertical="center"/>
    </xf>
    <xf numFmtId="166" fontId="2" fillId="0" borderId="7" xfId="0" applyNumberFormat="1" applyFont="1" applyBorder="1" applyAlignment="1">
      <alignment horizontal="center" vertical="center"/>
    </xf>
    <xf numFmtId="0" fontId="2" fillId="2" borderId="7" xfId="0" applyFont="1" applyFill="1" applyBorder="1" applyAlignment="1">
      <alignment horizontal="center" vertical="center"/>
    </xf>
    <xf numFmtId="11" fontId="2" fillId="0" borderId="7" xfId="0" applyNumberFormat="1" applyFont="1" applyFill="1" applyBorder="1" applyAlignment="1">
      <alignment horizontal="center" vertical="center"/>
    </xf>
    <xf numFmtId="167" fontId="2" fillId="0" borderId="7" xfId="0" applyNumberFormat="1" applyFont="1" applyFill="1" applyBorder="1" applyAlignment="1">
      <alignment horizontal="center" vertical="center"/>
    </xf>
    <xf numFmtId="1" fontId="2" fillId="0" borderId="7" xfId="0" applyNumberFormat="1" applyFont="1" applyBorder="1" applyAlignment="1">
      <alignment horizontal="center" vertical="center"/>
    </xf>
    <xf numFmtId="1" fontId="2" fillId="2" borderId="7" xfId="0" applyNumberFormat="1" applyFont="1" applyFill="1" applyBorder="1" applyAlignment="1">
      <alignment horizontal="center" vertical="center"/>
    </xf>
    <xf numFmtId="1" fontId="2" fillId="5" borderId="7" xfId="0" applyNumberFormat="1" applyFont="1" applyFill="1" applyBorder="1" applyAlignment="1">
      <alignment horizontal="center" vertical="center"/>
    </xf>
    <xf numFmtId="0" fontId="2" fillId="0" borderId="7" xfId="0" applyFont="1" applyBorder="1"/>
    <xf numFmtId="166" fontId="2" fillId="2" borderId="7" xfId="0" applyNumberFormat="1" applyFont="1" applyFill="1" applyBorder="1" applyAlignment="1">
      <alignment horizontal="center" vertical="center"/>
    </xf>
    <xf numFmtId="2" fontId="2" fillId="0" borderId="7" xfId="0" applyNumberFormat="1" applyFont="1" applyBorder="1" applyAlignment="1">
      <alignment horizontal="center" vertical="center"/>
    </xf>
    <xf numFmtId="167" fontId="2" fillId="0" borderId="7" xfId="0" applyNumberFormat="1" applyFont="1" applyBorder="1" applyAlignment="1">
      <alignment horizontal="center" vertical="center"/>
    </xf>
    <xf numFmtId="2" fontId="2" fillId="4" borderId="7" xfId="0" applyNumberFormat="1" applyFont="1" applyFill="1" applyBorder="1" applyAlignment="1">
      <alignment horizontal="center" vertical="center"/>
    </xf>
    <xf numFmtId="2" fontId="2" fillId="5" borderId="7" xfId="0" applyNumberFormat="1" applyFont="1" applyFill="1" applyBorder="1" applyAlignment="1">
      <alignment horizontal="center" vertical="center"/>
    </xf>
    <xf numFmtId="166" fontId="2" fillId="4" borderId="7" xfId="0" applyNumberFormat="1" applyFont="1" applyFill="1" applyBorder="1" applyAlignment="1">
      <alignment horizontal="center" vertical="center"/>
    </xf>
    <xf numFmtId="166" fontId="2" fillId="5" borderId="7" xfId="0" applyNumberFormat="1" applyFont="1" applyFill="1" applyBorder="1" applyAlignment="1">
      <alignment horizontal="center" vertical="center"/>
    </xf>
    <xf numFmtId="167" fontId="2" fillId="4" borderId="7" xfId="0" applyNumberFormat="1" applyFont="1" applyFill="1" applyBorder="1" applyAlignment="1">
      <alignment horizontal="center" vertical="center"/>
    </xf>
    <xf numFmtId="11" fontId="2" fillId="0" borderId="7" xfId="0" applyNumberFormat="1" applyFont="1" applyBorder="1" applyAlignment="1">
      <alignment horizontal="center" vertical="center"/>
    </xf>
    <xf numFmtId="1" fontId="2" fillId="4" borderId="5" xfId="0" applyNumberFormat="1" applyFont="1" applyFill="1" applyBorder="1" applyAlignment="1">
      <alignment horizontal="center" vertical="center"/>
    </xf>
    <xf numFmtId="1" fontId="2" fillId="0" borderId="5" xfId="0" applyNumberFormat="1" applyFont="1" applyFill="1" applyBorder="1" applyAlignment="1">
      <alignment horizontal="center" vertical="center"/>
    </xf>
    <xf numFmtId="2" fontId="2" fillId="0" borderId="5" xfId="0" applyNumberFormat="1" applyFont="1" applyFill="1" applyBorder="1" applyAlignment="1">
      <alignment horizontal="center" vertical="center"/>
    </xf>
    <xf numFmtId="166" fontId="2" fillId="0" borderId="5" xfId="0" applyNumberFormat="1" applyFont="1" applyFill="1" applyBorder="1" applyAlignment="1">
      <alignment horizontal="center" vertical="center"/>
    </xf>
    <xf numFmtId="166" fontId="2" fillId="0" borderId="5" xfId="0" applyNumberFormat="1" applyFont="1" applyBorder="1" applyAlignment="1">
      <alignment horizontal="center" vertical="center"/>
    </xf>
    <xf numFmtId="0" fontId="2" fillId="2" borderId="5" xfId="0" applyFont="1" applyFill="1" applyBorder="1" applyAlignment="1">
      <alignment horizontal="center" vertical="center"/>
    </xf>
    <xf numFmtId="11" fontId="2" fillId="0" borderId="5" xfId="0" applyNumberFormat="1" applyFont="1" applyFill="1" applyBorder="1" applyAlignment="1">
      <alignment horizontal="center" vertical="center"/>
    </xf>
    <xf numFmtId="167" fontId="2" fillId="0" borderId="5" xfId="0" applyNumberFormat="1" applyFont="1" applyFill="1" applyBorder="1" applyAlignment="1">
      <alignment horizontal="center" vertical="center"/>
    </xf>
    <xf numFmtId="1" fontId="2" fillId="0" borderId="5" xfId="0" applyNumberFormat="1" applyFont="1" applyBorder="1" applyAlignment="1">
      <alignment horizontal="center" vertical="center"/>
    </xf>
    <xf numFmtId="1" fontId="2" fillId="2" borderId="5" xfId="0" applyNumberFormat="1" applyFont="1" applyFill="1" applyBorder="1" applyAlignment="1">
      <alignment horizontal="center" vertical="center"/>
    </xf>
    <xf numFmtId="1" fontId="2" fillId="5" borderId="5" xfId="0" applyNumberFormat="1" applyFont="1" applyFill="1" applyBorder="1" applyAlignment="1">
      <alignment horizontal="center" vertical="center"/>
    </xf>
    <xf numFmtId="2" fontId="2" fillId="0" borderId="5" xfId="0" applyNumberFormat="1" applyFont="1" applyBorder="1" applyAlignment="1">
      <alignment horizontal="center" vertical="center"/>
    </xf>
    <xf numFmtId="0" fontId="2" fillId="0" borderId="5" xfId="0" applyFont="1" applyBorder="1"/>
    <xf numFmtId="166" fontId="2" fillId="2" borderId="5" xfId="0" applyNumberFormat="1" applyFont="1" applyFill="1" applyBorder="1" applyAlignment="1">
      <alignment horizontal="center" vertical="center"/>
    </xf>
    <xf numFmtId="167" fontId="2" fillId="0" borderId="5" xfId="0" applyNumberFormat="1" applyFont="1" applyBorder="1" applyAlignment="1">
      <alignment horizontal="center" vertical="center"/>
    </xf>
    <xf numFmtId="2" fontId="2" fillId="4" borderId="5" xfId="0" applyNumberFormat="1" applyFont="1" applyFill="1" applyBorder="1" applyAlignment="1">
      <alignment horizontal="center" vertical="center"/>
    </xf>
    <xf numFmtId="2" fontId="2" fillId="5" borderId="5" xfId="0" applyNumberFormat="1" applyFont="1" applyFill="1" applyBorder="1" applyAlignment="1">
      <alignment horizontal="center" vertical="center"/>
    </xf>
    <xf numFmtId="166" fontId="2" fillId="4" borderId="5" xfId="0" applyNumberFormat="1" applyFont="1" applyFill="1" applyBorder="1" applyAlignment="1">
      <alignment horizontal="center" vertical="center"/>
    </xf>
    <xf numFmtId="166" fontId="2" fillId="5" borderId="5" xfId="0" applyNumberFormat="1" applyFont="1" applyFill="1" applyBorder="1" applyAlignment="1">
      <alignment horizontal="center" vertical="center"/>
    </xf>
    <xf numFmtId="167" fontId="2" fillId="4" borderId="5" xfId="0" applyNumberFormat="1" applyFont="1" applyFill="1" applyBorder="1" applyAlignment="1">
      <alignment horizontal="center" vertical="center"/>
    </xf>
    <xf numFmtId="11" fontId="2" fillId="0" borderId="5" xfId="0" applyNumberFormat="1" applyFont="1" applyBorder="1" applyAlignment="1">
      <alignment horizontal="center" vertical="center"/>
    </xf>
    <xf numFmtId="0" fontId="1" fillId="4" borderId="8" xfId="0" applyFont="1" applyFill="1" applyBorder="1" applyAlignment="1">
      <alignment horizontal="center" vertical="center"/>
    </xf>
    <xf numFmtId="1" fontId="2" fillId="4" borderId="9" xfId="0" applyNumberFormat="1" applyFont="1" applyFill="1" applyBorder="1" applyAlignment="1">
      <alignment horizontal="center" vertical="center"/>
    </xf>
    <xf numFmtId="1" fontId="2" fillId="4" borderId="8" xfId="0" applyNumberFormat="1" applyFont="1" applyFill="1" applyBorder="1" applyAlignment="1">
      <alignment horizontal="center" vertical="center"/>
    </xf>
    <xf numFmtId="166" fontId="2" fillId="2" borderId="6" xfId="0" applyNumberFormat="1" applyFont="1" applyFill="1" applyBorder="1" applyAlignment="1">
      <alignment horizontal="center" vertical="center"/>
    </xf>
    <xf numFmtId="164" fontId="1" fillId="3" borderId="5" xfId="0" applyNumberFormat="1" applyFont="1" applyFill="1" applyBorder="1" applyAlignment="1">
      <alignment horizontal="center" vertical="center"/>
    </xf>
    <xf numFmtId="164" fontId="2" fillId="0" borderId="2" xfId="0" applyNumberFormat="1" applyFont="1" applyFill="1" applyBorder="1" applyAlignment="1">
      <alignment horizontal="center" vertical="center"/>
    </xf>
    <xf numFmtId="164" fontId="1" fillId="0" borderId="5" xfId="0" applyNumberFormat="1" applyFont="1" applyBorder="1" applyAlignment="1">
      <alignment horizontal="center" vertical="center"/>
    </xf>
    <xf numFmtId="167" fontId="2" fillId="2" borderId="2" xfId="0" applyNumberFormat="1" applyFont="1" applyFill="1" applyBorder="1" applyAlignment="1">
      <alignment horizontal="center" vertical="center"/>
    </xf>
    <xf numFmtId="166" fontId="1" fillId="0" borderId="2" xfId="0" applyNumberFormat="1" applyFont="1" applyBorder="1" applyAlignment="1">
      <alignment horizontal="center" vertical="center"/>
    </xf>
    <xf numFmtId="166" fontId="1" fillId="0" borderId="6" xfId="0" applyNumberFormat="1" applyFont="1" applyBorder="1" applyAlignment="1">
      <alignment horizontal="center" vertical="center"/>
    </xf>
    <xf numFmtId="164" fontId="2" fillId="0" borderId="2" xfId="0" applyNumberFormat="1" applyFont="1" applyBorder="1" applyAlignment="1">
      <alignment horizontal="center" vertical="center"/>
    </xf>
    <xf numFmtId="164" fontId="2" fillId="0" borderId="6" xfId="0" applyNumberFormat="1" applyFont="1" applyBorder="1" applyAlignment="1">
      <alignment horizontal="center" vertical="center"/>
    </xf>
    <xf numFmtId="1" fontId="2" fillId="2" borderId="6" xfId="0" applyNumberFormat="1" applyFont="1" applyFill="1" applyBorder="1" applyAlignment="1">
      <alignment horizontal="center" vertical="center"/>
    </xf>
    <xf numFmtId="1" fontId="2" fillId="0" borderId="6" xfId="0" applyNumberFormat="1" applyFont="1" applyBorder="1" applyAlignment="1">
      <alignment horizontal="center" vertical="center"/>
    </xf>
    <xf numFmtId="2" fontId="2" fillId="2" borderId="6" xfId="0" applyNumberFormat="1" applyFont="1" applyFill="1" applyBorder="1" applyAlignment="1">
      <alignment horizontal="center" vertical="center"/>
    </xf>
    <xf numFmtId="0" fontId="2" fillId="0" borderId="5" xfId="0" applyFont="1" applyFill="1" applyBorder="1" applyAlignment="1">
      <alignment horizontal="center" vertical="center"/>
    </xf>
    <xf numFmtId="167" fontId="2" fillId="2" borderId="6" xfId="0" applyNumberFormat="1" applyFont="1" applyFill="1" applyBorder="1" applyAlignment="1">
      <alignment horizontal="center" vertical="center"/>
    </xf>
    <xf numFmtId="1" fontId="2" fillId="0" borderId="6" xfId="0" applyNumberFormat="1" applyFont="1" applyFill="1" applyBorder="1" applyAlignment="1">
      <alignment horizontal="center" vertical="center"/>
    </xf>
    <xf numFmtId="11" fontId="2" fillId="0" borderId="6" xfId="0" applyNumberFormat="1" applyFont="1" applyBorder="1" applyAlignment="1">
      <alignment horizontal="center" vertical="center"/>
    </xf>
    <xf numFmtId="0" fontId="0" fillId="5" borderId="1" xfId="0" applyFill="1" applyBorder="1" applyAlignment="1">
      <alignment horizontal="left" vertical="center" wrapText="1"/>
    </xf>
    <xf numFmtId="1" fontId="2" fillId="5" borderId="6" xfId="0" applyNumberFormat="1" applyFont="1" applyFill="1" applyBorder="1" applyAlignment="1">
      <alignment horizontal="center" vertical="center"/>
    </xf>
    <xf numFmtId="11" fontId="1" fillId="4" borderId="5" xfId="0" applyNumberFormat="1" applyFont="1" applyFill="1" applyBorder="1" applyAlignment="1">
      <alignment horizontal="center" vertical="center"/>
    </xf>
    <xf numFmtId="11" fontId="2" fillId="4" borderId="2" xfId="0" applyNumberFormat="1" applyFont="1" applyFill="1" applyBorder="1" applyAlignment="1">
      <alignment horizontal="center" vertical="center"/>
    </xf>
    <xf numFmtId="11" fontId="2" fillId="4" borderId="7" xfId="0" applyNumberFormat="1" applyFont="1" applyFill="1" applyBorder="1" applyAlignment="1">
      <alignment horizontal="center" vertical="center"/>
    </xf>
    <xf numFmtId="11" fontId="2" fillId="4" borderId="5" xfId="0" applyNumberFormat="1" applyFont="1" applyFill="1" applyBorder="1" applyAlignment="1">
      <alignment horizontal="center" vertical="center"/>
    </xf>
    <xf numFmtId="164" fontId="2" fillId="0" borderId="6" xfId="0" applyNumberFormat="1" applyFont="1" applyFill="1" applyBorder="1" applyAlignment="1">
      <alignment horizontal="center" vertical="center"/>
    </xf>
    <xf numFmtId="11" fontId="2" fillId="0" borderId="6" xfId="0" applyNumberFormat="1" applyFont="1" applyFill="1" applyBorder="1" applyAlignment="1">
      <alignment horizontal="center" vertical="center"/>
    </xf>
    <xf numFmtId="0" fontId="2" fillId="0" borderId="2" xfId="0" applyFont="1" applyFill="1" applyBorder="1" applyAlignment="1">
      <alignment horizontal="center" vertical="center"/>
    </xf>
    <xf numFmtId="0" fontId="2" fillId="0" borderId="7" xfId="0" applyFont="1" applyFill="1" applyBorder="1" applyAlignment="1">
      <alignment horizontal="center" vertical="center"/>
    </xf>
    <xf numFmtId="11" fontId="1" fillId="2" borderId="5" xfId="0" applyNumberFormat="1" applyFont="1" applyFill="1" applyBorder="1" applyAlignment="1">
      <alignment horizontal="center" vertical="center"/>
    </xf>
    <xf numFmtId="11" fontId="2" fillId="2" borderId="2" xfId="0" applyNumberFormat="1" applyFont="1" applyFill="1" applyBorder="1" applyAlignment="1">
      <alignment horizontal="center" vertical="center"/>
    </xf>
    <xf numFmtId="11" fontId="2" fillId="2" borderId="7" xfId="0" applyNumberFormat="1" applyFont="1" applyFill="1" applyBorder="1" applyAlignment="1">
      <alignment horizontal="center" vertical="center"/>
    </xf>
    <xf numFmtId="11" fontId="2" fillId="2" borderId="5" xfId="0" applyNumberFormat="1" applyFont="1" applyFill="1" applyBorder="1" applyAlignment="1">
      <alignment horizontal="center" vertical="center"/>
    </xf>
    <xf numFmtId="0" fontId="0" fillId="0" borderId="0" xfId="0" applyAlignment="1">
      <alignment wrapText="1"/>
    </xf>
    <xf numFmtId="0" fontId="0" fillId="0" borderId="0" xfId="0" applyAlignment="1">
      <alignment horizontal="center" wrapText="1"/>
    </xf>
    <xf numFmtId="0" fontId="0" fillId="0" borderId="0" xfId="0" applyAlignment="1">
      <alignment horizontal="center"/>
    </xf>
    <xf numFmtId="11" fontId="0" fillId="0" borderId="0" xfId="0" applyNumberFormat="1" applyAlignment="1">
      <alignment horizontal="center"/>
    </xf>
    <xf numFmtId="0" fontId="0" fillId="0" borderId="1" xfId="0" applyBorder="1" applyAlignment="1">
      <alignment wrapText="1"/>
    </xf>
    <xf numFmtId="0" fontId="0" fillId="0" borderId="1" xfId="0" applyBorder="1" applyAlignment="1">
      <alignment horizontal="center" wrapText="1"/>
    </xf>
    <xf numFmtId="0" fontId="0" fillId="0" borderId="1" xfId="0" applyBorder="1" applyAlignment="1">
      <alignment horizontal="center"/>
    </xf>
    <xf numFmtId="0" fontId="0" fillId="0" borderId="10" xfId="0" applyBorder="1" applyAlignment="1">
      <alignment horizontal="center"/>
    </xf>
    <xf numFmtId="0" fontId="0" fillId="0" borderId="4" xfId="0" applyBorder="1" applyAlignment="1">
      <alignment horizontal="center" wrapText="1"/>
    </xf>
    <xf numFmtId="0" fontId="0" fillId="0" borderId="2" xfId="0" applyBorder="1" applyAlignment="1">
      <alignment horizontal="center"/>
    </xf>
    <xf numFmtId="0" fontId="0" fillId="0" borderId="7" xfId="0" applyBorder="1" applyAlignment="1">
      <alignment horizontal="center"/>
    </xf>
    <xf numFmtId="0" fontId="0" fillId="0" borderId="5" xfId="0" applyBorder="1" applyAlignment="1">
      <alignment horizontal="center"/>
    </xf>
    <xf numFmtId="0" fontId="0" fillId="0" borderId="11" xfId="0" applyBorder="1" applyAlignment="1">
      <alignment horizontal="center"/>
    </xf>
    <xf numFmtId="167" fontId="0" fillId="0" borderId="2" xfId="0" applyNumberFormat="1" applyBorder="1" applyAlignment="1">
      <alignment horizontal="center"/>
    </xf>
    <xf numFmtId="167" fontId="0" fillId="0" borderId="7" xfId="0" applyNumberFormat="1" applyBorder="1" applyAlignment="1">
      <alignment horizontal="center"/>
    </xf>
    <xf numFmtId="167" fontId="0" fillId="0" borderId="5" xfId="0" applyNumberFormat="1" applyBorder="1" applyAlignment="1">
      <alignment horizontal="center"/>
    </xf>
    <xf numFmtId="167" fontId="0" fillId="0" borderId="11" xfId="0" applyNumberFormat="1" applyBorder="1" applyAlignment="1">
      <alignment horizontal="center"/>
    </xf>
    <xf numFmtId="2" fontId="0" fillId="0" borderId="6" xfId="0" applyNumberFormat="1" applyBorder="1" applyAlignment="1">
      <alignment horizontal="center"/>
    </xf>
    <xf numFmtId="2" fontId="0" fillId="0" borderId="2" xfId="0" applyNumberFormat="1" applyBorder="1" applyAlignment="1">
      <alignment horizontal="center"/>
    </xf>
    <xf numFmtId="2" fontId="0" fillId="0" borderId="7" xfId="0" applyNumberFormat="1" applyBorder="1" applyAlignment="1">
      <alignment horizontal="center"/>
    </xf>
    <xf numFmtId="2" fontId="0" fillId="0" borderId="5" xfId="0" applyNumberFormat="1" applyBorder="1" applyAlignment="1">
      <alignment horizontal="center"/>
    </xf>
    <xf numFmtId="2" fontId="0" fillId="0" borderId="11" xfId="0" applyNumberFormat="1" applyBorder="1" applyAlignment="1">
      <alignment horizontal="center"/>
    </xf>
    <xf numFmtId="11" fontId="0" fillId="0" borderId="2" xfId="0" applyNumberFormat="1" applyBorder="1" applyAlignment="1">
      <alignment horizontal="center"/>
    </xf>
    <xf numFmtId="11" fontId="0" fillId="0" borderId="7" xfId="0" applyNumberFormat="1" applyBorder="1" applyAlignment="1">
      <alignment horizontal="center"/>
    </xf>
    <xf numFmtId="11" fontId="0" fillId="0" borderId="5" xfId="0" applyNumberFormat="1" applyBorder="1" applyAlignment="1">
      <alignment horizontal="center"/>
    </xf>
    <xf numFmtId="11" fontId="0" fillId="0" borderId="11" xfId="0" applyNumberFormat="1" applyBorder="1" applyAlignment="1">
      <alignment horizontal="center"/>
    </xf>
    <xf numFmtId="11" fontId="0" fillId="0" borderId="12" xfId="0" applyNumberFormat="1" applyBorder="1" applyAlignment="1">
      <alignment horizontal="center"/>
    </xf>
    <xf numFmtId="11" fontId="0" fillId="0" borderId="13" xfId="0" applyNumberFormat="1" applyBorder="1" applyAlignment="1">
      <alignment horizontal="center"/>
    </xf>
    <xf numFmtId="11" fontId="0" fillId="0" borderId="14" xfId="0" applyNumberFormat="1" applyBorder="1" applyAlignment="1">
      <alignment horizontal="center"/>
    </xf>
    <xf numFmtId="11" fontId="0" fillId="0" borderId="15" xfId="0" applyNumberFormat="1"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2" fontId="1" fillId="4" borderId="5" xfId="0" applyNumberFormat="1" applyFont="1" applyFill="1" applyBorder="1" applyAlignment="1">
      <alignment horizontal="center" vertical="center"/>
    </xf>
    <xf numFmtId="2" fontId="2" fillId="4" borderId="20" xfId="0" applyNumberFormat="1" applyFont="1" applyFill="1" applyBorder="1" applyAlignment="1">
      <alignment horizontal="center" vertical="center"/>
    </xf>
    <xf numFmtId="2" fontId="2" fillId="2" borderId="7" xfId="0" applyNumberFormat="1" applyFont="1" applyFill="1" applyBorder="1" applyAlignment="1">
      <alignment horizontal="center" vertical="center"/>
    </xf>
    <xf numFmtId="167" fontId="2" fillId="2" borderId="7" xfId="0" applyNumberFormat="1" applyFont="1" applyFill="1" applyBorder="1" applyAlignment="1">
      <alignment horizontal="center" vertical="center"/>
    </xf>
    <xf numFmtId="166" fontId="1" fillId="0" borderId="7" xfId="0" applyNumberFormat="1" applyFont="1" applyBorder="1" applyAlignment="1">
      <alignment horizontal="center" vertical="center"/>
    </xf>
    <xf numFmtId="164" fontId="2" fillId="0" borderId="7" xfId="0" applyNumberFormat="1" applyFont="1" applyFill="1" applyBorder="1" applyAlignment="1">
      <alignment horizontal="center" vertical="center"/>
    </xf>
    <xf numFmtId="164" fontId="2" fillId="0" borderId="7" xfId="0" applyNumberFormat="1" applyFont="1" applyBorder="1" applyAlignment="1">
      <alignment horizontal="center" vertical="center"/>
    </xf>
    <xf numFmtId="1" fontId="2" fillId="4" borderId="21" xfId="0" applyNumberFormat="1" applyFont="1" applyFill="1" applyBorder="1" applyAlignment="1">
      <alignment horizontal="center" vertical="center"/>
    </xf>
    <xf numFmtId="0" fontId="2" fillId="0" borderId="6" xfId="0" applyFont="1" applyFill="1" applyBorder="1" applyAlignment="1">
      <alignment horizontal="center" vertical="center"/>
    </xf>
    <xf numFmtId="1" fontId="2" fillId="4" borderId="6" xfId="0" applyNumberFormat="1" applyFont="1" applyFill="1" applyBorder="1" applyAlignment="1">
      <alignment horizontal="center" vertical="center"/>
    </xf>
    <xf numFmtId="166" fontId="2" fillId="0" borderId="6" xfId="0" applyNumberFormat="1" applyFont="1" applyFill="1" applyBorder="1" applyAlignment="1">
      <alignment horizontal="center" vertical="center"/>
    </xf>
    <xf numFmtId="0" fontId="2" fillId="2" borderId="6" xfId="0" applyFont="1" applyFill="1" applyBorder="1" applyAlignment="1">
      <alignment horizontal="center" vertical="center"/>
    </xf>
    <xf numFmtId="11" fontId="2" fillId="4" borderId="6" xfId="0" applyNumberFormat="1" applyFont="1" applyFill="1" applyBorder="1" applyAlignment="1">
      <alignment horizontal="center" vertical="center"/>
    </xf>
    <xf numFmtId="11" fontId="2" fillId="2" borderId="6" xfId="0" applyNumberFormat="1" applyFont="1" applyFill="1" applyBorder="1" applyAlignment="1">
      <alignment horizontal="center" vertical="center"/>
    </xf>
    <xf numFmtId="0" fontId="2" fillId="0" borderId="6" xfId="0" applyFont="1" applyBorder="1"/>
    <xf numFmtId="166" fontId="2" fillId="0" borderId="6" xfId="0" applyNumberFormat="1" applyFont="1" applyBorder="1" applyAlignment="1">
      <alignment horizontal="center" vertical="center"/>
    </xf>
    <xf numFmtId="167" fontId="2" fillId="0" borderId="6" xfId="0" applyNumberFormat="1" applyFont="1" applyFill="1" applyBorder="1" applyAlignment="1">
      <alignment horizontal="center" vertical="center"/>
    </xf>
    <xf numFmtId="2" fontId="2" fillId="0" borderId="6" xfId="0" applyNumberFormat="1" applyFont="1" applyFill="1" applyBorder="1" applyAlignment="1">
      <alignment horizontal="center" vertical="center"/>
    </xf>
    <xf numFmtId="167" fontId="2" fillId="0" borderId="6" xfId="0" applyNumberFormat="1" applyFont="1" applyBorder="1" applyAlignment="1">
      <alignment horizontal="center" vertical="center"/>
    </xf>
    <xf numFmtId="2" fontId="2" fillId="4" borderId="6" xfId="0" applyNumberFormat="1" applyFont="1" applyFill="1" applyBorder="1" applyAlignment="1">
      <alignment horizontal="center" vertical="center"/>
    </xf>
    <xf numFmtId="2" fontId="2" fillId="5" borderId="6" xfId="0" applyNumberFormat="1" applyFont="1" applyFill="1" applyBorder="1" applyAlignment="1">
      <alignment horizontal="center" vertical="center"/>
    </xf>
    <xf numFmtId="166" fontId="2" fillId="4" borderId="6" xfId="0" applyNumberFormat="1" applyFont="1" applyFill="1" applyBorder="1" applyAlignment="1">
      <alignment horizontal="center" vertical="center"/>
    </xf>
    <xf numFmtId="166" fontId="2" fillId="5" borderId="6" xfId="0" applyNumberFormat="1" applyFont="1" applyFill="1" applyBorder="1" applyAlignment="1">
      <alignment horizontal="center" vertical="center"/>
    </xf>
    <xf numFmtId="167" fontId="2" fillId="4" borderId="6" xfId="0" applyNumberFormat="1" applyFont="1" applyFill="1" applyBorder="1" applyAlignment="1">
      <alignment horizontal="center" vertical="center"/>
    </xf>
    <xf numFmtId="1" fontId="2" fillId="4" borderId="18" xfId="0" applyNumberFormat="1" applyFont="1" applyFill="1" applyBorder="1" applyAlignment="1">
      <alignment horizontal="center" vertical="center"/>
    </xf>
    <xf numFmtId="2" fontId="2" fillId="2" borderId="5" xfId="0" applyNumberFormat="1" applyFont="1" applyFill="1" applyBorder="1" applyAlignment="1">
      <alignment horizontal="center" vertical="center"/>
    </xf>
    <xf numFmtId="167" fontId="2" fillId="2" borderId="5" xfId="0" applyNumberFormat="1" applyFont="1" applyFill="1" applyBorder="1" applyAlignment="1">
      <alignment horizontal="center" vertical="center"/>
    </xf>
    <xf numFmtId="164" fontId="2" fillId="0" borderId="5" xfId="0" applyNumberFormat="1" applyFont="1" applyFill="1" applyBorder="1" applyAlignment="1">
      <alignment horizontal="center" vertical="center"/>
    </xf>
    <xf numFmtId="164" fontId="2" fillId="0" borderId="5" xfId="0" applyNumberFormat="1" applyFont="1" applyBorder="1" applyAlignment="1">
      <alignment horizontal="center" vertical="center"/>
    </xf>
    <xf numFmtId="0" fontId="0" fillId="0" borderId="22" xfId="0" applyBorder="1" applyAlignment="1">
      <alignment horizontal="center"/>
    </xf>
    <xf numFmtId="0" fontId="0" fillId="0" borderId="6" xfId="0" applyBorder="1" applyAlignment="1">
      <alignment horizontal="center"/>
    </xf>
    <xf numFmtId="167" fontId="0" fillId="0" borderId="6" xfId="0" applyNumberFormat="1" applyBorder="1" applyAlignment="1">
      <alignment horizontal="center"/>
    </xf>
    <xf numFmtId="11" fontId="0" fillId="0" borderId="6" xfId="0" applyNumberFormat="1" applyBorder="1" applyAlignment="1">
      <alignment horizontal="center"/>
    </xf>
    <xf numFmtId="11" fontId="0" fillId="0" borderId="23" xfId="0" applyNumberFormat="1" applyBorder="1" applyAlignment="1">
      <alignment horizontal="center"/>
    </xf>
    <xf numFmtId="0" fontId="1" fillId="0" borderId="10" xfId="0" applyFont="1" applyBorder="1" applyAlignment="1">
      <alignment horizontal="left" vertical="center" wrapText="1"/>
    </xf>
    <xf numFmtId="0" fontId="1" fillId="0" borderId="24" xfId="0" applyFont="1" applyBorder="1" applyAlignment="1">
      <alignment horizontal="left" vertical="center" wrapText="1"/>
    </xf>
    <xf numFmtId="0" fontId="1" fillId="0" borderId="25" xfId="0" applyFont="1" applyBorder="1" applyAlignment="1">
      <alignment horizontal="left" vertical="center" wrapText="1"/>
    </xf>
    <xf numFmtId="0" fontId="1" fillId="0" borderId="10" xfId="0" applyFont="1" applyBorder="1" applyAlignment="1">
      <alignment horizontal="center" vertical="center"/>
    </xf>
    <xf numFmtId="0" fontId="1" fillId="0" borderId="24" xfId="0" applyFont="1" applyBorder="1" applyAlignment="1">
      <alignment horizontal="center" vertical="center"/>
    </xf>
    <xf numFmtId="0" fontId="1" fillId="0" borderId="25"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292574284302581"/>
          <c:y val="8.8712666118571454E-2"/>
          <c:w val="0.46820460562215471"/>
          <c:h val="0.67475391502307391"/>
        </c:manualLayout>
      </c:layout>
      <c:scatterChart>
        <c:scatterStyle val="lineMarker"/>
        <c:varyColors val="0"/>
        <c:ser>
          <c:idx val="0"/>
          <c:order val="0"/>
          <c:tx>
            <c:v>Historical Trend</c:v>
          </c:tx>
          <c:spPr>
            <a:ln w="19050">
              <a:noFill/>
            </a:ln>
          </c:spPr>
          <c:marker>
            <c:symbol val="diamond"/>
            <c:size val="5"/>
            <c:spPr>
              <a:solidFill>
                <a:srgbClr val="000080"/>
              </a:solidFill>
              <a:ln>
                <a:solidFill>
                  <a:srgbClr val="000080"/>
                </a:solidFill>
                <a:prstDash val="solid"/>
              </a:ln>
            </c:spPr>
          </c:marker>
          <c:trendline>
            <c:spPr>
              <a:ln w="25400">
                <a:solidFill>
                  <a:srgbClr val="000000"/>
                </a:solidFill>
                <a:prstDash val="solid"/>
              </a:ln>
            </c:spPr>
            <c:trendlineType val="exp"/>
            <c:dispRSqr val="0"/>
            <c:dispEq val="1"/>
            <c:trendlineLbl>
              <c:layout>
                <c:manualLayout>
                  <c:xMode val="edge"/>
                  <c:yMode val="edge"/>
                  <c:x val="0.40458098325538105"/>
                  <c:y val="2.4194363486883128E-2"/>
                </c:manualLayout>
              </c:layout>
              <c:numFmt formatCode="General" sourceLinked="0"/>
              <c:spPr>
                <a:noFill/>
                <a:ln w="25400">
                  <a:noFill/>
                </a:ln>
              </c:spPr>
              <c:txPr>
                <a:bodyPr/>
                <a:lstStyle/>
                <a:p>
                  <a:pPr>
                    <a:defRPr sz="1000" b="0" i="0" u="none" strike="noStrike" baseline="0">
                      <a:solidFill>
                        <a:srgbClr val="000000"/>
                      </a:solidFill>
                      <a:latin typeface="Arial"/>
                      <a:ea typeface="Arial"/>
                      <a:cs typeface="Arial"/>
                    </a:defRPr>
                  </a:pPr>
                  <a:endParaRPr lang="en-US"/>
                </a:p>
              </c:txPr>
            </c:trendlineLbl>
          </c:trendline>
          <c:xVal>
            <c:numRef>
              <c:f>'Worksheet LSTP'!$E$4:$Q$4</c:f>
              <c:numCache>
                <c:formatCode>0</c:formatCode>
                <c:ptCount val="13"/>
                <c:pt idx="0" formatCode="General">
                  <c:v>2003</c:v>
                </c:pt>
                <c:pt idx="1">
                  <c:v>2004</c:v>
                </c:pt>
                <c:pt idx="2">
                  <c:v>2005</c:v>
                </c:pt>
                <c:pt idx="3">
                  <c:v>2006</c:v>
                </c:pt>
                <c:pt idx="4">
                  <c:v>2007</c:v>
                </c:pt>
                <c:pt idx="5">
                  <c:v>2008</c:v>
                </c:pt>
                <c:pt idx="6">
                  <c:v>2009</c:v>
                </c:pt>
                <c:pt idx="7">
                  <c:v>2010</c:v>
                </c:pt>
                <c:pt idx="8">
                  <c:v>2012</c:v>
                </c:pt>
                <c:pt idx="9">
                  <c:v>2013</c:v>
                </c:pt>
                <c:pt idx="10">
                  <c:v>2015</c:v>
                </c:pt>
                <c:pt idx="11">
                  <c:v>2016</c:v>
                </c:pt>
                <c:pt idx="12">
                  <c:v>2018</c:v>
                </c:pt>
              </c:numCache>
            </c:numRef>
          </c:xVal>
          <c:yVal>
            <c:numRef>
              <c:f>'Worksheet LSTP'!$E$79:$Q$79</c:f>
              <c:numCache>
                <c:formatCode>0.00</c:formatCode>
                <c:ptCount val="13"/>
                <c:pt idx="0" formatCode="0.0">
                  <c:v>3.2290682926829266</c:v>
                </c:pt>
                <c:pt idx="1">
                  <c:v>2.7598874296435274</c:v>
                </c:pt>
                <c:pt idx="2">
                  <c:v>2.3588781449944678</c:v>
                </c:pt>
                <c:pt idx="3">
                  <c:v>2.0161351666619383</c:v>
                </c:pt>
                <c:pt idx="4">
                  <c:v>1.723192450138409</c:v>
                </c:pt>
                <c:pt idx="5">
                  <c:v>1.4728140599473583</c:v>
                </c:pt>
                <c:pt idx="6">
                  <c:v>1.258815435852443</c:v>
                </c:pt>
                <c:pt idx="7">
                  <c:v>1.0759106289337121</c:v>
                </c:pt>
                <c:pt idx="8">
                  <c:v>0.78596729412938304</c:v>
                </c:pt>
                <c:pt idx="9">
                  <c:v>0.67176691805930167</c:v>
                </c:pt>
                <c:pt idx="10">
                  <c:v>0.49073483677354213</c:v>
                </c:pt>
                <c:pt idx="11">
                  <c:v>0.41943148442183092</c:v>
                </c:pt>
                <c:pt idx="12">
                  <c:v>0.30640038309725398</c:v>
                </c:pt>
              </c:numCache>
            </c:numRef>
          </c:yVal>
          <c:smooth val="0"/>
          <c:extLst>
            <c:ext xmlns:c16="http://schemas.microsoft.com/office/drawing/2014/chart" uri="{C3380CC4-5D6E-409C-BE32-E72D297353CC}">
              <c16:uniqueId val="{00000001-22AA-4FF8-A189-473A7A34E75C}"/>
            </c:ext>
          </c:extLst>
        </c:ser>
        <c:ser>
          <c:idx val="1"/>
          <c:order val="1"/>
          <c:tx>
            <c:v>Predicted Trend</c:v>
          </c:tx>
          <c:spPr>
            <a:ln w="19050">
              <a:noFill/>
            </a:ln>
          </c:spPr>
          <c:marker>
            <c:symbol val="square"/>
            <c:size val="5"/>
            <c:spPr>
              <a:solidFill>
                <a:srgbClr val="FF00FF"/>
              </a:solidFill>
              <a:ln>
                <a:solidFill>
                  <a:srgbClr val="FF00FF"/>
                </a:solidFill>
                <a:prstDash val="solid"/>
              </a:ln>
            </c:spPr>
          </c:marker>
          <c:xVal>
            <c:numRef>
              <c:f>'Worksheet LSTP'!$E$4:$Q$4</c:f>
              <c:numCache>
                <c:formatCode>0</c:formatCode>
                <c:ptCount val="13"/>
                <c:pt idx="0" formatCode="General">
                  <c:v>2003</c:v>
                </c:pt>
                <c:pt idx="1">
                  <c:v>2004</c:v>
                </c:pt>
                <c:pt idx="2">
                  <c:v>2005</c:v>
                </c:pt>
                <c:pt idx="3">
                  <c:v>2006</c:v>
                </c:pt>
                <c:pt idx="4">
                  <c:v>2007</c:v>
                </c:pt>
                <c:pt idx="5">
                  <c:v>2008</c:v>
                </c:pt>
                <c:pt idx="6">
                  <c:v>2009</c:v>
                </c:pt>
                <c:pt idx="7">
                  <c:v>2010</c:v>
                </c:pt>
                <c:pt idx="8">
                  <c:v>2012</c:v>
                </c:pt>
                <c:pt idx="9">
                  <c:v>2013</c:v>
                </c:pt>
                <c:pt idx="10">
                  <c:v>2015</c:v>
                </c:pt>
                <c:pt idx="11">
                  <c:v>2016</c:v>
                </c:pt>
                <c:pt idx="12">
                  <c:v>2018</c:v>
                </c:pt>
              </c:numCache>
            </c:numRef>
          </c:xVal>
          <c:yVal>
            <c:numRef>
              <c:f>'Worksheet LSTP'!$E$78:$Q$78</c:f>
              <c:numCache>
                <c:formatCode>0.00</c:formatCode>
                <c:ptCount val="13"/>
                <c:pt idx="0" formatCode="0.0">
                  <c:v>3.2290682926829266</c:v>
                </c:pt>
                <c:pt idx="1">
                  <c:v>2.765350156739812</c:v>
                </c:pt>
                <c:pt idx="2">
                  <c:v>2.2815700303951361</c:v>
                </c:pt>
                <c:pt idx="3">
                  <c:v>1.9709294117647056</c:v>
                </c:pt>
                <c:pt idx="4">
                  <c:v>1.7157676214833761</c:v>
                </c:pt>
                <c:pt idx="5">
                  <c:v>1.3488429850746266</c:v>
                </c:pt>
                <c:pt idx="6">
                  <c:v>1.2212241904761905</c:v>
                </c:pt>
                <c:pt idx="7">
                  <c:v>0.98395123839009302</c:v>
                </c:pt>
                <c:pt idx="8">
                  <c:v>0.7868765822784809</c:v>
                </c:pt>
                <c:pt idx="9">
                  <c:v>0.59764827272727283</c:v>
                </c:pt>
                <c:pt idx="10">
                  <c:v>0.48857131034482754</c:v>
                </c:pt>
                <c:pt idx="11">
                  <c:v>0.42850352159468436</c:v>
                </c:pt>
                <c:pt idx="12">
                  <c:v>0.31161212121212117</c:v>
                </c:pt>
              </c:numCache>
            </c:numRef>
          </c:yVal>
          <c:smooth val="0"/>
          <c:extLst>
            <c:ext xmlns:c16="http://schemas.microsoft.com/office/drawing/2014/chart" uri="{C3380CC4-5D6E-409C-BE32-E72D297353CC}">
              <c16:uniqueId val="{00000002-22AA-4FF8-A189-473A7A34E75C}"/>
            </c:ext>
          </c:extLst>
        </c:ser>
        <c:ser>
          <c:idx val="2"/>
          <c:order val="2"/>
          <c:tx>
            <c:v>Ideal Max Trend</c:v>
          </c:tx>
          <c:spPr>
            <a:ln w="19050">
              <a:noFill/>
            </a:ln>
          </c:spPr>
          <c:marker>
            <c:symbol val="triangle"/>
            <c:size val="5"/>
            <c:spPr>
              <a:solidFill>
                <a:srgbClr val="FFFF00"/>
              </a:solidFill>
              <a:ln>
                <a:solidFill>
                  <a:srgbClr val="FFFF00"/>
                </a:solidFill>
                <a:prstDash val="solid"/>
              </a:ln>
            </c:spPr>
          </c:marker>
          <c:trendline>
            <c:spPr>
              <a:ln w="25400">
                <a:solidFill>
                  <a:srgbClr val="000000"/>
                </a:solidFill>
                <a:prstDash val="solid"/>
              </a:ln>
            </c:spPr>
            <c:trendlineType val="exp"/>
            <c:dispRSqr val="0"/>
            <c:dispEq val="1"/>
            <c:trendlineLbl>
              <c:layout>
                <c:manualLayout>
                  <c:xMode val="edge"/>
                  <c:yMode val="edge"/>
                  <c:x val="0.39805548352545561"/>
                  <c:y val="9.9465716557186168E-2"/>
                </c:manualLayout>
              </c:layout>
              <c:numFmt formatCode="General" sourceLinked="0"/>
              <c:spPr>
                <a:noFill/>
                <a:ln w="25400">
                  <a:noFill/>
                </a:ln>
              </c:spPr>
              <c:txPr>
                <a:bodyPr/>
                <a:lstStyle/>
                <a:p>
                  <a:pPr>
                    <a:defRPr sz="1000" b="0" i="0" u="none" strike="noStrike" baseline="0">
                      <a:solidFill>
                        <a:srgbClr val="000000"/>
                      </a:solidFill>
                      <a:latin typeface="Arial"/>
                      <a:ea typeface="Arial"/>
                      <a:cs typeface="Arial"/>
                    </a:defRPr>
                  </a:pPr>
                  <a:endParaRPr lang="en-US"/>
                </a:p>
              </c:txPr>
            </c:trendlineLbl>
          </c:trendline>
          <c:xVal>
            <c:numRef>
              <c:f>'Worksheet LSTP'!$E$4:$Q$4</c:f>
              <c:numCache>
                <c:formatCode>0</c:formatCode>
                <c:ptCount val="13"/>
                <c:pt idx="0" formatCode="General">
                  <c:v>2003</c:v>
                </c:pt>
                <c:pt idx="1">
                  <c:v>2004</c:v>
                </c:pt>
                <c:pt idx="2">
                  <c:v>2005</c:v>
                </c:pt>
                <c:pt idx="3">
                  <c:v>2006</c:v>
                </c:pt>
                <c:pt idx="4">
                  <c:v>2007</c:v>
                </c:pt>
                <c:pt idx="5">
                  <c:v>2008</c:v>
                </c:pt>
                <c:pt idx="6">
                  <c:v>2009</c:v>
                </c:pt>
                <c:pt idx="7">
                  <c:v>2010</c:v>
                </c:pt>
                <c:pt idx="8">
                  <c:v>2012</c:v>
                </c:pt>
                <c:pt idx="9">
                  <c:v>2013</c:v>
                </c:pt>
                <c:pt idx="10">
                  <c:v>2015</c:v>
                </c:pt>
                <c:pt idx="11">
                  <c:v>2016</c:v>
                </c:pt>
                <c:pt idx="12">
                  <c:v>2018</c:v>
                </c:pt>
              </c:numCache>
            </c:numRef>
          </c:xVal>
          <c:yVal>
            <c:numRef>
              <c:f>'Worksheet LSTP'!$E$80:$Q$80</c:f>
              <c:numCache>
                <c:formatCode>0.00</c:formatCode>
                <c:ptCount val="13"/>
                <c:pt idx="0">
                  <c:v>1.2769730246294761</c:v>
                </c:pt>
                <c:pt idx="1">
                  <c:v>1.1150898106234106</c:v>
                </c:pt>
                <c:pt idx="2">
                  <c:v>0.92766886902494794</c:v>
                </c:pt>
                <c:pt idx="3">
                  <c:v>0.79155973022911352</c:v>
                </c:pt>
                <c:pt idx="4">
                  <c:v>0.67409966074306737</c:v>
                </c:pt>
                <c:pt idx="5">
                  <c:v>0.55754263667664683</c:v>
                </c:pt>
                <c:pt idx="6">
                  <c:v>0.49038580614234389</c:v>
                </c:pt>
                <c:pt idx="7">
                  <c:v>0.4123350154318054</c:v>
                </c:pt>
                <c:pt idx="8">
                  <c:v>0.35165049412757016</c:v>
                </c:pt>
                <c:pt idx="9">
                  <c:v>0.29101508212099203</c:v>
                </c:pt>
                <c:pt idx="10">
                  <c:v>0.24022736760582736</c:v>
                </c:pt>
                <c:pt idx="11">
                  <c:v>0.21424056110815068</c:v>
                </c:pt>
                <c:pt idx="12">
                  <c:v>0.15350289138593881</c:v>
                </c:pt>
              </c:numCache>
            </c:numRef>
          </c:yVal>
          <c:smooth val="0"/>
          <c:extLst>
            <c:ext xmlns:c16="http://schemas.microsoft.com/office/drawing/2014/chart" uri="{C3380CC4-5D6E-409C-BE32-E72D297353CC}">
              <c16:uniqueId val="{00000004-22AA-4FF8-A189-473A7A34E75C}"/>
            </c:ext>
          </c:extLst>
        </c:ser>
        <c:dLbls>
          <c:showLegendKey val="0"/>
          <c:showVal val="0"/>
          <c:showCatName val="0"/>
          <c:showSerName val="0"/>
          <c:showPercent val="0"/>
          <c:showBubbleSize val="0"/>
        </c:dLbls>
        <c:axId val="1069799920"/>
        <c:axId val="1"/>
      </c:scatterChart>
      <c:valAx>
        <c:axId val="1069799920"/>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Year</a:t>
                </a:r>
              </a:p>
            </c:rich>
          </c:tx>
          <c:layout>
            <c:manualLayout>
              <c:xMode val="edge"/>
              <c:yMode val="edge"/>
              <c:x val="0.373584859538235"/>
              <c:y val="0.87099708552779243"/>
            </c:manualLayout>
          </c:layout>
          <c:overlay val="0"/>
          <c:spPr>
            <a:noFill/>
            <a:ln w="25400">
              <a:noFill/>
            </a:ln>
          </c:spPr>
        </c:title>
        <c:numFmt formatCode="General" sourceLinked="1"/>
        <c:majorTickMark val="out"/>
        <c:minorTickMark val="out"/>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At val="0.01"/>
        <c:crossBetween val="midCat"/>
      </c:valAx>
      <c:valAx>
        <c:axId val="1"/>
        <c:scaling>
          <c:logBase val="10"/>
          <c:orientation val="minMax"/>
          <c:max val="10"/>
          <c:min val="0.01"/>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LSTP Device Time Constant (ps)</a:t>
                </a:r>
              </a:p>
            </c:rich>
          </c:tx>
          <c:layout>
            <c:manualLayout>
              <c:xMode val="edge"/>
              <c:yMode val="edge"/>
              <c:x val="3.0996123717146135E-2"/>
              <c:y val="7.5271353070303054E-2"/>
            </c:manualLayout>
          </c:layout>
          <c:overlay val="0"/>
          <c:spPr>
            <a:noFill/>
            <a:ln w="25400">
              <a:noFill/>
            </a:ln>
          </c:spPr>
        </c:title>
        <c:numFmt formatCode="0.00" sourceLinked="0"/>
        <c:majorTickMark val="out"/>
        <c:minorTickMark val="out"/>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069799920"/>
        <c:crosses val="autoZero"/>
        <c:crossBetween val="midCat"/>
      </c:valAx>
      <c:spPr>
        <a:solidFill>
          <a:srgbClr val="C0C0C0"/>
        </a:solidFill>
        <a:ln w="12700">
          <a:solidFill>
            <a:srgbClr val="808080"/>
          </a:solidFill>
          <a:prstDash val="solid"/>
        </a:ln>
      </c:spPr>
    </c:plotArea>
    <c:legend>
      <c:legendPos val="r"/>
      <c:layout>
        <c:manualLayout>
          <c:xMode val="edge"/>
          <c:yMode val="edge"/>
          <c:x val="0.69659709616954735"/>
          <c:y val="0.12366008004406931"/>
          <c:w val="0.28712198811672207"/>
          <c:h val="0.60754734978173175"/>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22860</xdr:colOff>
      <xdr:row>1</xdr:row>
      <xdr:rowOff>22860</xdr:rowOff>
    </xdr:from>
    <xdr:to>
      <xdr:col>8</xdr:col>
      <xdr:colOff>426720</xdr:colOff>
      <xdr:row>18</xdr:row>
      <xdr:rowOff>7620</xdr:rowOff>
    </xdr:to>
    <xdr:graphicFrame macro="">
      <xdr:nvGraphicFramePr>
        <xdr:cNvPr id="1026" name="Chart 2">
          <a:extLst>
            <a:ext uri="{FF2B5EF4-FFF2-40B4-BE49-F238E27FC236}">
              <a16:creationId xmlns:a16="http://schemas.microsoft.com/office/drawing/2014/main" id="{6254DEC1-1931-8001-09FE-DC08933B4C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177"/>
  <sheetViews>
    <sheetView tabSelected="1" workbookViewId="0"/>
  </sheetViews>
  <sheetFormatPr defaultRowHeight="13.2" x14ac:dyDescent="0.25"/>
  <cols>
    <col min="1" max="1" width="9.109375" style="88" customWidth="1"/>
  </cols>
  <sheetData>
    <row r="2" spans="1:1" x14ac:dyDescent="0.25">
      <c r="A2" s="88" t="s">
        <v>239</v>
      </c>
    </row>
    <row r="4" spans="1:1" x14ac:dyDescent="0.25">
      <c r="A4" s="88" t="s">
        <v>240</v>
      </c>
    </row>
    <row r="6" spans="1:1" x14ac:dyDescent="0.25">
      <c r="A6" s="88" t="s">
        <v>241</v>
      </c>
    </row>
    <row r="7" spans="1:1" x14ac:dyDescent="0.25">
      <c r="A7" s="88" t="s">
        <v>242</v>
      </c>
    </row>
    <row r="8" spans="1:1" x14ac:dyDescent="0.25">
      <c r="A8" s="88" t="s">
        <v>243</v>
      </c>
    </row>
    <row r="9" spans="1:1" x14ac:dyDescent="0.25">
      <c r="A9" s="88" t="s">
        <v>244</v>
      </c>
    </row>
    <row r="10" spans="1:1" x14ac:dyDescent="0.25">
      <c r="A10" s="88" t="s">
        <v>245</v>
      </c>
    </row>
    <row r="11" spans="1:1" x14ac:dyDescent="0.25">
      <c r="A11" s="88" t="s">
        <v>246</v>
      </c>
    </row>
    <row r="13" spans="1:1" x14ac:dyDescent="0.25">
      <c r="A13" s="88" t="s">
        <v>247</v>
      </c>
    </row>
    <row r="15" spans="1:1" x14ac:dyDescent="0.25">
      <c r="A15" s="88" t="s">
        <v>248</v>
      </c>
    </row>
    <row r="16" spans="1:1" x14ac:dyDescent="0.25">
      <c r="A16" s="88" t="s">
        <v>249</v>
      </c>
    </row>
    <row r="17" spans="1:1" x14ac:dyDescent="0.25">
      <c r="A17" s="88" t="s">
        <v>250</v>
      </c>
    </row>
    <row r="18" spans="1:1" x14ac:dyDescent="0.25">
      <c r="A18" s="88" t="s">
        <v>251</v>
      </c>
    </row>
    <row r="19" spans="1:1" x14ac:dyDescent="0.25">
      <c r="A19" s="88" t="s">
        <v>252</v>
      </c>
    </row>
    <row r="20" spans="1:1" x14ac:dyDescent="0.25">
      <c r="A20" s="88" t="s">
        <v>253</v>
      </c>
    </row>
    <row r="21" spans="1:1" x14ac:dyDescent="0.25">
      <c r="A21" s="88" t="s">
        <v>254</v>
      </c>
    </row>
    <row r="22" spans="1:1" x14ac:dyDescent="0.25">
      <c r="A22" s="88" t="s">
        <v>255</v>
      </c>
    </row>
    <row r="23" spans="1:1" x14ac:dyDescent="0.25">
      <c r="A23" s="88" t="s">
        <v>256</v>
      </c>
    </row>
    <row r="24" spans="1:1" x14ac:dyDescent="0.25">
      <c r="A24" s="88" t="s">
        <v>257</v>
      </c>
    </row>
    <row r="25" spans="1:1" x14ac:dyDescent="0.25">
      <c r="A25" s="88" t="s">
        <v>258</v>
      </c>
    </row>
    <row r="26" spans="1:1" x14ac:dyDescent="0.25">
      <c r="A26" s="88" t="s">
        <v>259</v>
      </c>
    </row>
    <row r="27" spans="1:1" x14ac:dyDescent="0.25">
      <c r="A27" s="88" t="s">
        <v>260</v>
      </c>
    </row>
    <row r="29" spans="1:1" x14ac:dyDescent="0.25">
      <c r="A29" s="88" t="s">
        <v>261</v>
      </c>
    </row>
    <row r="31" spans="1:1" x14ac:dyDescent="0.25">
      <c r="A31" s="88" t="s">
        <v>262</v>
      </c>
    </row>
    <row r="32" spans="1:1" x14ac:dyDescent="0.25">
      <c r="A32" s="88" t="s">
        <v>263</v>
      </c>
    </row>
    <row r="33" spans="1:1" x14ac:dyDescent="0.25">
      <c r="A33" s="88" t="s">
        <v>264</v>
      </c>
    </row>
    <row r="34" spans="1:1" x14ac:dyDescent="0.25">
      <c r="A34" s="88" t="s">
        <v>265</v>
      </c>
    </row>
    <row r="35" spans="1:1" x14ac:dyDescent="0.25">
      <c r="A35" s="88" t="s">
        <v>266</v>
      </c>
    </row>
    <row r="37" spans="1:1" x14ac:dyDescent="0.25">
      <c r="A37" s="88" t="s">
        <v>267</v>
      </c>
    </row>
    <row r="39" spans="1:1" x14ac:dyDescent="0.25">
      <c r="A39" s="88" t="s">
        <v>268</v>
      </c>
    </row>
    <row r="41" spans="1:1" x14ac:dyDescent="0.25">
      <c r="A41" s="88" t="s">
        <v>269</v>
      </c>
    </row>
    <row r="42" spans="1:1" x14ac:dyDescent="0.25">
      <c r="A42" s="88" t="s">
        <v>270</v>
      </c>
    </row>
    <row r="43" spans="1:1" x14ac:dyDescent="0.25">
      <c r="A43" s="88" t="s">
        <v>271</v>
      </c>
    </row>
    <row r="44" spans="1:1" x14ac:dyDescent="0.25">
      <c r="A44" s="88" t="s">
        <v>272</v>
      </c>
    </row>
    <row r="45" spans="1:1" x14ac:dyDescent="0.25">
      <c r="A45" s="88" t="s">
        <v>273</v>
      </c>
    </row>
    <row r="46" spans="1:1" x14ac:dyDescent="0.25">
      <c r="A46" s="88" t="s">
        <v>274</v>
      </c>
    </row>
    <row r="48" spans="1:1" x14ac:dyDescent="0.25">
      <c r="A48" s="88" t="s">
        <v>275</v>
      </c>
    </row>
    <row r="50" spans="1:1" x14ac:dyDescent="0.25">
      <c r="A50" s="88" t="s">
        <v>276</v>
      </c>
    </row>
    <row r="52" spans="1:1" x14ac:dyDescent="0.25">
      <c r="A52" s="88" t="s">
        <v>277</v>
      </c>
    </row>
    <row r="55" spans="1:1" s="88" customFormat="1" x14ac:dyDescent="0.25">
      <c r="A55" s="88" t="s">
        <v>278</v>
      </c>
    </row>
    <row r="56" spans="1:1" x14ac:dyDescent="0.25">
      <c r="A56" s="88" t="s">
        <v>279</v>
      </c>
    </row>
    <row r="57" spans="1:1" x14ac:dyDescent="0.25">
      <c r="A57" s="88" t="s">
        <v>280</v>
      </c>
    </row>
    <row r="59" spans="1:1" s="88" customFormat="1" x14ac:dyDescent="0.25">
      <c r="A59" s="88" t="s">
        <v>281</v>
      </c>
    </row>
    <row r="60" spans="1:1" x14ac:dyDescent="0.25">
      <c r="A60" s="88" t="s">
        <v>282</v>
      </c>
    </row>
    <row r="62" spans="1:1" x14ac:dyDescent="0.25">
      <c r="A62" s="88" t="s">
        <v>283</v>
      </c>
    </row>
    <row r="64" spans="1:1" x14ac:dyDescent="0.25">
      <c r="A64" s="88" t="s">
        <v>284</v>
      </c>
    </row>
    <row r="65" spans="1:1" x14ac:dyDescent="0.25">
      <c r="A65" s="88" t="s">
        <v>285</v>
      </c>
    </row>
    <row r="66" spans="1:1" x14ac:dyDescent="0.25">
      <c r="A66" s="88" t="s">
        <v>286</v>
      </c>
    </row>
    <row r="67" spans="1:1" x14ac:dyDescent="0.25">
      <c r="A67" s="88" t="s">
        <v>287</v>
      </c>
    </row>
    <row r="68" spans="1:1" x14ac:dyDescent="0.25">
      <c r="A68" s="88" t="s">
        <v>288</v>
      </c>
    </row>
    <row r="69" spans="1:1" x14ac:dyDescent="0.25">
      <c r="A69" s="88" t="s">
        <v>289</v>
      </c>
    </row>
    <row r="70" spans="1:1" x14ac:dyDescent="0.25">
      <c r="A70" s="88" t="s">
        <v>290</v>
      </c>
    </row>
    <row r="72" spans="1:1" x14ac:dyDescent="0.25">
      <c r="A72" s="88" t="s">
        <v>291</v>
      </c>
    </row>
    <row r="74" spans="1:1" x14ac:dyDescent="0.25">
      <c r="A74" s="88" t="s">
        <v>292</v>
      </c>
    </row>
    <row r="75" spans="1:1" x14ac:dyDescent="0.25">
      <c r="A75" s="88" t="s">
        <v>293</v>
      </c>
    </row>
    <row r="76" spans="1:1" x14ac:dyDescent="0.25">
      <c r="A76" s="88" t="s">
        <v>294</v>
      </c>
    </row>
    <row r="77" spans="1:1" x14ac:dyDescent="0.25">
      <c r="A77" s="88" t="s">
        <v>295</v>
      </c>
    </row>
    <row r="79" spans="1:1" x14ac:dyDescent="0.25">
      <c r="A79" s="88" t="s">
        <v>296</v>
      </c>
    </row>
    <row r="82" spans="1:1" x14ac:dyDescent="0.25">
      <c r="A82" s="88" t="s">
        <v>319</v>
      </c>
    </row>
    <row r="84" spans="1:1" x14ac:dyDescent="0.25">
      <c r="A84" s="88" t="s">
        <v>303</v>
      </c>
    </row>
    <row r="85" spans="1:1" x14ac:dyDescent="0.25">
      <c r="A85" s="88" t="s">
        <v>304</v>
      </c>
    </row>
    <row r="86" spans="1:1" x14ac:dyDescent="0.25">
      <c r="A86" s="88" t="s">
        <v>305</v>
      </c>
    </row>
    <row r="87" spans="1:1" x14ac:dyDescent="0.25">
      <c r="A87" s="88" t="s">
        <v>311</v>
      </c>
    </row>
    <row r="88" spans="1:1" x14ac:dyDescent="0.25">
      <c r="A88" s="88" t="s">
        <v>309</v>
      </c>
    </row>
    <row r="89" spans="1:1" x14ac:dyDescent="0.25">
      <c r="A89" s="88" t="s">
        <v>312</v>
      </c>
    </row>
    <row r="92" spans="1:1" x14ac:dyDescent="0.25">
      <c r="A92" s="88" t="s">
        <v>320</v>
      </c>
    </row>
    <row r="94" spans="1:1" x14ac:dyDescent="0.25">
      <c r="A94" s="88" t="s">
        <v>316</v>
      </c>
    </row>
    <row r="95" spans="1:1" x14ac:dyDescent="0.25">
      <c r="A95" s="88" t="s">
        <v>317</v>
      </c>
    </row>
    <row r="96" spans="1:1" x14ac:dyDescent="0.25">
      <c r="A96" s="88" t="s">
        <v>318</v>
      </c>
    </row>
    <row r="99" spans="1:1" x14ac:dyDescent="0.25">
      <c r="A99" s="88" t="s">
        <v>388</v>
      </c>
    </row>
    <row r="101" spans="1:1" x14ac:dyDescent="0.25">
      <c r="A101" s="88" t="s">
        <v>360</v>
      </c>
    </row>
    <row r="102" spans="1:1" x14ac:dyDescent="0.25">
      <c r="A102" s="88" t="s">
        <v>358</v>
      </c>
    </row>
    <row r="103" spans="1:1" x14ac:dyDescent="0.25">
      <c r="A103" s="88" t="s">
        <v>359</v>
      </c>
    </row>
    <row r="104" spans="1:1" x14ac:dyDescent="0.25">
      <c r="A104" s="88" t="s">
        <v>385</v>
      </c>
    </row>
    <row r="106" spans="1:1" x14ac:dyDescent="0.25">
      <c r="A106" s="88" t="s">
        <v>361</v>
      </c>
    </row>
    <row r="107" spans="1:1" x14ac:dyDescent="0.25">
      <c r="A107" s="88" t="s">
        <v>362</v>
      </c>
    </row>
    <row r="109" spans="1:1" x14ac:dyDescent="0.25">
      <c r="A109" s="88" t="s">
        <v>376</v>
      </c>
    </row>
    <row r="110" spans="1:1" x14ac:dyDescent="0.25">
      <c r="A110" s="88" t="s">
        <v>377</v>
      </c>
    </row>
    <row r="111" spans="1:1" x14ac:dyDescent="0.25">
      <c r="A111" s="88" t="s">
        <v>384</v>
      </c>
    </row>
    <row r="112" spans="1:1" x14ac:dyDescent="0.25">
      <c r="A112" s="88" t="s">
        <v>378</v>
      </c>
    </row>
    <row r="113" spans="1:1" x14ac:dyDescent="0.25">
      <c r="A113" s="88" t="s">
        <v>379</v>
      </c>
    </row>
    <row r="114" spans="1:1" x14ac:dyDescent="0.25">
      <c r="A114" s="88" t="s">
        <v>380</v>
      </c>
    </row>
    <row r="116" spans="1:1" x14ac:dyDescent="0.25">
      <c r="A116" s="88" t="s">
        <v>370</v>
      </c>
    </row>
    <row r="117" spans="1:1" x14ac:dyDescent="0.25">
      <c r="A117" s="88" t="s">
        <v>371</v>
      </c>
    </row>
    <row r="118" spans="1:1" x14ac:dyDescent="0.25">
      <c r="A118" s="88" t="s">
        <v>372</v>
      </c>
    </row>
    <row r="119" spans="1:1" x14ac:dyDescent="0.25">
      <c r="A119" s="88" t="s">
        <v>374</v>
      </c>
    </row>
    <row r="120" spans="1:1" x14ac:dyDescent="0.25">
      <c r="A120" s="88" t="s">
        <v>373</v>
      </c>
    </row>
    <row r="121" spans="1:1" x14ac:dyDescent="0.25">
      <c r="A121" s="88" t="s">
        <v>375</v>
      </c>
    </row>
    <row r="123" spans="1:1" x14ac:dyDescent="0.25">
      <c r="A123" s="88" t="s">
        <v>381</v>
      </c>
    </row>
    <row r="124" spans="1:1" x14ac:dyDescent="0.25">
      <c r="A124" s="88" t="s">
        <v>363</v>
      </c>
    </row>
    <row r="125" spans="1:1" x14ac:dyDescent="0.25">
      <c r="A125" s="88" t="s">
        <v>364</v>
      </c>
    </row>
    <row r="126" spans="1:1" x14ac:dyDescent="0.25">
      <c r="A126" s="88" t="s">
        <v>365</v>
      </c>
    </row>
    <row r="127" spans="1:1" x14ac:dyDescent="0.25">
      <c r="A127" s="88" t="s">
        <v>366</v>
      </c>
    </row>
    <row r="128" spans="1:1" x14ac:dyDescent="0.25">
      <c r="A128" s="88" t="s">
        <v>387</v>
      </c>
    </row>
    <row r="129" spans="1:1" x14ac:dyDescent="0.25">
      <c r="A129" s="88" t="s">
        <v>367</v>
      </c>
    </row>
    <row r="130" spans="1:1" x14ac:dyDescent="0.25">
      <c r="A130" s="88" t="s">
        <v>368</v>
      </c>
    </row>
    <row r="131" spans="1:1" x14ac:dyDescent="0.25">
      <c r="A131" s="88" t="s">
        <v>369</v>
      </c>
    </row>
    <row r="132" spans="1:1" x14ac:dyDescent="0.25">
      <c r="A132" s="88" t="s">
        <v>382</v>
      </c>
    </row>
    <row r="133" spans="1:1" x14ac:dyDescent="0.25">
      <c r="A133" s="88" t="s">
        <v>383</v>
      </c>
    </row>
    <row r="136" spans="1:1" x14ac:dyDescent="0.25">
      <c r="A136" s="88" t="s">
        <v>396</v>
      </c>
    </row>
    <row r="138" spans="1:1" x14ac:dyDescent="0.25">
      <c r="A138" s="88" t="s">
        <v>397</v>
      </c>
    </row>
    <row r="139" spans="1:1" x14ac:dyDescent="0.25">
      <c r="A139" s="88" t="s">
        <v>398</v>
      </c>
    </row>
    <row r="140" spans="1:1" x14ac:dyDescent="0.25">
      <c r="A140" s="88" t="s">
        <v>399</v>
      </c>
    </row>
    <row r="141" spans="1:1" x14ac:dyDescent="0.25">
      <c r="A141" s="88" t="s">
        <v>400</v>
      </c>
    </row>
    <row r="142" spans="1:1" x14ac:dyDescent="0.25">
      <c r="A142" s="88" t="s">
        <v>401</v>
      </c>
    </row>
    <row r="143" spans="1:1" x14ac:dyDescent="0.25">
      <c r="A143" s="88" t="s">
        <v>402</v>
      </c>
    </row>
    <row r="144" spans="1:1" x14ac:dyDescent="0.25">
      <c r="A144" s="88" t="s">
        <v>403</v>
      </c>
    </row>
    <row r="145" spans="1:1" x14ac:dyDescent="0.25">
      <c r="A145" s="88" t="s">
        <v>404</v>
      </c>
    </row>
    <row r="148" spans="1:1" x14ac:dyDescent="0.25">
      <c r="A148" s="88" t="s">
        <v>420</v>
      </c>
    </row>
    <row r="150" spans="1:1" x14ac:dyDescent="0.25">
      <c r="A150" s="88" t="s">
        <v>406</v>
      </c>
    </row>
    <row r="151" spans="1:1" x14ac:dyDescent="0.25">
      <c r="A151" s="88" t="s">
        <v>407</v>
      </c>
    </row>
    <row r="152" spans="1:1" x14ac:dyDescent="0.25">
      <c r="A152" s="88" t="s">
        <v>408</v>
      </c>
    </row>
    <row r="153" spans="1:1" x14ac:dyDescent="0.25">
      <c r="A153" s="88" t="s">
        <v>409</v>
      </c>
    </row>
    <row r="154" spans="1:1" x14ac:dyDescent="0.25">
      <c r="A154" s="88" t="s">
        <v>410</v>
      </c>
    </row>
    <row r="155" spans="1:1" x14ac:dyDescent="0.25">
      <c r="A155" s="88" t="s">
        <v>421</v>
      </c>
    </row>
    <row r="156" spans="1:1" x14ac:dyDescent="0.25">
      <c r="A156" s="88" t="s">
        <v>411</v>
      </c>
    </row>
    <row r="157" spans="1:1" x14ac:dyDescent="0.25">
      <c r="A157" s="88" t="s">
        <v>412</v>
      </c>
    </row>
    <row r="158" spans="1:1" x14ac:dyDescent="0.25">
      <c r="A158" s="88" t="s">
        <v>413</v>
      </c>
    </row>
    <row r="159" spans="1:1" x14ac:dyDescent="0.25">
      <c r="A159" s="88" t="s">
        <v>414</v>
      </c>
    </row>
    <row r="160" spans="1:1" x14ac:dyDescent="0.25">
      <c r="A160" s="88" t="s">
        <v>415</v>
      </c>
    </row>
    <row r="161" spans="1:1" x14ac:dyDescent="0.25">
      <c r="A161" s="88" t="s">
        <v>416</v>
      </c>
    </row>
    <row r="162" spans="1:1" x14ac:dyDescent="0.25">
      <c r="A162" s="88" t="s">
        <v>417</v>
      </c>
    </row>
    <row r="163" spans="1:1" x14ac:dyDescent="0.25">
      <c r="A163" s="88" t="s">
        <v>418</v>
      </c>
    </row>
    <row r="164" spans="1:1" x14ac:dyDescent="0.25">
      <c r="A164" s="88" t="s">
        <v>419</v>
      </c>
    </row>
    <row r="167" spans="1:1" x14ac:dyDescent="0.25">
      <c r="A167" s="88" t="s">
        <v>429</v>
      </c>
    </row>
    <row r="169" spans="1:1" x14ac:dyDescent="0.25">
      <c r="A169" s="88" t="s">
        <v>406</v>
      </c>
    </row>
    <row r="170" spans="1:1" x14ac:dyDescent="0.25">
      <c r="A170" s="88" t="s">
        <v>430</v>
      </c>
    </row>
    <row r="171" spans="1:1" x14ac:dyDescent="0.25">
      <c r="A171" s="88" t="s">
        <v>431</v>
      </c>
    </row>
    <row r="172" spans="1:1" x14ac:dyDescent="0.25">
      <c r="A172" s="88" t="s">
        <v>432</v>
      </c>
    </row>
    <row r="173" spans="1:1" x14ac:dyDescent="0.25">
      <c r="A173" s="88" t="s">
        <v>433</v>
      </c>
    </row>
    <row r="174" spans="1:1" x14ac:dyDescent="0.25">
      <c r="A174" s="88" t="s">
        <v>434</v>
      </c>
    </row>
    <row r="175" spans="1:1" x14ac:dyDescent="0.25">
      <c r="A175" s="88" t="s">
        <v>435</v>
      </c>
    </row>
    <row r="176" spans="1:1" x14ac:dyDescent="0.25">
      <c r="A176" s="88" t="s">
        <v>436</v>
      </c>
    </row>
    <row r="177" spans="1:1" x14ac:dyDescent="0.25">
      <c r="A177" s="88" t="s">
        <v>437</v>
      </c>
    </row>
  </sheetData>
  <phoneticPr fontId="0"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
  <sheetViews>
    <sheetView zoomScale="60" zoomScaleNormal="100" workbookViewId="0">
      <selection activeCell="E27" sqref="E27"/>
    </sheetView>
  </sheetViews>
  <sheetFormatPr defaultRowHeight="13.2" x14ac:dyDescent="0.25"/>
  <cols>
    <col min="1" max="1" width="59.88671875" style="166" customWidth="1"/>
    <col min="2" max="2" width="14" style="167" customWidth="1"/>
    <col min="3" max="3" width="14.88671875" style="168" bestFit="1" customWidth="1"/>
    <col min="4" max="4" width="14.5546875" style="168" bestFit="1" customWidth="1"/>
    <col min="5" max="7" width="14.88671875" style="168" bestFit="1" customWidth="1"/>
    <col min="8" max="9" width="14.5546875" style="168" bestFit="1" customWidth="1"/>
    <col min="10" max="11" width="9.44140625" style="168" bestFit="1" customWidth="1"/>
    <col min="12" max="15" width="9.33203125" style="168" bestFit="1" customWidth="1"/>
  </cols>
  <sheetData>
    <row r="1" spans="1:15" ht="13.8" thickBot="1" x14ac:dyDescent="0.3"/>
    <row r="2" spans="1:15" ht="14.4" thickTop="1" thickBot="1" x14ac:dyDescent="0.3">
      <c r="A2" s="170" t="str">
        <f>'Worksheet LSTP'!A4</f>
        <v>Year in Production</v>
      </c>
      <c r="B2" s="171" t="s">
        <v>217</v>
      </c>
      <c r="C2" s="172">
        <f>'Worksheet LSTP'!E4</f>
        <v>2003</v>
      </c>
      <c r="D2" s="172">
        <f>'Worksheet LSTP'!F4</f>
        <v>2004</v>
      </c>
      <c r="E2" s="172">
        <f>'Worksheet LSTP'!G4</f>
        <v>2005</v>
      </c>
      <c r="F2" s="172">
        <f>'Worksheet LSTP'!H4</f>
        <v>2006</v>
      </c>
      <c r="G2" s="172">
        <f>'Worksheet LSTP'!I4</f>
        <v>2007</v>
      </c>
      <c r="H2" s="172">
        <f>'Worksheet LSTP'!J4</f>
        <v>2008</v>
      </c>
      <c r="I2" s="173">
        <f>'Worksheet LSTP'!K4</f>
        <v>2009</v>
      </c>
      <c r="J2" s="172">
        <f>'Worksheet LSTP'!L4</f>
        <v>2010</v>
      </c>
      <c r="K2" s="172">
        <f>'Worksheet LSTP'!M4</f>
        <v>2012</v>
      </c>
      <c r="L2" s="172">
        <f>'Worksheet LSTP'!N4</f>
        <v>2013</v>
      </c>
      <c r="M2" s="172">
        <f>'Worksheet LSTP'!O4</f>
        <v>2015</v>
      </c>
      <c r="N2" s="172">
        <f>'Worksheet LSTP'!P4</f>
        <v>2016</v>
      </c>
      <c r="O2" s="172">
        <f>'Worksheet LSTP'!Q4</f>
        <v>2018</v>
      </c>
    </row>
    <row r="3" spans="1:15" ht="14.4" thickTop="1" thickBot="1" x14ac:dyDescent="0.3">
      <c r="A3" s="170" t="str">
        <f>'Worksheet LSTP'!A6</f>
        <v>Technology Generation</v>
      </c>
      <c r="B3" s="174" t="str">
        <f>'Worksheet LSTP'!B6</f>
        <v xml:space="preserve"> </v>
      </c>
      <c r="C3" s="172" t="str">
        <f>'Worksheet LSTP'!E6</f>
        <v xml:space="preserve">  </v>
      </c>
      <c r="D3" s="172" t="str">
        <f>'Worksheet LSTP'!F6</f>
        <v>lstp90</v>
      </c>
      <c r="E3" s="172" t="str">
        <f>'Worksheet LSTP'!G6</f>
        <v xml:space="preserve"> </v>
      </c>
      <c r="F3" s="172" t="str">
        <f>'Worksheet LSTP'!H6</f>
        <v xml:space="preserve"> </v>
      </c>
      <c r="G3" s="172" t="str">
        <f>'Worksheet LSTP'!I6</f>
        <v>lstp65</v>
      </c>
      <c r="H3" s="172" t="str">
        <f>'Worksheet LSTP'!J6</f>
        <v xml:space="preserve"> </v>
      </c>
      <c r="I3" s="172" t="str">
        <f>'Worksheet LSTP'!K6</f>
        <v xml:space="preserve"> </v>
      </c>
      <c r="J3" s="172" t="str">
        <f>'Worksheet LSTP'!L6</f>
        <v>lstp45</v>
      </c>
      <c r="K3" s="172" t="str">
        <f>'Worksheet LSTP'!M6</f>
        <v xml:space="preserve"> </v>
      </c>
      <c r="L3" s="172" t="str">
        <f>'Worksheet LSTP'!N6</f>
        <v>lstp32</v>
      </c>
      <c r="M3" s="172" t="str">
        <f>'Worksheet LSTP'!O6</f>
        <v xml:space="preserve"> </v>
      </c>
      <c r="N3" s="172" t="str">
        <f>'Worksheet LSTP'!P6</f>
        <v>lstp22</v>
      </c>
      <c r="O3" s="172" t="str">
        <f>'Worksheet LSTP'!Q6</f>
        <v xml:space="preserve"> </v>
      </c>
    </row>
    <row r="4" spans="1:15" ht="14.4" thickTop="1" thickBot="1" x14ac:dyDescent="0.3">
      <c r="A4" s="170" t="str">
        <f>'Worksheet LSTP'!A7</f>
        <v>Physical Lgate (Low-Standby-Power)</v>
      </c>
      <c r="B4" s="174" t="str">
        <f>'Worksheet LSTP'!B7</f>
        <v>nm</v>
      </c>
      <c r="C4" s="196">
        <f>'Worksheet LSTP'!E7</f>
        <v>75</v>
      </c>
      <c r="D4" s="197">
        <f>'Worksheet LSTP'!F7</f>
        <v>65</v>
      </c>
      <c r="E4" s="197">
        <f>'Worksheet LSTP'!G7</f>
        <v>53</v>
      </c>
      <c r="F4" s="197">
        <f>'Worksheet LSTP'!H7</f>
        <v>45</v>
      </c>
      <c r="G4" s="197">
        <f>'Worksheet LSTP'!I7</f>
        <v>37</v>
      </c>
      <c r="H4" s="197">
        <f>'Worksheet LSTP'!J7</f>
        <v>32</v>
      </c>
      <c r="I4" s="198">
        <f>'Worksheet LSTP'!K7</f>
        <v>28</v>
      </c>
      <c r="J4" s="196">
        <f>'Worksheet LSTP'!L7</f>
        <v>25</v>
      </c>
      <c r="K4" s="229">
        <f>'Worksheet LSTP'!M7</f>
        <v>20</v>
      </c>
      <c r="L4" s="197">
        <f>'Worksheet LSTP'!N7</f>
        <v>18</v>
      </c>
      <c r="M4" s="197">
        <f>'Worksheet LSTP'!O7</f>
        <v>14</v>
      </c>
      <c r="N4" s="197">
        <f>'Worksheet LSTP'!P7</f>
        <v>13</v>
      </c>
      <c r="O4" s="199">
        <f>'Worksheet LSTP'!Q7</f>
        <v>10</v>
      </c>
    </row>
    <row r="5" spans="1:15" ht="14.4" thickTop="1" thickBot="1" x14ac:dyDescent="0.3">
      <c r="A5" s="170" t="str">
        <f>'Worksheet LSTP'!A24</f>
        <v>EOT (Equivalent Oxide Thickness)</v>
      </c>
      <c r="B5" s="171" t="str">
        <f>'Worksheet LSTP'!B24</f>
        <v>A</v>
      </c>
      <c r="C5" s="177">
        <f>'Worksheet LSTP'!E24</f>
        <v>22</v>
      </c>
      <c r="D5" s="175">
        <f>'Worksheet LSTP'!F24</f>
        <v>21</v>
      </c>
      <c r="E5" s="175">
        <f>'Worksheet LSTP'!G24</f>
        <v>21</v>
      </c>
      <c r="F5" s="175">
        <f>'Worksheet LSTP'!H24</f>
        <v>19</v>
      </c>
      <c r="G5" s="175">
        <f>'Worksheet LSTP'!I24</f>
        <v>16</v>
      </c>
      <c r="H5" s="175">
        <f>'Worksheet LSTP'!J24</f>
        <v>15</v>
      </c>
      <c r="I5" s="176">
        <f>'Worksheet LSTP'!K24</f>
        <v>14</v>
      </c>
      <c r="J5" s="177">
        <f>'Worksheet LSTP'!L24</f>
        <v>13</v>
      </c>
      <c r="K5" s="230">
        <f>'Worksheet LSTP'!M24</f>
        <v>12</v>
      </c>
      <c r="L5" s="175">
        <f>'Worksheet LSTP'!N24</f>
        <v>11</v>
      </c>
      <c r="M5" s="175">
        <f>'Worksheet LSTP'!O24</f>
        <v>11</v>
      </c>
      <c r="N5" s="175">
        <f>'Worksheet LSTP'!P24</f>
        <v>10</v>
      </c>
      <c r="O5" s="178">
        <f>'Worksheet LSTP'!Q24</f>
        <v>9</v>
      </c>
    </row>
    <row r="6" spans="1:15" ht="14.4" thickTop="1" thickBot="1" x14ac:dyDescent="0.3">
      <c r="A6" s="170" t="str">
        <f>'Worksheet LSTP'!A25</f>
        <v>Gate Poly Depletion &amp; Inversion-Layer Thickness</v>
      </c>
      <c r="B6" s="171" t="str">
        <f>'Worksheet LSTP'!B25</f>
        <v>A</v>
      </c>
      <c r="C6" s="177">
        <f>'Worksheet LSTP'!E25</f>
        <v>8</v>
      </c>
      <c r="D6" s="175">
        <f>'Worksheet LSTP'!F25</f>
        <v>8</v>
      </c>
      <c r="E6" s="175">
        <f>'Worksheet LSTP'!G25</f>
        <v>7</v>
      </c>
      <c r="F6" s="175">
        <f>'Worksheet LSTP'!H25</f>
        <v>7</v>
      </c>
      <c r="G6" s="175">
        <f>'Worksheet LSTP'!I25</f>
        <v>7</v>
      </c>
      <c r="H6" s="175">
        <f>'Worksheet LSTP'!J25</f>
        <v>4</v>
      </c>
      <c r="I6" s="176">
        <f>'Worksheet LSTP'!K25</f>
        <v>4</v>
      </c>
      <c r="J6" s="177">
        <f>'Worksheet LSTP'!L25</f>
        <v>4</v>
      </c>
      <c r="K6" s="230">
        <f>'Worksheet LSTP'!M25</f>
        <v>4</v>
      </c>
      <c r="L6" s="175">
        <f>'Worksheet LSTP'!N25</f>
        <v>4</v>
      </c>
      <c r="M6" s="175">
        <f>'Worksheet LSTP'!O25</f>
        <v>4</v>
      </c>
      <c r="N6" s="175">
        <f>'Worksheet LSTP'!P25</f>
        <v>4</v>
      </c>
      <c r="O6" s="178">
        <f>'Worksheet LSTP'!Q25</f>
        <v>4</v>
      </c>
    </row>
    <row r="7" spans="1:15" ht="14.4" thickTop="1" thickBot="1" x14ac:dyDescent="0.3">
      <c r="A7" s="170" t="str">
        <f>'Worksheet LSTP'!A26</f>
        <v>Inversion Gate Dielectric Thickness Value</v>
      </c>
      <c r="B7" s="171" t="str">
        <f>'Worksheet LSTP'!B26</f>
        <v>A</v>
      </c>
      <c r="C7" s="177">
        <f>'Worksheet LSTP'!E26</f>
        <v>30</v>
      </c>
      <c r="D7" s="175">
        <f>'Worksheet LSTP'!F26</f>
        <v>29</v>
      </c>
      <c r="E7" s="175">
        <f>'Worksheet LSTP'!G26</f>
        <v>28</v>
      </c>
      <c r="F7" s="175">
        <f>'Worksheet LSTP'!H26</f>
        <v>26</v>
      </c>
      <c r="G7" s="175">
        <f>'Worksheet LSTP'!I26</f>
        <v>23</v>
      </c>
      <c r="H7" s="175">
        <f>'Worksheet LSTP'!J26</f>
        <v>19</v>
      </c>
      <c r="I7" s="176">
        <f>'Worksheet LSTP'!K26</f>
        <v>18</v>
      </c>
      <c r="J7" s="177">
        <f>'Worksheet LSTP'!L26</f>
        <v>17</v>
      </c>
      <c r="K7" s="230">
        <f>'Worksheet LSTP'!M26</f>
        <v>16</v>
      </c>
      <c r="L7" s="175">
        <f>'Worksheet LSTP'!N26</f>
        <v>15</v>
      </c>
      <c r="M7" s="175">
        <f>'Worksheet LSTP'!O26</f>
        <v>15</v>
      </c>
      <c r="N7" s="175">
        <f>'Worksheet LSTP'!P26</f>
        <v>14</v>
      </c>
      <c r="O7" s="178">
        <f>'Worksheet LSTP'!Q26</f>
        <v>13</v>
      </c>
    </row>
    <row r="8" spans="1:15" ht="14.4" thickTop="1" thickBot="1" x14ac:dyDescent="0.3">
      <c r="A8" s="170" t="str">
        <f>'Worksheet LSTP'!A30</f>
        <v>Maximum Gate Leakage Limit</v>
      </c>
      <c r="B8" s="171" t="str">
        <f>'Worksheet LSTP'!B30</f>
        <v>A/cm^2</v>
      </c>
      <c r="C8" s="181">
        <f>'Worksheet LSTP'!E30</f>
        <v>4.4444444444444453E-3</v>
      </c>
      <c r="D8" s="179">
        <f>'Worksheet LSTP'!F30</f>
        <v>5.1282051282051291E-3</v>
      </c>
      <c r="E8" s="179">
        <f>'Worksheet LSTP'!G30</f>
        <v>9.4339622641509448E-3</v>
      </c>
      <c r="F8" s="179">
        <f>'Worksheet LSTP'!H30</f>
        <v>1.4814814814814815E-2</v>
      </c>
      <c r="G8" s="179">
        <f>'Worksheet LSTP'!I30</f>
        <v>2.2522522522522528E-2</v>
      </c>
      <c r="H8" s="179">
        <f>'Worksheet LSTP'!J30</f>
        <v>3.125E-2</v>
      </c>
      <c r="I8" s="180">
        <f>'Worksheet LSTP'!K30</f>
        <v>4.7619047619047623E-2</v>
      </c>
      <c r="J8" s="181">
        <f>'Worksheet LSTP'!L30</f>
        <v>8.0000000000000016E-2</v>
      </c>
      <c r="K8" s="231">
        <f>'Worksheet LSTP'!M30</f>
        <v>0.1</v>
      </c>
      <c r="L8" s="179">
        <f>'Worksheet LSTP'!N30</f>
        <v>0.14814814814814817</v>
      </c>
      <c r="M8" s="179">
        <f>'Worksheet LSTP'!O30</f>
        <v>0.19047619047619049</v>
      </c>
      <c r="N8" s="179">
        <f>'Worksheet LSTP'!P30</f>
        <v>0.2564102564102565</v>
      </c>
      <c r="O8" s="182">
        <f>'Worksheet LSTP'!Q30</f>
        <v>0.33333333333333337</v>
      </c>
    </row>
    <row r="9" spans="1:15" ht="14.4" thickTop="1" thickBot="1" x14ac:dyDescent="0.3">
      <c r="A9" s="170" t="str">
        <f>'Worksheet LSTP'!A8</f>
        <v>Power Supply Voltage</v>
      </c>
      <c r="B9" s="171" t="str">
        <f>'Worksheet LSTP'!B8</f>
        <v>V</v>
      </c>
      <c r="C9" s="177">
        <f>'Worksheet LSTP'!E8</f>
        <v>1.2</v>
      </c>
      <c r="D9" s="175">
        <f>'Worksheet LSTP'!F8</f>
        <v>1.2</v>
      </c>
      <c r="E9" s="175">
        <f>'Worksheet LSTP'!G8</f>
        <v>1.2</v>
      </c>
      <c r="F9" s="175">
        <f>'Worksheet LSTP'!H8</f>
        <v>1.2</v>
      </c>
      <c r="G9" s="175">
        <f>'Worksheet LSTP'!I8</f>
        <v>1.1000000000000001</v>
      </c>
      <c r="H9" s="175">
        <f>'Worksheet LSTP'!J8</f>
        <v>1.1000000000000001</v>
      </c>
      <c r="I9" s="176">
        <f>'Worksheet LSTP'!K8</f>
        <v>1.1000000000000001</v>
      </c>
      <c r="J9" s="177">
        <f>'Worksheet LSTP'!L8</f>
        <v>1</v>
      </c>
      <c r="K9" s="230">
        <f>'Worksheet LSTP'!M8</f>
        <v>1</v>
      </c>
      <c r="L9" s="175">
        <f>'Worksheet LSTP'!N8</f>
        <v>0.9</v>
      </c>
      <c r="M9" s="175">
        <f>'Worksheet LSTP'!O8</f>
        <v>0.9</v>
      </c>
      <c r="N9" s="175">
        <f>'Worksheet LSTP'!P8</f>
        <v>0.8</v>
      </c>
      <c r="O9" s="178">
        <f>'Worksheet LSTP'!Q8</f>
        <v>0.8</v>
      </c>
    </row>
    <row r="10" spans="1:15" ht="14.4" thickTop="1" thickBot="1" x14ac:dyDescent="0.3">
      <c r="A10" s="170" t="str">
        <f>'Worksheet LSTP'!A39</f>
        <v>Saturation Threshold Voltage</v>
      </c>
      <c r="B10" s="171" t="str">
        <f>'Worksheet LSTP'!B39</f>
        <v>V</v>
      </c>
      <c r="C10" s="186">
        <f>'Worksheet LSTP'!E39</f>
        <v>0.49520829129406058</v>
      </c>
      <c r="D10" s="184">
        <f>'Worksheet LSTP'!F39</f>
        <v>0.50050477318600251</v>
      </c>
      <c r="E10" s="184">
        <f>'Worksheet LSTP'!G39</f>
        <v>0.51441053889359745</v>
      </c>
      <c r="F10" s="184">
        <f>'Worksheet LSTP'!H39</f>
        <v>0.51780258724922834</v>
      </c>
      <c r="G10" s="184">
        <f>'Worksheet LSTP'!I39</f>
        <v>0.49623170919362358</v>
      </c>
      <c r="H10" s="184">
        <f>'Worksheet LSTP'!J39</f>
        <v>0.4686581494499294</v>
      </c>
      <c r="I10" s="185">
        <f>'Worksheet LSTP'!K39</f>
        <v>0.47192309373123026</v>
      </c>
      <c r="J10" s="186">
        <f>'Worksheet LSTP'!L39</f>
        <v>0.39369689537961</v>
      </c>
      <c r="K10" s="183">
        <f>'Worksheet LSTP'!M39</f>
        <v>0.43125346518795182</v>
      </c>
      <c r="L10" s="184">
        <f>'Worksheet LSTP'!N39</f>
        <v>0.34332782060880568</v>
      </c>
      <c r="M10" s="184">
        <f>'Worksheet LSTP'!O39</f>
        <v>0.37549689589595475</v>
      </c>
      <c r="N10" s="184">
        <f>'Worksheet LSTP'!P39</f>
        <v>0.35869488925709486</v>
      </c>
      <c r="O10" s="187">
        <f>'Worksheet LSTP'!Q39</f>
        <v>0.39910552183840764</v>
      </c>
    </row>
    <row r="11" spans="1:15" ht="14.4" thickTop="1" thickBot="1" x14ac:dyDescent="0.3">
      <c r="A11" s="170" t="str">
        <f>'Worksheet LSTP'!A33</f>
        <v>Source/Drain Subthreshold Off-State Leakage Drain Current</v>
      </c>
      <c r="B11" s="171" t="str">
        <f>'Worksheet LSTP'!B33</f>
        <v>uA/um</v>
      </c>
      <c r="C11" s="181">
        <f>'Worksheet LSTP'!E33</f>
        <v>1.0000000000000001E-5</v>
      </c>
      <c r="D11" s="179">
        <f>'Worksheet LSTP'!F33</f>
        <v>1.0000000000000001E-5</v>
      </c>
      <c r="E11" s="179">
        <f>'Worksheet LSTP'!G33</f>
        <v>1.5E-5</v>
      </c>
      <c r="F11" s="179">
        <f>'Worksheet LSTP'!H33</f>
        <v>2.0000000000000002E-5</v>
      </c>
      <c r="G11" s="179">
        <f>'Worksheet LSTP'!I33</f>
        <v>2.5000000000000001E-5</v>
      </c>
      <c r="H11" s="179">
        <f>'Worksheet LSTP'!J33</f>
        <v>3.0000000000000001E-5</v>
      </c>
      <c r="I11" s="180">
        <f>'Worksheet LSTP'!K33</f>
        <v>4.0000000000000003E-5</v>
      </c>
      <c r="J11" s="181">
        <f>'Worksheet LSTP'!L33</f>
        <v>6.0000000000000002E-5</v>
      </c>
      <c r="K11" s="231">
        <f>'Worksheet LSTP'!M33</f>
        <v>6.0000000000000002E-5</v>
      </c>
      <c r="L11" s="179">
        <f>'Worksheet LSTP'!N33</f>
        <v>8.0000000000000007E-5</v>
      </c>
      <c r="M11" s="179">
        <f>'Worksheet LSTP'!O33</f>
        <v>8.0000000000000007E-5</v>
      </c>
      <c r="N11" s="179">
        <f>'Worksheet LSTP'!P33</f>
        <v>1E-4</v>
      </c>
      <c r="O11" s="182">
        <f>'Worksheet LSTP'!Q33</f>
        <v>1E-4</v>
      </c>
    </row>
    <row r="12" spans="1:15" ht="14.4" thickTop="1" thickBot="1" x14ac:dyDescent="0.3">
      <c r="A12" s="170" t="str">
        <f>'Worksheet LSTP'!A70</f>
        <v>Effective NMOS Current Drive</v>
      </c>
      <c r="B12" s="171" t="str">
        <f>'Worksheet LSTP'!B70</f>
        <v>uA/um</v>
      </c>
      <c r="C12" s="177">
        <f>'Worksheet LSTP'!E70</f>
        <v>410</v>
      </c>
      <c r="D12" s="175">
        <f>'Worksheet LSTP'!F70</f>
        <v>440</v>
      </c>
      <c r="E12" s="175">
        <f>'Worksheet LSTP'!G70</f>
        <v>470</v>
      </c>
      <c r="F12" s="175">
        <f>'Worksheet LSTP'!H70</f>
        <v>510</v>
      </c>
      <c r="G12" s="175">
        <f>'Worksheet LSTP'!I70</f>
        <v>510</v>
      </c>
      <c r="H12" s="175">
        <f>'Worksheet LSTP'!J70</f>
        <v>670</v>
      </c>
      <c r="I12" s="176">
        <f>'Worksheet LSTP'!K70</f>
        <v>700</v>
      </c>
      <c r="J12" s="177">
        <f>'Worksheet LSTP'!L70</f>
        <v>760</v>
      </c>
      <c r="K12" s="230">
        <f>'Worksheet LSTP'!M70</f>
        <v>790</v>
      </c>
      <c r="L12" s="175">
        <f>'Worksheet LSTP'!N70</f>
        <v>880</v>
      </c>
      <c r="M12" s="175">
        <f>'Worksheet LSTP'!O70</f>
        <v>870</v>
      </c>
      <c r="N12" s="175">
        <f>'Worksheet LSTP'!P70</f>
        <v>860</v>
      </c>
      <c r="O12" s="178">
        <f>'Worksheet LSTP'!Q70</f>
        <v>990</v>
      </c>
    </row>
    <row r="13" spans="1:15" ht="14.4" thickTop="1" thickBot="1" x14ac:dyDescent="0.3">
      <c r="A13" s="170" t="str">
        <f>'Worksheet LSTP'!A52</f>
        <v>Mobility Enhancement Factor</v>
      </c>
      <c r="B13" s="171"/>
      <c r="C13" s="177">
        <f>'Worksheet LSTP'!E52</f>
        <v>1</v>
      </c>
      <c r="D13" s="175">
        <f>'Worksheet LSTP'!F52</f>
        <v>1</v>
      </c>
      <c r="E13" s="175">
        <f>'Worksheet LSTP'!G52</f>
        <v>1</v>
      </c>
      <c r="F13" s="175">
        <f>'Worksheet LSTP'!H52</f>
        <v>1</v>
      </c>
      <c r="G13" s="175">
        <f>'Worksheet LSTP'!I52</f>
        <v>1</v>
      </c>
      <c r="H13" s="175">
        <f>'Worksheet LSTP'!J52</f>
        <v>1.3</v>
      </c>
      <c r="I13" s="176">
        <f>'Worksheet LSTP'!K52</f>
        <v>1.3</v>
      </c>
      <c r="J13" s="177">
        <f>'Worksheet LSTP'!L52</f>
        <v>1.3</v>
      </c>
      <c r="K13" s="230">
        <f>'Worksheet LSTP'!M52</f>
        <v>1.3</v>
      </c>
      <c r="L13" s="175">
        <f>'Worksheet LSTP'!N52</f>
        <v>1.3</v>
      </c>
      <c r="M13" s="175">
        <f>'Worksheet LSTP'!O52</f>
        <v>1.3</v>
      </c>
      <c r="N13" s="175">
        <f>'Worksheet LSTP'!P52</f>
        <v>2</v>
      </c>
      <c r="O13" s="178">
        <f>'Worksheet LSTP'!Q52</f>
        <v>2</v>
      </c>
    </row>
    <row r="14" spans="1:15" ht="14.4" thickTop="1" thickBot="1" x14ac:dyDescent="0.3">
      <c r="A14" s="170" t="str">
        <f>'Worksheet LSTP'!A59</f>
        <v>Effective Saturation Carrier Velocity Enhancement Factor</v>
      </c>
      <c r="B14" s="171"/>
      <c r="C14" s="177">
        <f>'Worksheet LSTP'!E59</f>
        <v>1</v>
      </c>
      <c r="D14" s="175">
        <f>'Worksheet LSTP'!F59</f>
        <v>1</v>
      </c>
      <c r="E14" s="175">
        <f>'Worksheet LSTP'!G59</f>
        <v>1</v>
      </c>
      <c r="F14" s="175">
        <f>'Worksheet LSTP'!H59</f>
        <v>1</v>
      </c>
      <c r="G14" s="175">
        <f>'Worksheet LSTP'!I59</f>
        <v>1</v>
      </c>
      <c r="H14" s="175">
        <f>'Worksheet LSTP'!J59</f>
        <v>1</v>
      </c>
      <c r="I14" s="176">
        <f>'Worksheet LSTP'!K59</f>
        <v>1</v>
      </c>
      <c r="J14" s="177">
        <f>'Worksheet LSTP'!L59</f>
        <v>1</v>
      </c>
      <c r="K14" s="230">
        <f>'Worksheet LSTP'!M59</f>
        <v>1</v>
      </c>
      <c r="L14" s="175">
        <f>'Worksheet LSTP'!N59</f>
        <v>1</v>
      </c>
      <c r="M14" s="175">
        <f>'Worksheet LSTP'!O59</f>
        <v>1</v>
      </c>
      <c r="N14" s="175">
        <f>'Worksheet LSTP'!P59</f>
        <v>1.1000000000000001</v>
      </c>
      <c r="O14" s="178">
        <f>'Worksheet LSTP'!Q59</f>
        <v>1.3</v>
      </c>
    </row>
    <row r="15" spans="1:15" ht="14.4" thickTop="1" thickBot="1" x14ac:dyDescent="0.3">
      <c r="A15" s="170" t="str">
        <f>'Worksheet LSTP'!A67</f>
        <v>Effective Parasitic Rsd</v>
      </c>
      <c r="B15" s="171" t="str">
        <f>'Worksheet LSTP'!B67</f>
        <v>ohm-um</v>
      </c>
      <c r="C15" s="177">
        <f>'Worksheet LSTP'!E67</f>
        <v>180</v>
      </c>
      <c r="D15" s="175">
        <f>'Worksheet LSTP'!F67</f>
        <v>180</v>
      </c>
      <c r="E15" s="175">
        <f>'Worksheet LSTP'!G67</f>
        <v>180</v>
      </c>
      <c r="F15" s="175">
        <f>'Worksheet LSTP'!H67</f>
        <v>180</v>
      </c>
      <c r="G15" s="175">
        <f>'Worksheet LSTP'!I67</f>
        <v>180</v>
      </c>
      <c r="H15" s="175">
        <f>'Worksheet LSTP'!J67</f>
        <v>180</v>
      </c>
      <c r="I15" s="176">
        <f>'Worksheet LSTP'!K67</f>
        <v>180</v>
      </c>
      <c r="J15" s="177">
        <f>'Worksheet LSTP'!L67</f>
        <v>180</v>
      </c>
      <c r="K15" s="230">
        <f>'Worksheet LSTP'!M67</f>
        <v>144</v>
      </c>
      <c r="L15" s="175">
        <f>'Worksheet LSTP'!N67</f>
        <v>135</v>
      </c>
      <c r="M15" s="175">
        <f>'Worksheet LSTP'!O67</f>
        <v>116</v>
      </c>
      <c r="N15" s="175">
        <f>'Worksheet LSTP'!P67</f>
        <v>107</v>
      </c>
      <c r="O15" s="178">
        <f>'Worksheet LSTP'!Q67</f>
        <v>88</v>
      </c>
    </row>
    <row r="16" spans="1:15" ht="14.4" thickTop="1" thickBot="1" x14ac:dyDescent="0.3">
      <c r="A16" s="170" t="str">
        <f>'Worksheet LSTP'!A74</f>
        <v>Parasitic Fringe/Overlap Capacitance</v>
      </c>
      <c r="B16" s="171" t="str">
        <f>'Worksheet LSTP'!B74</f>
        <v>F/um</v>
      </c>
      <c r="C16" s="181">
        <f>'Worksheet LSTP'!E74</f>
        <v>2.4E-16</v>
      </c>
      <c r="D16" s="179">
        <f>'Worksheet LSTP'!F74</f>
        <v>2.4E-16</v>
      </c>
      <c r="E16" s="179">
        <f>'Worksheet LSTP'!G74</f>
        <v>2.4E-16</v>
      </c>
      <c r="F16" s="179">
        <f>'Worksheet LSTP'!H74</f>
        <v>2.4E-16</v>
      </c>
      <c r="G16" s="179">
        <f>'Worksheet LSTP'!I74</f>
        <v>2.4E-16</v>
      </c>
      <c r="H16" s="179">
        <f>'Worksheet LSTP'!J74</f>
        <v>2.4E-16</v>
      </c>
      <c r="I16" s="180">
        <f>'Worksheet LSTP'!K74</f>
        <v>2.4E-16</v>
      </c>
      <c r="J16" s="181">
        <f>'Worksheet LSTP'!L74</f>
        <v>2.4E-16</v>
      </c>
      <c r="K16" s="231">
        <f>'Worksheet LSTP'!M74</f>
        <v>1.9000000000000001E-16</v>
      </c>
      <c r="L16" s="179">
        <f>'Worksheet LSTP'!N74</f>
        <v>1.7E-16</v>
      </c>
      <c r="M16" s="179">
        <f>'Worksheet LSTP'!O74</f>
        <v>1.5E-16</v>
      </c>
      <c r="N16" s="179">
        <f>'Worksheet LSTP'!P74</f>
        <v>1.4000000000000001E-16</v>
      </c>
      <c r="O16" s="182">
        <f>'Worksheet LSTP'!Q74</f>
        <v>1.2E-16</v>
      </c>
    </row>
    <row r="17" spans="1:15" ht="14.4" thickTop="1" thickBot="1" x14ac:dyDescent="0.3">
      <c r="A17" s="170" t="str">
        <f>'Worksheet LSTP'!A78</f>
        <v xml:space="preserve">NMOS Device Time Constant </v>
      </c>
      <c r="B17" s="171" t="str">
        <f>'Worksheet LSTP'!B78</f>
        <v>ps</v>
      </c>
      <c r="C17" s="186">
        <f>'Worksheet LSTP'!E78</f>
        <v>3.2290682926829266</v>
      </c>
      <c r="D17" s="184">
        <f>'Worksheet LSTP'!F78</f>
        <v>2.765350156739812</v>
      </c>
      <c r="E17" s="184">
        <f>'Worksheet LSTP'!G78</f>
        <v>2.2815700303951361</v>
      </c>
      <c r="F17" s="184">
        <f>'Worksheet LSTP'!H78</f>
        <v>1.9709294117647056</v>
      </c>
      <c r="G17" s="184">
        <f>'Worksheet LSTP'!I78</f>
        <v>1.7157676214833761</v>
      </c>
      <c r="H17" s="184">
        <f>'Worksheet LSTP'!J78</f>
        <v>1.3488429850746266</v>
      </c>
      <c r="I17" s="185">
        <f>'Worksheet LSTP'!K78</f>
        <v>1.2212241904761905</v>
      </c>
      <c r="J17" s="186">
        <f>'Worksheet LSTP'!L78</f>
        <v>0.98395123839009302</v>
      </c>
      <c r="K17" s="183">
        <f>'Worksheet LSTP'!M78</f>
        <v>0.7868765822784809</v>
      </c>
      <c r="L17" s="184">
        <f>'Worksheet LSTP'!N78</f>
        <v>0.59764827272727283</v>
      </c>
      <c r="M17" s="184">
        <f>'Worksheet LSTP'!O78</f>
        <v>0.48857131034482754</v>
      </c>
      <c r="N17" s="184">
        <f>'Worksheet LSTP'!P78</f>
        <v>0.42850352159468436</v>
      </c>
      <c r="O17" s="187">
        <f>'Worksheet LSTP'!Q78</f>
        <v>0.31161212121212117</v>
      </c>
    </row>
    <row r="18" spans="1:15" ht="14.4" thickTop="1" thickBot="1" x14ac:dyDescent="0.3">
      <c r="A18" s="170" t="str">
        <f>'Worksheet LSTP'!A81</f>
        <v>Relative Performance Improvement (compared to 2003)</v>
      </c>
      <c r="B18" s="171"/>
      <c r="C18" s="186">
        <f>'Worksheet LSTP'!E81</f>
        <v>1</v>
      </c>
      <c r="D18" s="184">
        <f>'Worksheet LSTP'!F81</f>
        <v>1.1676887589851592</v>
      </c>
      <c r="E18" s="184">
        <f>'Worksheet LSTP'!G81</f>
        <v>1.4152834450247829</v>
      </c>
      <c r="F18" s="184">
        <f>'Worksheet LSTP'!H81</f>
        <v>1.638348016630248</v>
      </c>
      <c r="G18" s="184">
        <f>'Worksheet LSTP'!I81</f>
        <v>1.881996286823048</v>
      </c>
      <c r="H18" s="184">
        <f>'Worksheet LSTP'!J81</f>
        <v>2.3939541728826752</v>
      </c>
      <c r="I18" s="185">
        <f>'Worksheet LSTP'!K81</f>
        <v>2.6441240829202868</v>
      </c>
      <c r="J18" s="186">
        <f>'Worksheet LSTP'!L81</f>
        <v>3.2817360929045796</v>
      </c>
      <c r="K18" s="183">
        <f>'Worksheet LSTP'!M81</f>
        <v>4.1036528032551587</v>
      </c>
      <c r="L18" s="184">
        <f>'Worksheet LSTP'!N81</f>
        <v>5.4029576258082148</v>
      </c>
      <c r="M18" s="184">
        <f>'Worksheet LSTP'!O81</f>
        <v>6.6092057071543771</v>
      </c>
      <c r="N18" s="184">
        <f>'Worksheet LSTP'!P81</f>
        <v>7.5356867095651507</v>
      </c>
      <c r="O18" s="187">
        <f>'Worksheet LSTP'!Q81</f>
        <v>10.362460484920705</v>
      </c>
    </row>
    <row r="19" spans="1:15" ht="14.4" thickTop="1" thickBot="1" x14ac:dyDescent="0.3">
      <c r="A19" s="170" t="str">
        <f>'Worksheet LSTP'!A92</f>
        <v>Nominal Gate Delay (NAND Gate)</v>
      </c>
      <c r="B19" s="171" t="str">
        <f>'Worksheet LSTP'!B92</f>
        <v>ps</v>
      </c>
      <c r="C19" s="186">
        <f>'Worksheet LSTP'!E92</f>
        <v>81.372520975609746</v>
      </c>
      <c r="D19" s="184">
        <f>'Worksheet LSTP'!F92</f>
        <v>69.686823949843259</v>
      </c>
      <c r="E19" s="184">
        <f>'Worksheet LSTP'!G92</f>
        <v>57.495564765957432</v>
      </c>
      <c r="F19" s="184">
        <f>'Worksheet LSTP'!H92</f>
        <v>49.667421176470583</v>
      </c>
      <c r="G19" s="184">
        <f>'Worksheet LSTP'!I92</f>
        <v>43.237344061381087</v>
      </c>
      <c r="H19" s="184">
        <f>'Worksheet LSTP'!J92</f>
        <v>33.990843223880589</v>
      </c>
      <c r="I19" s="185">
        <f>'Worksheet LSTP'!K92</f>
        <v>30.77484960000001</v>
      </c>
      <c r="J19" s="186">
        <f>'Worksheet LSTP'!L92</f>
        <v>24.795571207430342</v>
      </c>
      <c r="K19" s="183">
        <f>'Worksheet LSTP'!M92</f>
        <v>19.829289873417721</v>
      </c>
      <c r="L19" s="184">
        <f>'Worksheet LSTP'!N92</f>
        <v>15.060736472727276</v>
      </c>
      <c r="M19" s="184">
        <f>'Worksheet LSTP'!O92</f>
        <v>12.311997020689653</v>
      </c>
      <c r="N19" s="184">
        <f>'Worksheet LSTP'!P92</f>
        <v>10.798288744186047</v>
      </c>
      <c r="O19" s="187">
        <f>'Worksheet LSTP'!Q92</f>
        <v>7.8526254545454535</v>
      </c>
    </row>
    <row r="20" spans="1:15" ht="14.4" thickTop="1" thickBot="1" x14ac:dyDescent="0.3">
      <c r="A20" s="170" t="str">
        <f>'Worksheet LSTP'!A100</f>
        <v>NMOS Device Static Power Dissipation due to Drain &amp; Gate Leakage</v>
      </c>
      <c r="B20" s="171" t="str">
        <f>'Worksheet LSTP'!B100</f>
        <v>Watts/um</v>
      </c>
      <c r="C20" s="190">
        <f>'Worksheet LSTP'!E100</f>
        <v>2.4000000000000001E-11</v>
      </c>
      <c r="D20" s="188">
        <f>'Worksheet LSTP'!F100</f>
        <v>2.4000000000000001E-11</v>
      </c>
      <c r="E20" s="188">
        <f>'Worksheet LSTP'!G100</f>
        <v>3.5999999999999998E-11</v>
      </c>
      <c r="F20" s="188">
        <f>'Worksheet LSTP'!H100</f>
        <v>4.8000000000000002E-11</v>
      </c>
      <c r="G20" s="188">
        <f>'Worksheet LSTP'!I100</f>
        <v>5.5000000000000004E-11</v>
      </c>
      <c r="H20" s="188">
        <f>'Worksheet LSTP'!J100</f>
        <v>6.6000000000000005E-11</v>
      </c>
      <c r="I20" s="189">
        <f>'Worksheet LSTP'!K100</f>
        <v>8.8000000000000019E-11</v>
      </c>
      <c r="J20" s="190">
        <f>'Worksheet LSTP'!L100</f>
        <v>1.2E-10</v>
      </c>
      <c r="K20" s="232">
        <f>'Worksheet LSTP'!M100</f>
        <v>1.2E-10</v>
      </c>
      <c r="L20" s="188">
        <f>'Worksheet LSTP'!N100</f>
        <v>1.4400000000000002E-10</v>
      </c>
      <c r="M20" s="188">
        <f>'Worksheet LSTP'!O100</f>
        <v>1.4400000000000002E-10</v>
      </c>
      <c r="N20" s="188">
        <f>'Worksheet LSTP'!P100</f>
        <v>1.6000000000000002E-10</v>
      </c>
      <c r="O20" s="191">
        <f>'Worksheet LSTP'!Q100</f>
        <v>1.6000000000000002E-10</v>
      </c>
    </row>
    <row r="21" spans="1:15" ht="14.4" thickTop="1" thickBot="1" x14ac:dyDescent="0.3">
      <c r="A21" s="170" t="str">
        <f>'Worksheet LSTP'!A103</f>
        <v>NMOS Device Power Delay Product</v>
      </c>
      <c r="B21" s="171" t="str">
        <f>'Worksheet LSTP'!B103</f>
        <v>Joules/um</v>
      </c>
      <c r="C21" s="192">
        <f>'Worksheet LSTP'!E103</f>
        <v>1.5887015999999995E-15</v>
      </c>
      <c r="D21" s="193">
        <f>'Worksheet LSTP'!F103</f>
        <v>1.4601048827586205E-15</v>
      </c>
      <c r="E21" s="193">
        <f>'Worksheet LSTP'!G103</f>
        <v>1.2868054971428568E-15</v>
      </c>
      <c r="F21" s="193">
        <f>'Worksheet LSTP'!H103</f>
        <v>1.2062087999999998E-15</v>
      </c>
      <c r="G21" s="193">
        <f>'Worksheet LSTP'!I103</f>
        <v>9.6254563565217402E-16</v>
      </c>
      <c r="H21" s="193">
        <f>'Worksheet LSTP'!J103</f>
        <v>9.9409727999999982E-16</v>
      </c>
      <c r="I21" s="194">
        <f>'Worksheet LSTP'!K103</f>
        <v>9.403426266666668E-16</v>
      </c>
      <c r="J21" s="192">
        <f>'Worksheet LSTP'!L103</f>
        <v>7.4780294117647058E-16</v>
      </c>
      <c r="K21" s="233">
        <f>'Worksheet LSTP'!M103</f>
        <v>6.2163249999999995E-16</v>
      </c>
      <c r="L21" s="193">
        <f>'Worksheet LSTP'!N103</f>
        <v>4.7333743199999993E-16</v>
      </c>
      <c r="M21" s="193">
        <f>'Worksheet LSTP'!O103</f>
        <v>3.8255133600000005E-16</v>
      </c>
      <c r="N21" s="193">
        <f>'Worksheet LSTP'!P103</f>
        <v>2.948104228571429E-16</v>
      </c>
      <c r="O21" s="195">
        <f>'Worksheet LSTP'!Q103</f>
        <v>2.4679680000000002E-16</v>
      </c>
    </row>
    <row r="22" spans="1:15" ht="13.8" thickTop="1" x14ac:dyDescent="0.25"/>
    <row r="23" spans="1:15" x14ac:dyDescent="0.25">
      <c r="C23" s="169"/>
      <c r="D23" s="169"/>
      <c r="E23" s="169"/>
      <c r="F23" s="169"/>
      <c r="G23" s="169"/>
      <c r="H23" s="169"/>
      <c r="I23" s="169"/>
      <c r="J23" s="169"/>
      <c r="K23" s="169"/>
      <c r="L23" s="169"/>
      <c r="M23" s="169"/>
      <c r="N23" s="169"/>
      <c r="O23" s="169"/>
    </row>
  </sheetData>
  <phoneticPr fontId="0" type="noConversion"/>
  <printOptions headings="1"/>
  <pageMargins left="0.75" right="0.75" top="1" bottom="1" header="0.5" footer="0.5"/>
  <pageSetup scale="65" pageOrder="overThenDown" orientation="landscape" r:id="rId1"/>
  <headerFooter alignWithMargins="0">
    <oddHeader>&amp;L&amp;F&amp;CLSTP, with extended long-term years&amp;Rp. &amp;P of &amp;N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7"/>
  <sheetViews>
    <sheetView zoomScale="75" zoomScaleNormal="75" workbookViewId="0">
      <pane xSplit="6396" ySplit="3108" topLeftCell="E1"/>
      <selection activeCell="H21" sqref="H21"/>
      <selection pane="topRight" activeCell="K2" sqref="K1:K65536"/>
      <selection pane="bottomLeft" activeCell="A6" sqref="A6:B6"/>
      <selection pane="bottomRight" activeCell="E1" sqref="E1"/>
    </sheetView>
  </sheetViews>
  <sheetFormatPr defaultRowHeight="13.2" x14ac:dyDescent="0.25"/>
  <cols>
    <col min="1" max="1" width="35.5546875" style="1" bestFit="1" customWidth="1"/>
    <col min="2" max="2" width="13.44140625" style="2" customWidth="1"/>
    <col min="3" max="3" width="27.44140625" style="2" customWidth="1"/>
    <col min="4" max="4" width="97" style="38" customWidth="1"/>
    <col min="5" max="5" width="15.6640625" style="16" customWidth="1"/>
    <col min="6" max="6" width="9.44140625" style="30" bestFit="1" customWidth="1"/>
    <col min="7" max="10" width="9.109375" style="30" customWidth="1"/>
    <col min="11" max="12" width="9.88671875" style="30" customWidth="1"/>
    <col min="13" max="16" width="9.109375" style="30" customWidth="1"/>
    <col min="17" max="17" width="11.44140625" style="30" customWidth="1"/>
    <col min="18" max="18" width="3.88671875" customWidth="1"/>
    <col min="19" max="19" width="103.109375" style="1" customWidth="1"/>
  </cols>
  <sheetData>
    <row r="1" spans="1:19" ht="42.75" customHeight="1" thickTop="1" thickBot="1" x14ac:dyDescent="0.3">
      <c r="A1" s="10" t="s">
        <v>438</v>
      </c>
      <c r="B1" s="72" t="s">
        <v>217</v>
      </c>
      <c r="C1" s="72" t="s">
        <v>218</v>
      </c>
      <c r="D1" s="87" t="s">
        <v>238</v>
      </c>
      <c r="E1" s="234" t="s">
        <v>302</v>
      </c>
      <c r="F1" s="235"/>
      <c r="G1" s="235"/>
      <c r="H1" s="235"/>
      <c r="I1" s="235"/>
      <c r="J1" s="235"/>
      <c r="K1" s="235"/>
      <c r="L1" s="235"/>
      <c r="M1" s="235"/>
      <c r="N1" s="235"/>
      <c r="O1" s="235"/>
      <c r="P1" s="235"/>
      <c r="Q1" s="236"/>
      <c r="S1" s="89" t="s">
        <v>297</v>
      </c>
    </row>
    <row r="2" spans="1:19" ht="14.4" thickTop="1" thickBot="1" x14ac:dyDescent="0.3">
      <c r="A2" s="33"/>
    </row>
    <row r="3" spans="1:19" ht="14.4" thickTop="1" thickBot="1" x14ac:dyDescent="0.3">
      <c r="A3" s="10" t="s">
        <v>191</v>
      </c>
      <c r="B3" s="5"/>
      <c r="C3" s="5"/>
      <c r="D3" s="39"/>
      <c r="E3" s="237" t="s">
        <v>300</v>
      </c>
      <c r="F3" s="238"/>
      <c r="G3" s="238"/>
      <c r="H3" s="238"/>
      <c r="I3" s="238"/>
      <c r="J3" s="238"/>
      <c r="K3" s="239"/>
      <c r="L3" s="237" t="s">
        <v>301</v>
      </c>
      <c r="M3" s="238"/>
      <c r="N3" s="238"/>
      <c r="O3" s="238"/>
      <c r="P3" s="238"/>
      <c r="Q3" s="239"/>
    </row>
    <row r="4" spans="1:19" ht="14.4" thickTop="1" thickBot="1" x14ac:dyDescent="0.3">
      <c r="A4" s="46" t="s">
        <v>23</v>
      </c>
      <c r="B4" s="47"/>
      <c r="C4" s="47" t="s">
        <v>181</v>
      </c>
      <c r="D4" s="48" t="s">
        <v>134</v>
      </c>
      <c r="E4" s="133">
        <v>2003</v>
      </c>
      <c r="F4" s="134">
        <v>2004</v>
      </c>
      <c r="G4" s="134">
        <v>2005</v>
      </c>
      <c r="H4" s="134">
        <v>2006</v>
      </c>
      <c r="I4" s="134">
        <v>2007</v>
      </c>
      <c r="J4" s="134">
        <v>2008</v>
      </c>
      <c r="K4" s="224">
        <v>2009</v>
      </c>
      <c r="L4" s="135">
        <v>2010</v>
      </c>
      <c r="M4" s="207">
        <v>2012</v>
      </c>
      <c r="N4" s="134">
        <v>2013</v>
      </c>
      <c r="O4" s="134">
        <v>2015</v>
      </c>
      <c r="P4" s="134">
        <v>2016</v>
      </c>
      <c r="Q4" s="134">
        <v>2018</v>
      </c>
    </row>
    <row r="5" spans="1:19" s="3" customFormat="1" ht="14.4" thickTop="1" thickBot="1" x14ac:dyDescent="0.3">
      <c r="A5" s="8" t="s">
        <v>22</v>
      </c>
      <c r="B5" s="9"/>
      <c r="C5" s="9" t="s">
        <v>82</v>
      </c>
      <c r="D5" s="41" t="s">
        <v>183</v>
      </c>
      <c r="E5" s="52">
        <v>0</v>
      </c>
      <c r="F5" s="17">
        <v>1</v>
      </c>
      <c r="G5" s="17">
        <v>2</v>
      </c>
      <c r="H5" s="17">
        <v>3</v>
      </c>
      <c r="I5" s="17">
        <v>4</v>
      </c>
      <c r="J5" s="17">
        <v>5</v>
      </c>
      <c r="K5" s="92">
        <v>6</v>
      </c>
      <c r="L5" s="113">
        <v>7</v>
      </c>
      <c r="M5" s="150">
        <v>9</v>
      </c>
      <c r="N5" s="17">
        <v>10</v>
      </c>
      <c r="O5" s="17">
        <v>12</v>
      </c>
      <c r="P5" s="17">
        <v>13</v>
      </c>
      <c r="Q5" s="17">
        <v>15</v>
      </c>
      <c r="S5" s="90"/>
    </row>
    <row r="6" spans="1:19" s="3" customFormat="1" ht="14.4" thickTop="1" thickBot="1" x14ac:dyDescent="0.3">
      <c r="A6" s="8" t="s">
        <v>225</v>
      </c>
      <c r="B6" s="9" t="s">
        <v>439</v>
      </c>
      <c r="C6" s="9" t="s">
        <v>182</v>
      </c>
      <c r="D6" s="41" t="s">
        <v>134</v>
      </c>
      <c r="E6" s="52" t="s">
        <v>440</v>
      </c>
      <c r="F6" s="160" t="s">
        <v>441</v>
      </c>
      <c r="G6" s="160" t="s">
        <v>439</v>
      </c>
      <c r="H6" s="160" t="s">
        <v>439</v>
      </c>
      <c r="I6" s="160" t="s">
        <v>442</v>
      </c>
      <c r="J6" s="160" t="s">
        <v>439</v>
      </c>
      <c r="K6" s="161" t="s">
        <v>439</v>
      </c>
      <c r="L6" s="148" t="s">
        <v>443</v>
      </c>
      <c r="M6" s="208" t="s">
        <v>439</v>
      </c>
      <c r="N6" s="160" t="s">
        <v>444</v>
      </c>
      <c r="O6" s="160" t="s">
        <v>439</v>
      </c>
      <c r="P6" s="160" t="s">
        <v>445</v>
      </c>
      <c r="Q6" s="160" t="s">
        <v>439</v>
      </c>
      <c r="S6" s="90"/>
    </row>
    <row r="7" spans="1:19" ht="40.799999999999997" thickTop="1" thickBot="1" x14ac:dyDescent="0.3">
      <c r="A7" s="14" t="s">
        <v>405</v>
      </c>
      <c r="B7" s="15" t="s">
        <v>4</v>
      </c>
      <c r="C7" s="15" t="s">
        <v>62</v>
      </c>
      <c r="D7" s="40" t="s">
        <v>135</v>
      </c>
      <c r="E7" s="51">
        <v>75</v>
      </c>
      <c r="F7" s="20">
        <v>65</v>
      </c>
      <c r="G7" s="20">
        <v>53</v>
      </c>
      <c r="H7" s="20">
        <v>45</v>
      </c>
      <c r="I7" s="20">
        <v>37</v>
      </c>
      <c r="J7" s="20">
        <v>32</v>
      </c>
      <c r="K7" s="91">
        <v>28</v>
      </c>
      <c r="L7" s="112">
        <v>25</v>
      </c>
      <c r="M7" s="209">
        <v>20</v>
      </c>
      <c r="N7" s="20">
        <v>18</v>
      </c>
      <c r="O7" s="20">
        <v>14</v>
      </c>
      <c r="P7" s="20">
        <v>13</v>
      </c>
      <c r="Q7" s="20">
        <v>10</v>
      </c>
      <c r="S7" s="1" t="s">
        <v>298</v>
      </c>
    </row>
    <row r="8" spans="1:19" ht="14.4" thickTop="1" thickBot="1" x14ac:dyDescent="0.3">
      <c r="A8" s="6" t="s">
        <v>10</v>
      </c>
      <c r="B8" s="7" t="s">
        <v>1</v>
      </c>
      <c r="C8" s="7" t="s">
        <v>61</v>
      </c>
      <c r="D8" s="43" t="s">
        <v>133</v>
      </c>
      <c r="E8" s="64">
        <v>1.2</v>
      </c>
      <c r="F8" s="36">
        <v>1.2</v>
      </c>
      <c r="G8" s="36">
        <v>1.2</v>
      </c>
      <c r="H8" s="36">
        <v>1.2</v>
      </c>
      <c r="I8" s="36">
        <v>1.1000000000000001</v>
      </c>
      <c r="J8" s="36">
        <v>1.1000000000000001</v>
      </c>
      <c r="K8" s="103">
        <v>1.1000000000000001</v>
      </c>
      <c r="L8" s="125">
        <v>1</v>
      </c>
      <c r="M8" s="136">
        <v>1</v>
      </c>
      <c r="N8" s="36">
        <v>0.9</v>
      </c>
      <c r="O8" s="36">
        <v>0.9</v>
      </c>
      <c r="P8" s="36">
        <v>0.8</v>
      </c>
      <c r="Q8" s="36">
        <v>0.8</v>
      </c>
    </row>
    <row r="9" spans="1:19" s="3" customFormat="1" ht="14.4" thickTop="1" thickBot="1" x14ac:dyDescent="0.3">
      <c r="A9" s="8"/>
      <c r="B9" s="9"/>
      <c r="C9" s="9"/>
      <c r="D9" s="39"/>
      <c r="E9" s="52"/>
      <c r="F9" s="17"/>
      <c r="G9" s="17"/>
      <c r="H9" s="17"/>
      <c r="I9" s="17"/>
      <c r="J9" s="17"/>
      <c r="K9" s="92"/>
      <c r="L9" s="113"/>
      <c r="M9" s="150"/>
      <c r="N9" s="17"/>
      <c r="O9" s="17"/>
      <c r="P9" s="17"/>
      <c r="Q9" s="17"/>
      <c r="S9" s="90"/>
    </row>
    <row r="10" spans="1:19" s="3" customFormat="1" ht="14.4" thickTop="1" thickBot="1" x14ac:dyDescent="0.3">
      <c r="A10" s="13" t="s">
        <v>348</v>
      </c>
      <c r="B10" s="9"/>
      <c r="C10" s="9"/>
      <c r="D10" s="39"/>
      <c r="E10" s="52"/>
      <c r="F10" s="17"/>
      <c r="G10" s="17"/>
      <c r="H10" s="17"/>
      <c r="I10" s="17"/>
      <c r="J10" s="17"/>
      <c r="K10" s="92"/>
      <c r="L10" s="113"/>
      <c r="M10" s="150"/>
      <c r="N10" s="17"/>
      <c r="O10" s="17"/>
      <c r="P10" s="17"/>
      <c r="Q10" s="17"/>
      <c r="S10" s="90"/>
    </row>
    <row r="11" spans="1:19" ht="27.6" thickTop="1" thickBot="1" x14ac:dyDescent="0.3">
      <c r="A11" s="6" t="s">
        <v>355</v>
      </c>
      <c r="B11" s="7"/>
      <c r="C11" s="7" t="s">
        <v>83</v>
      </c>
      <c r="D11" s="43" t="s">
        <v>133</v>
      </c>
      <c r="E11" s="86">
        <v>0.55000000000000004</v>
      </c>
      <c r="F11" s="19">
        <v>0.55000000000000004</v>
      </c>
      <c r="G11" s="19">
        <v>0.55000000000000004</v>
      </c>
      <c r="H11" s="19">
        <v>0.55000000000000004</v>
      </c>
      <c r="I11" s="19">
        <v>0.55000000000000004</v>
      </c>
      <c r="J11" s="19">
        <v>0.55000000000000004</v>
      </c>
      <c r="K11" s="202">
        <v>0.55000000000000004</v>
      </c>
      <c r="L11" s="225">
        <v>0.55000000000000004</v>
      </c>
      <c r="M11" s="147">
        <v>0.55000000000000004</v>
      </c>
      <c r="N11" s="19">
        <v>0.55000000000000004</v>
      </c>
      <c r="O11" s="19">
        <v>0.55000000000000004</v>
      </c>
      <c r="P11" s="19">
        <v>0.55000000000000004</v>
      </c>
      <c r="Q11" s="19">
        <v>0.55000000000000004</v>
      </c>
    </row>
    <row r="12" spans="1:19" ht="27.6" thickTop="1" thickBot="1" x14ac:dyDescent="0.3">
      <c r="A12" s="8" t="s">
        <v>356</v>
      </c>
      <c r="B12" s="9" t="s">
        <v>4</v>
      </c>
      <c r="C12" s="9" t="s">
        <v>63</v>
      </c>
      <c r="D12" s="39" t="s">
        <v>118</v>
      </c>
      <c r="E12" s="54">
        <f t="shared" ref="E12:Q12" si="0">E11*E7</f>
        <v>41.25</v>
      </c>
      <c r="F12" s="26">
        <f t="shared" si="0"/>
        <v>35.75</v>
      </c>
      <c r="G12" s="26">
        <f t="shared" si="0"/>
        <v>29.150000000000002</v>
      </c>
      <c r="H12" s="26">
        <f t="shared" si="0"/>
        <v>24.750000000000004</v>
      </c>
      <c r="I12" s="26">
        <f t="shared" si="0"/>
        <v>20.350000000000001</v>
      </c>
      <c r="J12" s="26">
        <f t="shared" si="0"/>
        <v>17.600000000000001</v>
      </c>
      <c r="K12" s="94">
        <f t="shared" si="0"/>
        <v>15.400000000000002</v>
      </c>
      <c r="L12" s="115">
        <f t="shared" si="0"/>
        <v>13.750000000000002</v>
      </c>
      <c r="M12" s="210">
        <f t="shared" si="0"/>
        <v>11</v>
      </c>
      <c r="N12" s="26">
        <f t="shared" si="0"/>
        <v>9.9</v>
      </c>
      <c r="O12" s="26">
        <f t="shared" si="0"/>
        <v>7.7000000000000011</v>
      </c>
      <c r="P12" s="26">
        <f t="shared" si="0"/>
        <v>7.15</v>
      </c>
      <c r="Q12" s="26">
        <f t="shared" si="0"/>
        <v>5.5</v>
      </c>
    </row>
    <row r="13" spans="1:19" ht="14.4" thickTop="1" thickBot="1" x14ac:dyDescent="0.3">
      <c r="A13" s="6" t="s">
        <v>334</v>
      </c>
      <c r="B13" s="7" t="s">
        <v>39</v>
      </c>
      <c r="C13" s="7" t="s">
        <v>332</v>
      </c>
      <c r="D13" s="43" t="s">
        <v>133</v>
      </c>
      <c r="E13" s="65">
        <v>3.6E+18</v>
      </c>
      <c r="F13" s="140">
        <v>4E+18</v>
      </c>
      <c r="G13" s="140">
        <v>6E+18</v>
      </c>
      <c r="H13" s="140">
        <v>8E+18</v>
      </c>
      <c r="I13" s="140">
        <v>9E+18</v>
      </c>
      <c r="J13" s="140">
        <v>9E+18</v>
      </c>
      <c r="K13" s="203">
        <v>1.2E+19</v>
      </c>
      <c r="L13" s="226">
        <v>8E+18</v>
      </c>
      <c r="M13" s="149">
        <v>1.8E+19</v>
      </c>
      <c r="N13" s="140">
        <v>1.2E+19</v>
      </c>
      <c r="O13" s="140">
        <v>3E+19</v>
      </c>
      <c r="P13" s="140">
        <v>2.8E+19</v>
      </c>
      <c r="Q13" s="140">
        <v>7E+19</v>
      </c>
    </row>
    <row r="14" spans="1:19" ht="14.4" thickTop="1" thickBot="1" x14ac:dyDescent="0.3">
      <c r="A14" s="4" t="s">
        <v>326</v>
      </c>
      <c r="B14" s="5" t="s">
        <v>1</v>
      </c>
      <c r="C14" s="5" t="s">
        <v>323</v>
      </c>
      <c r="D14" s="39" t="s">
        <v>330</v>
      </c>
      <c r="E14" s="62">
        <f t="shared" ref="E14:Q14" si="1">E117*LN(E13/E118)</f>
        <v>0.50169988651396291</v>
      </c>
      <c r="F14" s="22">
        <f t="shared" si="1"/>
        <v>0.50443925992106631</v>
      </c>
      <c r="G14" s="22">
        <f t="shared" si="1"/>
        <v>0.51498135273187862</v>
      </c>
      <c r="H14" s="22">
        <f t="shared" si="1"/>
        <v>0.52246108661562496</v>
      </c>
      <c r="I14" s="22">
        <f t="shared" si="1"/>
        <v>0.52552344554269093</v>
      </c>
      <c r="J14" s="22">
        <f t="shared" si="1"/>
        <v>0.52552344554269093</v>
      </c>
      <c r="K14" s="104">
        <f t="shared" si="1"/>
        <v>0.53300317942643727</v>
      </c>
      <c r="L14" s="123">
        <f t="shared" si="1"/>
        <v>0.52246108661562496</v>
      </c>
      <c r="M14" s="85">
        <f t="shared" si="1"/>
        <v>0.54354527223724947</v>
      </c>
      <c r="N14" s="22">
        <f t="shared" si="1"/>
        <v>0.53300317942643727</v>
      </c>
      <c r="O14" s="22">
        <f t="shared" si="1"/>
        <v>0.55682673845516528</v>
      </c>
      <c r="P14" s="22">
        <f t="shared" si="1"/>
        <v>0.55503292379650448</v>
      </c>
      <c r="Q14" s="22">
        <f t="shared" si="1"/>
        <v>0.5788564828252325</v>
      </c>
    </row>
    <row r="15" spans="1:19" ht="14.4" thickTop="1" thickBot="1" x14ac:dyDescent="0.3">
      <c r="A15" s="8" t="s">
        <v>357</v>
      </c>
      <c r="B15" s="9" t="s">
        <v>4</v>
      </c>
      <c r="C15" s="9" t="s">
        <v>119</v>
      </c>
      <c r="D15" s="39" t="s">
        <v>333</v>
      </c>
      <c r="E15" s="58">
        <f t="shared" ref="E15:Q15" si="2">10000000*SQRT((2*(2*E14)*E115*10000)/((1.6E-19)*E13))</f>
        <v>18.997805849875494</v>
      </c>
      <c r="F15" s="150">
        <f t="shared" si="2"/>
        <v>18.072038299174206</v>
      </c>
      <c r="G15" s="17">
        <f t="shared" si="2"/>
        <v>14.909147820483991</v>
      </c>
      <c r="H15" s="17">
        <f t="shared" si="2"/>
        <v>13.005129323711627</v>
      </c>
      <c r="I15" s="17">
        <f t="shared" si="2"/>
        <v>12.297235423953508</v>
      </c>
      <c r="J15" s="17">
        <f t="shared" si="2"/>
        <v>12.297235423953508</v>
      </c>
      <c r="K15" s="92">
        <f t="shared" si="2"/>
        <v>10.725238804888722</v>
      </c>
      <c r="L15" s="113">
        <f t="shared" si="2"/>
        <v>13.005129323711627</v>
      </c>
      <c r="M15" s="150">
        <f t="shared" si="2"/>
        <v>8.8432988701227817</v>
      </c>
      <c r="N15" s="17">
        <f t="shared" si="2"/>
        <v>10.725238804888722</v>
      </c>
      <c r="O15" s="17">
        <f t="shared" si="2"/>
        <v>6.9331741242557738</v>
      </c>
      <c r="P15" s="17">
        <f t="shared" si="2"/>
        <v>7.1649481377934832</v>
      </c>
      <c r="Q15" s="17">
        <f t="shared" si="2"/>
        <v>4.6277418512679329</v>
      </c>
    </row>
    <row r="16" spans="1:19" ht="14.4" thickTop="1" thickBot="1" x14ac:dyDescent="0.3">
      <c r="A16" s="4"/>
      <c r="B16" s="5"/>
      <c r="C16" s="5"/>
      <c r="D16" s="39"/>
      <c r="E16" s="63"/>
      <c r="F16" s="141"/>
      <c r="G16" s="141"/>
      <c r="H16" s="141"/>
      <c r="I16" s="141"/>
      <c r="J16" s="141"/>
      <c r="K16" s="204"/>
      <c r="L16" s="63"/>
      <c r="M16" s="142"/>
      <c r="N16" s="141"/>
      <c r="O16" s="141"/>
      <c r="P16" s="141"/>
      <c r="Q16" s="141"/>
    </row>
    <row r="17" spans="1:19" s="3" customFormat="1" ht="14.4" thickTop="1" thickBot="1" x14ac:dyDescent="0.3">
      <c r="A17" s="13" t="s">
        <v>185</v>
      </c>
      <c r="B17" s="9"/>
      <c r="C17" s="9"/>
      <c r="D17" s="39"/>
      <c r="E17" s="52"/>
      <c r="F17" s="17"/>
      <c r="G17" s="17"/>
      <c r="H17" s="17"/>
      <c r="I17" s="17"/>
      <c r="J17" s="17"/>
      <c r="K17" s="92"/>
      <c r="L17" s="113"/>
      <c r="M17" s="150"/>
      <c r="N17" s="17"/>
      <c r="O17" s="17"/>
      <c r="P17" s="17"/>
      <c r="Q17" s="17"/>
      <c r="S17" s="90"/>
    </row>
    <row r="18" spans="1:19" ht="14.4" thickTop="1" thickBot="1" x14ac:dyDescent="0.3">
      <c r="A18" s="11" t="s">
        <v>349</v>
      </c>
      <c r="B18" s="12" t="s">
        <v>1</v>
      </c>
      <c r="C18" s="12" t="s">
        <v>327</v>
      </c>
      <c r="D18" s="44" t="s">
        <v>133</v>
      </c>
      <c r="E18" s="137">
        <v>-0.45500000000000002</v>
      </c>
      <c r="F18" s="138">
        <f>E18</f>
        <v>-0.45500000000000002</v>
      </c>
      <c r="G18" s="138">
        <f t="shared" ref="G18:M18" si="3">F18</f>
        <v>-0.45500000000000002</v>
      </c>
      <c r="H18" s="138">
        <f t="shared" si="3"/>
        <v>-0.45500000000000002</v>
      </c>
      <c r="I18" s="138">
        <f t="shared" si="3"/>
        <v>-0.45500000000000002</v>
      </c>
      <c r="J18" s="138">
        <f t="shared" si="3"/>
        <v>-0.45500000000000002</v>
      </c>
      <c r="K18" s="205">
        <f>I18</f>
        <v>-0.45500000000000002</v>
      </c>
      <c r="L18" s="227">
        <f>J18</f>
        <v>-0.45500000000000002</v>
      </c>
      <c r="M18" s="158">
        <f t="shared" si="3"/>
        <v>-0.45500000000000002</v>
      </c>
      <c r="N18" s="138">
        <f>L18</f>
        <v>-0.45500000000000002</v>
      </c>
      <c r="O18" s="138">
        <f>M18</f>
        <v>-0.45500000000000002</v>
      </c>
      <c r="P18" s="138">
        <f>N18</f>
        <v>-0.45500000000000002</v>
      </c>
      <c r="Q18" s="138">
        <f>O18</f>
        <v>-0.45500000000000002</v>
      </c>
    </row>
    <row r="19" spans="1:19" ht="14.4" thickTop="1" thickBot="1" x14ac:dyDescent="0.3">
      <c r="A19" s="4" t="s">
        <v>329</v>
      </c>
      <c r="B19" s="2" t="s">
        <v>1</v>
      </c>
      <c r="C19" s="5" t="s">
        <v>328</v>
      </c>
      <c r="D19" s="39" t="s">
        <v>331</v>
      </c>
      <c r="E19" s="139">
        <f t="shared" ref="E19:Q19" si="4">E18+2*E14+(0.00000001/E27)*(2*E115*1.6E-19*E13*(2*E14))^0.5</f>
        <v>0.55790676349683876</v>
      </c>
      <c r="F19" s="143">
        <f t="shared" si="4"/>
        <v>0.56359213706374678</v>
      </c>
      <c r="G19" s="143">
        <f t="shared" si="4"/>
        <v>0.58656858237914844</v>
      </c>
      <c r="H19" s="143">
        <f t="shared" si="4"/>
        <v>0.602456293805266</v>
      </c>
      <c r="I19" s="143">
        <f t="shared" si="4"/>
        <v>0.60784177554268459</v>
      </c>
      <c r="J19" s="143">
        <f t="shared" si="4"/>
        <v>0.60579049128924067</v>
      </c>
      <c r="K19" s="206">
        <f t="shared" si="4"/>
        <v>0.62174072932709024</v>
      </c>
      <c r="L19" s="228">
        <f t="shared" si="4"/>
        <v>0.59811755976041425</v>
      </c>
      <c r="M19" s="144">
        <f t="shared" si="4"/>
        <v>0.64389164876852378</v>
      </c>
      <c r="N19" s="143">
        <f t="shared" si="4"/>
        <v>0.61995166758138753</v>
      </c>
      <c r="O19" s="143">
        <f t="shared" si="4"/>
        <v>0.6731098876575059</v>
      </c>
      <c r="P19" s="143">
        <f t="shared" si="4"/>
        <v>0.66807997266475416</v>
      </c>
      <c r="Q19" s="143">
        <f t="shared" si="4"/>
        <v>0.72222607036178221</v>
      </c>
    </row>
    <row r="20" spans="1:19" ht="27.6" thickTop="1" thickBot="1" x14ac:dyDescent="0.3">
      <c r="A20" s="4" t="s">
        <v>350</v>
      </c>
      <c r="B20" s="5" t="s">
        <v>1</v>
      </c>
      <c r="C20" s="5" t="s">
        <v>335</v>
      </c>
      <c r="D20" s="39" t="s">
        <v>336</v>
      </c>
      <c r="E20" s="139">
        <f t="shared" ref="E20:Q20" si="5">E19-E39</f>
        <v>6.2698472202778188E-2</v>
      </c>
      <c r="F20" s="143">
        <f t="shared" si="5"/>
        <v>6.3087363877744274E-2</v>
      </c>
      <c r="G20" s="143">
        <f t="shared" si="5"/>
        <v>7.2158043485550993E-2</v>
      </c>
      <c r="H20" s="143">
        <f t="shared" si="5"/>
        <v>8.4653706556037656E-2</v>
      </c>
      <c r="I20" s="143">
        <f t="shared" si="5"/>
        <v>0.11161006634906101</v>
      </c>
      <c r="J20" s="143">
        <f t="shared" si="5"/>
        <v>0.13713234183931128</v>
      </c>
      <c r="K20" s="206">
        <f t="shared" si="5"/>
        <v>0.14981763559585998</v>
      </c>
      <c r="L20" s="228">
        <f t="shared" si="5"/>
        <v>0.20442066438080425</v>
      </c>
      <c r="M20" s="144">
        <f t="shared" si="5"/>
        <v>0.21263818358057196</v>
      </c>
      <c r="N20" s="143">
        <f t="shared" si="5"/>
        <v>0.27662384697258185</v>
      </c>
      <c r="O20" s="143">
        <f t="shared" si="5"/>
        <v>0.29761299176155115</v>
      </c>
      <c r="P20" s="143">
        <f t="shared" si="5"/>
        <v>0.3093850834076593</v>
      </c>
      <c r="Q20" s="143">
        <f t="shared" si="5"/>
        <v>0.32312054852337457</v>
      </c>
    </row>
    <row r="21" spans="1:19" ht="27.6" thickTop="1" thickBot="1" x14ac:dyDescent="0.3">
      <c r="A21" s="4" t="s">
        <v>351</v>
      </c>
      <c r="B21" s="5" t="s">
        <v>1</v>
      </c>
      <c r="C21" s="5" t="s">
        <v>338</v>
      </c>
      <c r="D21" s="39" t="s">
        <v>339</v>
      </c>
      <c r="E21" s="139">
        <f t="shared" ref="E21:Q21" si="6">(E115/E116)*(0.64*2*E14 + 0.8*E8)</f>
        <v>4.8065275642136172</v>
      </c>
      <c r="F21" s="143">
        <f t="shared" si="6"/>
        <v>4.8170467580968941</v>
      </c>
      <c r="G21" s="143">
        <f t="shared" si="6"/>
        <v>4.857528394490414</v>
      </c>
      <c r="H21" s="143">
        <f t="shared" si="6"/>
        <v>4.8862505726039993</v>
      </c>
      <c r="I21" s="143">
        <f t="shared" si="6"/>
        <v>4.6580100308839336</v>
      </c>
      <c r="J21" s="143">
        <f t="shared" si="6"/>
        <v>4.6580100308839336</v>
      </c>
      <c r="K21" s="206">
        <f>(K115/K116)*(0.64*2*K14 + 0.8*K8)</f>
        <v>4.6867322089975199</v>
      </c>
      <c r="L21" s="228">
        <f t="shared" si="6"/>
        <v>4.4062505726039998</v>
      </c>
      <c r="M21" s="144">
        <f t="shared" si="6"/>
        <v>4.4872138453910377</v>
      </c>
      <c r="N21" s="143">
        <f>(N115/N116)*(0.64*2*N14 + 0.8*N8)</f>
        <v>4.2067322089975194</v>
      </c>
      <c r="O21" s="143">
        <f t="shared" si="6"/>
        <v>4.2982146756678352</v>
      </c>
      <c r="P21" s="143">
        <f>(P115/P116)*(0.64*2*P14 + 0.8*P8)</f>
        <v>4.0513264273785774</v>
      </c>
      <c r="Q21" s="143">
        <f t="shared" si="6"/>
        <v>4.1428088940488923</v>
      </c>
    </row>
    <row r="22" spans="1:19" ht="27.6" thickTop="1" thickBot="1" x14ac:dyDescent="0.3">
      <c r="A22" s="4" t="s">
        <v>352</v>
      </c>
      <c r="B22" s="5" t="s">
        <v>342</v>
      </c>
      <c r="C22" s="5" t="s">
        <v>340</v>
      </c>
      <c r="D22" s="39" t="s">
        <v>343</v>
      </c>
      <c r="E22" s="71">
        <f t="shared" ref="E22:Q22" si="7">0.1*(1+(E12/E7)^2)*(E15/(E7)^2)</f>
        <v>4.3990474879045035E-4</v>
      </c>
      <c r="F22" s="29">
        <f t="shared" si="7"/>
        <v>5.5713206827631722E-4</v>
      </c>
      <c r="G22" s="29">
        <f t="shared" si="7"/>
        <v>6.9131951000998219E-4</v>
      </c>
      <c r="H22" s="29">
        <f t="shared" si="7"/>
        <v>8.3650276267330345E-4</v>
      </c>
      <c r="I22" s="29">
        <f t="shared" si="7"/>
        <v>1.1699889802556204E-3</v>
      </c>
      <c r="J22" s="29">
        <f t="shared" si="7"/>
        <v>1.5641747206737739E-3</v>
      </c>
      <c r="K22" s="111">
        <f>0.1*(1+(K12/K7)^2)*(K15/(K7)^2)</f>
        <v>1.7818397376744338E-3</v>
      </c>
      <c r="L22" s="132">
        <f t="shared" si="7"/>
        <v>2.710268951061503E-3</v>
      </c>
      <c r="M22" s="151">
        <f t="shared" si="7"/>
        <v>2.8795991945837307E-3</v>
      </c>
      <c r="N22" s="29">
        <f>0.1*(1+(N12/N7)^2)*(N15/(N7)^2)</f>
        <v>4.3116122047430743E-3</v>
      </c>
      <c r="O22" s="29">
        <f t="shared" si="7"/>
        <v>4.6073771922669109E-3</v>
      </c>
      <c r="P22" s="29">
        <f>0.1*(1+(P12/P7)^2)*(P15/(P7)^2)</f>
        <v>5.5220976032402435E-3</v>
      </c>
      <c r="Q22" s="29">
        <f t="shared" si="7"/>
        <v>6.0276337612764829E-3</v>
      </c>
    </row>
    <row r="23" spans="1:19" ht="40.799999999999997" thickTop="1" thickBot="1" x14ac:dyDescent="0.3">
      <c r="A23" s="34" t="s">
        <v>354</v>
      </c>
      <c r="B23" s="35" t="s">
        <v>5</v>
      </c>
      <c r="C23" s="35" t="s">
        <v>337</v>
      </c>
      <c r="D23" s="152" t="s">
        <v>341</v>
      </c>
      <c r="E23" s="61">
        <f t="shared" ref="E23:L23" si="8">E20/(E21*E22) - E25</f>
        <v>21.65287937294249</v>
      </c>
      <c r="F23" s="77">
        <f t="shared" si="8"/>
        <v>15.507333122445477</v>
      </c>
      <c r="G23" s="77">
        <f t="shared" si="8"/>
        <v>14.487732444350641</v>
      </c>
      <c r="H23" s="77">
        <f t="shared" si="8"/>
        <v>13.711085639290467</v>
      </c>
      <c r="I23" s="77">
        <f t="shared" si="8"/>
        <v>13.479586120869328</v>
      </c>
      <c r="J23" s="77">
        <f t="shared" si="8"/>
        <v>14.821499061740717</v>
      </c>
      <c r="K23" s="101">
        <f t="shared" si="8"/>
        <v>13.940071071715618</v>
      </c>
      <c r="L23" s="122">
        <f t="shared" si="8"/>
        <v>13.117613447075801</v>
      </c>
      <c r="M23" s="153">
        <f>M20/(M21*M22) - M25</f>
        <v>12.45630937071153</v>
      </c>
      <c r="N23" s="77">
        <f>N20/(N21*N22) - N25</f>
        <v>11.251236559866342</v>
      </c>
      <c r="O23" s="77">
        <f>O20/(O21*O22) - O25</f>
        <v>11.028305496766381</v>
      </c>
      <c r="P23" s="77">
        <f>P20/(P21*P22) - P25</f>
        <v>9.8292317762214285</v>
      </c>
      <c r="Q23" s="77">
        <f>Q20/(Q21*Q22) - Q25</f>
        <v>8.9396586797204005</v>
      </c>
    </row>
    <row r="24" spans="1:19" ht="14.4" thickTop="1" thickBot="1" x14ac:dyDescent="0.3">
      <c r="A24" s="6" t="s">
        <v>353</v>
      </c>
      <c r="B24" s="7" t="s">
        <v>5</v>
      </c>
      <c r="C24" s="7" t="s">
        <v>64</v>
      </c>
      <c r="D24" s="43" t="s">
        <v>133</v>
      </c>
      <c r="E24" s="55">
        <v>22</v>
      </c>
      <c r="F24" s="76">
        <v>21</v>
      </c>
      <c r="G24" s="76">
        <v>21</v>
      </c>
      <c r="H24" s="76">
        <v>19</v>
      </c>
      <c r="I24" s="76">
        <v>16</v>
      </c>
      <c r="J24" s="76">
        <v>15</v>
      </c>
      <c r="K24" s="100">
        <v>14</v>
      </c>
      <c r="L24" s="121">
        <v>13</v>
      </c>
      <c r="M24" s="145">
        <v>12</v>
      </c>
      <c r="N24" s="76">
        <v>11</v>
      </c>
      <c r="O24" s="76">
        <v>11</v>
      </c>
      <c r="P24" s="76">
        <v>10</v>
      </c>
      <c r="Q24" s="76">
        <v>9</v>
      </c>
    </row>
    <row r="25" spans="1:19" ht="27.6" thickTop="1" thickBot="1" x14ac:dyDescent="0.3">
      <c r="A25" s="6" t="s">
        <v>226</v>
      </c>
      <c r="B25" s="7" t="s">
        <v>5</v>
      </c>
      <c r="C25" s="7" t="s">
        <v>227</v>
      </c>
      <c r="D25" s="43" t="s">
        <v>133</v>
      </c>
      <c r="E25" s="50">
        <v>8</v>
      </c>
      <c r="F25" s="18">
        <v>8</v>
      </c>
      <c r="G25" s="18">
        <v>7</v>
      </c>
      <c r="H25" s="18">
        <v>7</v>
      </c>
      <c r="I25" s="18">
        <v>7</v>
      </c>
      <c r="J25" s="18">
        <v>4</v>
      </c>
      <c r="K25" s="96">
        <v>4</v>
      </c>
      <c r="L25" s="117">
        <v>4</v>
      </c>
      <c r="M25" s="211">
        <v>4</v>
      </c>
      <c r="N25" s="18">
        <v>4</v>
      </c>
      <c r="O25" s="18">
        <v>4</v>
      </c>
      <c r="P25" s="18">
        <v>4</v>
      </c>
      <c r="Q25" s="18">
        <v>4</v>
      </c>
      <c r="S25" s="1" t="s">
        <v>299</v>
      </c>
    </row>
    <row r="26" spans="1:19" ht="14.4" thickTop="1" thickBot="1" x14ac:dyDescent="0.3">
      <c r="A26" s="14" t="s">
        <v>205</v>
      </c>
      <c r="B26" s="15" t="s">
        <v>5</v>
      </c>
      <c r="C26" s="15" t="s">
        <v>84</v>
      </c>
      <c r="D26" s="40" t="s">
        <v>228</v>
      </c>
      <c r="E26" s="56">
        <f>E24+E25</f>
        <v>30</v>
      </c>
      <c r="F26" s="20">
        <f t="shared" ref="F26:L26" si="9">F24+F25</f>
        <v>29</v>
      </c>
      <c r="G26" s="20">
        <f t="shared" si="9"/>
        <v>28</v>
      </c>
      <c r="H26" s="20">
        <f t="shared" si="9"/>
        <v>26</v>
      </c>
      <c r="I26" s="20">
        <f t="shared" si="9"/>
        <v>23</v>
      </c>
      <c r="J26" s="20">
        <f t="shared" si="9"/>
        <v>19</v>
      </c>
      <c r="K26" s="91">
        <f t="shared" si="9"/>
        <v>18</v>
      </c>
      <c r="L26" s="112">
        <f t="shared" si="9"/>
        <v>17</v>
      </c>
      <c r="M26" s="209">
        <f>M24+M25</f>
        <v>16</v>
      </c>
      <c r="N26" s="20">
        <f>N24+N25</f>
        <v>15</v>
      </c>
      <c r="O26" s="20">
        <f>O24+O25</f>
        <v>15</v>
      </c>
      <c r="P26" s="20">
        <f>P24+P25</f>
        <v>14</v>
      </c>
      <c r="Q26" s="20">
        <f>Q24+Q25</f>
        <v>13</v>
      </c>
    </row>
    <row r="27" spans="1:19" ht="14.4" thickTop="1" thickBot="1" x14ac:dyDescent="0.3">
      <c r="A27" s="8" t="s">
        <v>76</v>
      </c>
      <c r="B27" s="9" t="s">
        <v>54</v>
      </c>
      <c r="C27" s="9" t="s">
        <v>85</v>
      </c>
      <c r="D27" s="39" t="s">
        <v>136</v>
      </c>
      <c r="E27" s="57">
        <f t="shared" ref="E27:Q27" si="10">(E116)/(E26*0.0001)</f>
        <v>1.1510199999999998E-14</v>
      </c>
      <c r="F27" s="28">
        <f t="shared" si="10"/>
        <v>1.1907103448275858E-14</v>
      </c>
      <c r="G27" s="28">
        <f t="shared" si="10"/>
        <v>1.233235714285714E-14</v>
      </c>
      <c r="H27" s="28">
        <f t="shared" si="10"/>
        <v>1.3280999999999996E-14</v>
      </c>
      <c r="I27" s="28">
        <f t="shared" si="10"/>
        <v>1.5013304347826086E-14</v>
      </c>
      <c r="J27" s="28">
        <f t="shared" si="10"/>
        <v>1.8173999999999996E-14</v>
      </c>
      <c r="K27" s="97">
        <f t="shared" si="10"/>
        <v>1.9183666666666663E-14</v>
      </c>
      <c r="L27" s="118">
        <f t="shared" si="10"/>
        <v>2.031211764705882E-14</v>
      </c>
      <c r="M27" s="159">
        <f t="shared" si="10"/>
        <v>2.1581624999999996E-14</v>
      </c>
      <c r="N27" s="28">
        <f t="shared" si="10"/>
        <v>2.3020399999999997E-14</v>
      </c>
      <c r="O27" s="28">
        <f t="shared" si="10"/>
        <v>2.3020399999999997E-14</v>
      </c>
      <c r="P27" s="28">
        <f t="shared" si="10"/>
        <v>2.466471428571428E-14</v>
      </c>
      <c r="Q27" s="28">
        <f t="shared" si="10"/>
        <v>2.6561999999999993E-14</v>
      </c>
    </row>
    <row r="28" spans="1:19" ht="54" thickTop="1" thickBot="1" x14ac:dyDescent="0.3">
      <c r="A28" s="11" t="s">
        <v>229</v>
      </c>
      <c r="B28" s="12"/>
      <c r="C28" s="12" t="s">
        <v>86</v>
      </c>
      <c r="D28" s="44" t="s">
        <v>133</v>
      </c>
      <c r="E28" s="74">
        <v>1</v>
      </c>
      <c r="F28" s="26">
        <f t="shared" ref="F28:M28" si="11">E28</f>
        <v>1</v>
      </c>
      <c r="G28" s="26">
        <f t="shared" si="11"/>
        <v>1</v>
      </c>
      <c r="H28" s="26">
        <f t="shared" si="11"/>
        <v>1</v>
      </c>
      <c r="I28" s="26">
        <f t="shared" si="11"/>
        <v>1</v>
      </c>
      <c r="J28" s="26">
        <f t="shared" si="11"/>
        <v>1</v>
      </c>
      <c r="K28" s="94">
        <f>I28</f>
        <v>1</v>
      </c>
      <c r="L28" s="115">
        <f>J28</f>
        <v>1</v>
      </c>
      <c r="M28" s="210">
        <f t="shared" si="11"/>
        <v>1</v>
      </c>
      <c r="N28" s="26">
        <f t="shared" ref="N28:Q29" si="12">L28</f>
        <v>1</v>
      </c>
      <c r="O28" s="26">
        <f t="shared" si="12"/>
        <v>1</v>
      </c>
      <c r="P28" s="26">
        <f t="shared" si="12"/>
        <v>1</v>
      </c>
      <c r="Q28" s="26">
        <f t="shared" si="12"/>
        <v>1</v>
      </c>
    </row>
    <row r="29" spans="1:19" ht="27.6" thickTop="1" thickBot="1" x14ac:dyDescent="0.3">
      <c r="A29" s="11" t="s">
        <v>51</v>
      </c>
      <c r="B29" s="12"/>
      <c r="C29" s="12" t="s">
        <v>87</v>
      </c>
      <c r="D29" s="44" t="s">
        <v>133</v>
      </c>
      <c r="E29" s="75">
        <v>3</v>
      </c>
      <c r="F29" s="17">
        <f t="shared" ref="F29:M29" si="13">E29</f>
        <v>3</v>
      </c>
      <c r="G29" s="17">
        <f t="shared" si="13"/>
        <v>3</v>
      </c>
      <c r="H29" s="17">
        <f t="shared" si="13"/>
        <v>3</v>
      </c>
      <c r="I29" s="17">
        <f t="shared" si="13"/>
        <v>3</v>
      </c>
      <c r="J29" s="17">
        <f t="shared" si="13"/>
        <v>3</v>
      </c>
      <c r="K29" s="92">
        <f>I29</f>
        <v>3</v>
      </c>
      <c r="L29" s="113">
        <f>J29</f>
        <v>3</v>
      </c>
      <c r="M29" s="150">
        <f t="shared" si="13"/>
        <v>3</v>
      </c>
      <c r="N29" s="17">
        <f t="shared" si="12"/>
        <v>3</v>
      </c>
      <c r="O29" s="17">
        <f t="shared" si="12"/>
        <v>3</v>
      </c>
      <c r="P29" s="17">
        <f t="shared" si="12"/>
        <v>3</v>
      </c>
      <c r="Q29" s="17">
        <f t="shared" si="12"/>
        <v>3</v>
      </c>
    </row>
    <row r="30" spans="1:19" ht="14.4" thickTop="1" thickBot="1" x14ac:dyDescent="0.3">
      <c r="A30" s="14" t="s">
        <v>49</v>
      </c>
      <c r="B30" s="15" t="s">
        <v>50</v>
      </c>
      <c r="C30" s="15" t="s">
        <v>88</v>
      </c>
      <c r="D30" s="40" t="s">
        <v>184</v>
      </c>
      <c r="E30" s="154">
        <f t="shared" ref="E30:Q30" si="14">(E28/E29)*(E33*0.01/(E7*0.0000001))</f>
        <v>4.4444444444444453E-3</v>
      </c>
      <c r="F30" s="155">
        <f t="shared" si="14"/>
        <v>5.1282051282051291E-3</v>
      </c>
      <c r="G30" s="155">
        <f t="shared" si="14"/>
        <v>9.4339622641509448E-3</v>
      </c>
      <c r="H30" s="155">
        <f t="shared" si="14"/>
        <v>1.4814814814814815E-2</v>
      </c>
      <c r="I30" s="155">
        <f t="shared" si="14"/>
        <v>2.2522522522522528E-2</v>
      </c>
      <c r="J30" s="155">
        <f t="shared" si="14"/>
        <v>3.125E-2</v>
      </c>
      <c r="K30" s="156">
        <f t="shared" si="14"/>
        <v>4.7619047619047623E-2</v>
      </c>
      <c r="L30" s="157">
        <f t="shared" si="14"/>
        <v>8.0000000000000016E-2</v>
      </c>
      <c r="M30" s="212">
        <f t="shared" si="14"/>
        <v>0.1</v>
      </c>
      <c r="N30" s="155">
        <f t="shared" si="14"/>
        <v>0.14814814814814817</v>
      </c>
      <c r="O30" s="155">
        <f t="shared" si="14"/>
        <v>0.19047619047619049</v>
      </c>
      <c r="P30" s="155">
        <f t="shared" si="14"/>
        <v>0.2564102564102565</v>
      </c>
      <c r="Q30" s="155">
        <f t="shared" si="14"/>
        <v>0.33333333333333337</v>
      </c>
    </row>
    <row r="31" spans="1:19" s="3" customFormat="1" ht="14.4" thickTop="1" thickBot="1" x14ac:dyDescent="0.3">
      <c r="A31" s="8"/>
      <c r="B31" s="9"/>
      <c r="C31" s="9"/>
      <c r="D31" s="41"/>
      <c r="E31" s="57"/>
      <c r="F31" s="28"/>
      <c r="G31" s="28"/>
      <c r="H31" s="28"/>
      <c r="I31" s="28"/>
      <c r="J31" s="28"/>
      <c r="K31" s="97"/>
      <c r="L31" s="118"/>
      <c r="M31" s="159"/>
      <c r="N31" s="28"/>
      <c r="O31" s="28"/>
      <c r="P31" s="28"/>
      <c r="Q31" s="28"/>
      <c r="S31" s="90"/>
    </row>
    <row r="32" spans="1:19" ht="27.6" thickTop="1" thickBot="1" x14ac:dyDescent="0.3">
      <c r="A32" s="13" t="s">
        <v>186</v>
      </c>
      <c r="B32" s="9"/>
      <c r="C32" s="9"/>
      <c r="D32" s="39"/>
      <c r="E32" s="58"/>
      <c r="F32" s="17"/>
      <c r="G32" s="17"/>
      <c r="H32" s="17"/>
      <c r="I32" s="17"/>
      <c r="J32" s="17"/>
      <c r="K32" s="92"/>
      <c r="L32" s="113"/>
      <c r="M32" s="150"/>
      <c r="N32" s="17"/>
      <c r="O32" s="17"/>
      <c r="P32" s="17"/>
      <c r="Q32" s="17"/>
    </row>
    <row r="33" spans="1:19" ht="27.6" thickTop="1" thickBot="1" x14ac:dyDescent="0.3">
      <c r="A33" s="6" t="s">
        <v>230</v>
      </c>
      <c r="B33" s="7" t="s">
        <v>2</v>
      </c>
      <c r="C33" s="7" t="s">
        <v>65</v>
      </c>
      <c r="D33" s="43" t="s">
        <v>133</v>
      </c>
      <c r="E33" s="162">
        <v>1.0000000000000001E-5</v>
      </c>
      <c r="F33" s="163">
        <v>1.0000000000000001E-5</v>
      </c>
      <c r="G33" s="163">
        <v>1.5E-5</v>
      </c>
      <c r="H33" s="163">
        <v>2.0000000000000002E-5</v>
      </c>
      <c r="I33" s="163">
        <v>2.5000000000000001E-5</v>
      </c>
      <c r="J33" s="163">
        <v>3.0000000000000001E-5</v>
      </c>
      <c r="K33" s="164">
        <v>4.0000000000000003E-5</v>
      </c>
      <c r="L33" s="165">
        <v>6.0000000000000002E-5</v>
      </c>
      <c r="M33" s="213">
        <v>6.0000000000000002E-5</v>
      </c>
      <c r="N33" s="163">
        <v>8.0000000000000007E-5</v>
      </c>
      <c r="O33" s="163">
        <v>8.0000000000000007E-5</v>
      </c>
      <c r="P33" s="163">
        <v>1E-4</v>
      </c>
      <c r="Q33" s="163">
        <v>1E-4</v>
      </c>
    </row>
    <row r="34" spans="1:19" ht="27.6" thickTop="1" thickBot="1" x14ac:dyDescent="0.3">
      <c r="A34" s="6" t="s">
        <v>389</v>
      </c>
      <c r="B34" s="7"/>
      <c r="C34" s="7" t="s">
        <v>390</v>
      </c>
      <c r="D34" s="43" t="s">
        <v>133</v>
      </c>
      <c r="E34" s="64">
        <v>1</v>
      </c>
      <c r="F34" s="36">
        <v>1</v>
      </c>
      <c r="G34" s="36">
        <v>1</v>
      </c>
      <c r="H34" s="36">
        <v>1</v>
      </c>
      <c r="I34" s="36">
        <v>1</v>
      </c>
      <c r="J34" s="36">
        <v>1</v>
      </c>
      <c r="K34" s="103">
        <v>1</v>
      </c>
      <c r="L34" s="125">
        <v>0.8</v>
      </c>
      <c r="M34" s="136">
        <v>0.8</v>
      </c>
      <c r="N34" s="36">
        <v>0.5</v>
      </c>
      <c r="O34" s="36">
        <v>0.5</v>
      </c>
      <c r="P34" s="36">
        <v>0.5</v>
      </c>
      <c r="Q34" s="36">
        <v>0.5</v>
      </c>
    </row>
    <row r="35" spans="1:19" ht="14.4" thickTop="1" thickBot="1" x14ac:dyDescent="0.3">
      <c r="A35" s="4" t="s">
        <v>7</v>
      </c>
      <c r="B35" s="5" t="s">
        <v>6</v>
      </c>
      <c r="C35" s="5" t="s">
        <v>66</v>
      </c>
      <c r="D35" s="39" t="s">
        <v>395</v>
      </c>
      <c r="E35" s="60">
        <f t="shared" ref="E35:Q35" si="15">1000*E117*LN(10)*(1+(E115/E116)*(E26/(10*E15))*E34)</f>
        <v>88.228640891130595</v>
      </c>
      <c r="F35" s="21">
        <f t="shared" si="15"/>
        <v>88.687688526456185</v>
      </c>
      <c r="G35" s="21">
        <f t="shared" si="15"/>
        <v>93.597147244769104</v>
      </c>
      <c r="H35" s="21">
        <f t="shared" si="15"/>
        <v>95.773372613253557</v>
      </c>
      <c r="I35" s="21">
        <f t="shared" si="15"/>
        <v>93.458808532082003</v>
      </c>
      <c r="J35" s="21">
        <f t="shared" si="15"/>
        <v>87.616791816562568</v>
      </c>
      <c r="K35" s="99">
        <f t="shared" si="15"/>
        <v>90.009473391000128</v>
      </c>
      <c r="L35" s="120">
        <f t="shared" si="15"/>
        <v>78.648896212366495</v>
      </c>
      <c r="M35" s="146">
        <f t="shared" si="15"/>
        <v>85.86317829673375</v>
      </c>
      <c r="N35" s="21">
        <f t="shared" si="15"/>
        <v>72.426487823326411</v>
      </c>
      <c r="O35" s="21">
        <f t="shared" si="15"/>
        <v>79.295720273849881</v>
      </c>
      <c r="P35" s="21">
        <f t="shared" si="15"/>
        <v>77.413905521501349</v>
      </c>
      <c r="Q35" s="21">
        <f t="shared" si="15"/>
        <v>85.093568590416226</v>
      </c>
    </row>
    <row r="36" spans="1:19" ht="27.6" thickTop="1" thickBot="1" x14ac:dyDescent="0.3">
      <c r="A36" s="6" t="s">
        <v>386</v>
      </c>
      <c r="B36" s="7"/>
      <c r="C36" s="7" t="s">
        <v>391</v>
      </c>
      <c r="D36" s="43" t="s">
        <v>133</v>
      </c>
      <c r="E36" s="64">
        <v>1</v>
      </c>
      <c r="F36" s="36">
        <v>1</v>
      </c>
      <c r="G36" s="36">
        <v>1</v>
      </c>
      <c r="H36" s="36">
        <v>1</v>
      </c>
      <c r="I36" s="36">
        <v>1</v>
      </c>
      <c r="J36" s="36">
        <v>1</v>
      </c>
      <c r="K36" s="103">
        <v>1</v>
      </c>
      <c r="L36" s="125">
        <v>0.8</v>
      </c>
      <c r="M36" s="136">
        <v>0.8</v>
      </c>
      <c r="N36" s="36">
        <v>0.5</v>
      </c>
      <c r="O36" s="36">
        <v>0.5</v>
      </c>
      <c r="P36" s="36">
        <v>0.5</v>
      </c>
      <c r="Q36" s="36">
        <v>0.5</v>
      </c>
    </row>
    <row r="37" spans="1:19" ht="27.6" thickTop="1" thickBot="1" x14ac:dyDescent="0.3">
      <c r="A37" s="6" t="s">
        <v>216</v>
      </c>
      <c r="B37" s="7" t="s">
        <v>2</v>
      </c>
      <c r="C37" s="7" t="s">
        <v>89</v>
      </c>
      <c r="D37" s="43" t="s">
        <v>133</v>
      </c>
      <c r="E37" s="55">
        <v>410</v>
      </c>
      <c r="F37" s="76">
        <v>440</v>
      </c>
      <c r="G37" s="76">
        <v>470</v>
      </c>
      <c r="H37" s="76">
        <v>510</v>
      </c>
      <c r="I37" s="76">
        <v>510</v>
      </c>
      <c r="J37" s="76">
        <v>670</v>
      </c>
      <c r="K37" s="100">
        <v>700</v>
      </c>
      <c r="L37" s="121">
        <v>760</v>
      </c>
      <c r="M37" s="145">
        <v>790</v>
      </c>
      <c r="N37" s="76">
        <v>880</v>
      </c>
      <c r="O37" s="76">
        <v>870</v>
      </c>
      <c r="P37" s="76">
        <v>860</v>
      </c>
      <c r="Q37" s="76">
        <v>980</v>
      </c>
    </row>
    <row r="38" spans="1:19" s="3" customFormat="1" ht="27.6" thickTop="1" thickBot="1" x14ac:dyDescent="0.3">
      <c r="A38" s="34" t="s">
        <v>344</v>
      </c>
      <c r="B38" s="35" t="s">
        <v>2</v>
      </c>
      <c r="C38" s="35" t="s">
        <v>180</v>
      </c>
      <c r="D38" s="45" t="s">
        <v>138</v>
      </c>
      <c r="E38" s="61">
        <f>E70</f>
        <v>410</v>
      </c>
      <c r="F38" s="77">
        <f t="shared" ref="F38:L38" si="16">F70</f>
        <v>440</v>
      </c>
      <c r="G38" s="77">
        <f t="shared" si="16"/>
        <v>470</v>
      </c>
      <c r="H38" s="77">
        <f t="shared" si="16"/>
        <v>510</v>
      </c>
      <c r="I38" s="77">
        <f t="shared" si="16"/>
        <v>510</v>
      </c>
      <c r="J38" s="77">
        <f t="shared" si="16"/>
        <v>670</v>
      </c>
      <c r="K38" s="101">
        <f>K70</f>
        <v>700</v>
      </c>
      <c r="L38" s="122">
        <f t="shared" si="16"/>
        <v>760</v>
      </c>
      <c r="M38" s="153">
        <f>M70</f>
        <v>790</v>
      </c>
      <c r="N38" s="77">
        <f>N70</f>
        <v>880</v>
      </c>
      <c r="O38" s="77">
        <f>O70</f>
        <v>870</v>
      </c>
      <c r="P38" s="77">
        <f>P70</f>
        <v>860</v>
      </c>
      <c r="Q38" s="77">
        <f>Q70</f>
        <v>990</v>
      </c>
      <c r="S38" s="90"/>
    </row>
    <row r="39" spans="1:19" s="3" customFormat="1" ht="14.4" thickTop="1" thickBot="1" x14ac:dyDescent="0.3">
      <c r="A39" s="4" t="s">
        <v>224</v>
      </c>
      <c r="B39" s="9" t="s">
        <v>1</v>
      </c>
      <c r="C39" s="9" t="s">
        <v>67</v>
      </c>
      <c r="D39" s="39" t="s">
        <v>392</v>
      </c>
      <c r="E39" s="62">
        <f>(E35/1000)*LOG10((E37*E36/100)/E33)</f>
        <v>0.49520829129406058</v>
      </c>
      <c r="F39" s="85">
        <f t="shared" ref="F39:Q39" si="17">(F35/1000)*LOG10((F37*F36/100)/F33)</f>
        <v>0.50050477318600251</v>
      </c>
      <c r="G39" s="85">
        <f t="shared" si="17"/>
        <v>0.51441053889359745</v>
      </c>
      <c r="H39" s="85">
        <f t="shared" si="17"/>
        <v>0.51780258724922834</v>
      </c>
      <c r="I39" s="85">
        <f t="shared" si="17"/>
        <v>0.49623170919362358</v>
      </c>
      <c r="J39" s="85">
        <f t="shared" si="17"/>
        <v>0.4686581494499294</v>
      </c>
      <c r="K39" s="104">
        <f>(K35/1000)*LOG10((K37*K36/100)/K33)</f>
        <v>0.47192309373123026</v>
      </c>
      <c r="L39" s="123">
        <f t="shared" si="17"/>
        <v>0.39369689537961</v>
      </c>
      <c r="M39" s="85">
        <f t="shared" si="17"/>
        <v>0.43125346518795182</v>
      </c>
      <c r="N39" s="85">
        <f>(N35/1000)*LOG10((N37*N36/100)/N33)</f>
        <v>0.34332782060880568</v>
      </c>
      <c r="O39" s="85">
        <f t="shared" si="17"/>
        <v>0.37549689589595475</v>
      </c>
      <c r="P39" s="85">
        <f>(P35/1000)*LOG10((P37*P36/100)/P33)</f>
        <v>0.35869488925709486</v>
      </c>
      <c r="Q39" s="22">
        <f t="shared" si="17"/>
        <v>0.39910552183840764</v>
      </c>
      <c r="S39" s="90"/>
    </row>
    <row r="40" spans="1:19" ht="14.4" thickTop="1" thickBot="1" x14ac:dyDescent="0.3">
      <c r="A40" s="4"/>
      <c r="B40" s="5"/>
      <c r="C40" s="5"/>
      <c r="D40" s="39"/>
      <c r="E40" s="49"/>
      <c r="F40" s="23"/>
      <c r="G40" s="23"/>
      <c r="H40" s="23"/>
      <c r="I40" s="23"/>
      <c r="J40" s="23"/>
      <c r="K40" s="102"/>
      <c r="L40" s="124"/>
      <c r="M40" s="214"/>
      <c r="N40" s="23"/>
      <c r="O40" s="23"/>
      <c r="P40" s="23"/>
      <c r="Q40" s="23"/>
    </row>
    <row r="41" spans="1:19" ht="14.4" thickTop="1" thickBot="1" x14ac:dyDescent="0.3">
      <c r="A41" s="10" t="s">
        <v>207</v>
      </c>
      <c r="B41" s="5"/>
      <c r="C41" s="5"/>
      <c r="D41" s="39"/>
      <c r="E41" s="49"/>
      <c r="F41" s="23"/>
      <c r="G41" s="23"/>
      <c r="H41" s="23"/>
      <c r="I41" s="23"/>
      <c r="J41" s="23"/>
      <c r="K41" s="102"/>
      <c r="L41" s="124"/>
      <c r="M41" s="214"/>
      <c r="N41" s="23"/>
      <c r="O41" s="23"/>
      <c r="P41" s="23"/>
      <c r="Q41" s="23"/>
    </row>
    <row r="42" spans="1:19" ht="14.4" thickTop="1" thickBot="1" x14ac:dyDescent="0.3">
      <c r="A42" s="4" t="s">
        <v>32</v>
      </c>
      <c r="B42" s="5" t="s">
        <v>9</v>
      </c>
      <c r="C42" s="5" t="s">
        <v>68</v>
      </c>
      <c r="D42" s="39" t="s">
        <v>141</v>
      </c>
      <c r="E42" s="63">
        <f t="shared" ref="E42:Q42" si="18">(0.000001)*(E8+E39)/(6*E26*0.00000001)</f>
        <v>0.94178238405225567</v>
      </c>
      <c r="F42" s="27">
        <f t="shared" si="18"/>
        <v>0.97730159378505865</v>
      </c>
      <c r="G42" s="27">
        <f t="shared" si="18"/>
        <v>1.0204824636271412</v>
      </c>
      <c r="H42" s="27">
        <f t="shared" si="18"/>
        <v>1.101155504646941</v>
      </c>
      <c r="I42" s="27">
        <f t="shared" si="18"/>
        <v>1.1566896443432055</v>
      </c>
      <c r="J42" s="27">
        <f t="shared" si="18"/>
        <v>1.3760159205701132</v>
      </c>
      <c r="K42" s="95">
        <f>(0.000001)*(K8+K39)/(6*K26*0.00000001)</f>
        <v>1.4554843460474354</v>
      </c>
      <c r="L42" s="116">
        <f t="shared" si="18"/>
        <v>1.3663695052741276</v>
      </c>
      <c r="M42" s="215">
        <f t="shared" si="18"/>
        <v>1.4908890262374495</v>
      </c>
      <c r="N42" s="27">
        <f>(0.000001)*(N8+N39)/(6*N26*0.00000001)</f>
        <v>1.3814753562320059</v>
      </c>
      <c r="O42" s="27">
        <f t="shared" si="18"/>
        <v>1.4172187732177273</v>
      </c>
      <c r="P42" s="27">
        <f>(0.000001)*(P8+P39)/(6*P26*0.00000001)</f>
        <v>1.3793986776870177</v>
      </c>
      <c r="Q42" s="27">
        <f t="shared" si="18"/>
        <v>1.537314771587702</v>
      </c>
    </row>
    <row r="43" spans="1:19" ht="27.6" thickTop="1" thickBot="1" x14ac:dyDescent="0.3">
      <c r="A43" s="6" t="s">
        <v>57</v>
      </c>
      <c r="B43" s="7"/>
      <c r="C43" s="7" t="s">
        <v>393</v>
      </c>
      <c r="D43" s="43" t="s">
        <v>133</v>
      </c>
      <c r="E43" s="64">
        <v>1</v>
      </c>
      <c r="F43" s="36">
        <v>1</v>
      </c>
      <c r="G43" s="36">
        <v>1</v>
      </c>
      <c r="H43" s="36">
        <v>1</v>
      </c>
      <c r="I43" s="36">
        <v>1</v>
      </c>
      <c r="J43" s="36">
        <v>1</v>
      </c>
      <c r="K43" s="103">
        <v>1</v>
      </c>
      <c r="L43" s="125">
        <v>0.8</v>
      </c>
      <c r="M43" s="136">
        <v>0.8</v>
      </c>
      <c r="N43" s="36">
        <v>0.5</v>
      </c>
      <c r="O43" s="36">
        <v>0.5</v>
      </c>
      <c r="P43" s="36">
        <v>0.5</v>
      </c>
      <c r="Q43" s="36">
        <v>0.5</v>
      </c>
    </row>
    <row r="44" spans="1:19" s="3" customFormat="1" ht="14.4" thickTop="1" thickBot="1" x14ac:dyDescent="0.3">
      <c r="A44" s="8" t="s">
        <v>58</v>
      </c>
      <c r="B44" s="9" t="s">
        <v>9</v>
      </c>
      <c r="C44" s="9" t="s">
        <v>69</v>
      </c>
      <c r="D44" s="39" t="s">
        <v>394</v>
      </c>
      <c r="E44" s="54">
        <f>E42*E43</f>
        <v>0.94178238405225567</v>
      </c>
      <c r="F44" s="26">
        <f t="shared" ref="F44:L44" si="19">F42*F43</f>
        <v>0.97730159378505865</v>
      </c>
      <c r="G44" s="26">
        <f t="shared" si="19"/>
        <v>1.0204824636271412</v>
      </c>
      <c r="H44" s="26">
        <f t="shared" si="19"/>
        <v>1.101155504646941</v>
      </c>
      <c r="I44" s="26">
        <f t="shared" si="19"/>
        <v>1.1566896443432055</v>
      </c>
      <c r="J44" s="26">
        <f t="shared" si="19"/>
        <v>1.3760159205701132</v>
      </c>
      <c r="K44" s="94">
        <f t="shared" si="19"/>
        <v>1.4554843460474354</v>
      </c>
      <c r="L44" s="115">
        <f t="shared" si="19"/>
        <v>1.0930956042193021</v>
      </c>
      <c r="M44" s="210">
        <f>M42*M43</f>
        <v>1.1927112209899595</v>
      </c>
      <c r="N44" s="26">
        <f>N42*N43</f>
        <v>0.69073767811600295</v>
      </c>
      <c r="O44" s="26">
        <f>O42*O43</f>
        <v>0.70860938660886363</v>
      </c>
      <c r="P44" s="26">
        <f>P42*P43</f>
        <v>0.68969933884350887</v>
      </c>
      <c r="Q44" s="26">
        <f>Q42*Q43</f>
        <v>0.76865738579385101</v>
      </c>
      <c r="S44" s="90"/>
    </row>
    <row r="45" spans="1:19" ht="27.6" thickTop="1" thickBot="1" x14ac:dyDescent="0.3">
      <c r="A45" s="11" t="s">
        <v>231</v>
      </c>
      <c r="B45" s="12" t="s">
        <v>18</v>
      </c>
      <c r="C45" s="12" t="s">
        <v>120</v>
      </c>
      <c r="D45" s="44" t="s">
        <v>133</v>
      </c>
      <c r="E45" s="75">
        <v>330</v>
      </c>
      <c r="F45" s="17">
        <f t="shared" ref="F45:M45" si="20">E45</f>
        <v>330</v>
      </c>
      <c r="G45" s="17">
        <f t="shared" si="20"/>
        <v>330</v>
      </c>
      <c r="H45" s="17">
        <f t="shared" si="20"/>
        <v>330</v>
      </c>
      <c r="I45" s="17">
        <f t="shared" si="20"/>
        <v>330</v>
      </c>
      <c r="J45" s="17">
        <f t="shared" si="20"/>
        <v>330</v>
      </c>
      <c r="K45" s="92">
        <f>I45</f>
        <v>330</v>
      </c>
      <c r="L45" s="113">
        <f>J45</f>
        <v>330</v>
      </c>
      <c r="M45" s="150">
        <f t="shared" si="20"/>
        <v>330</v>
      </c>
      <c r="N45" s="17">
        <f t="shared" ref="N45:Q46" si="21">L45</f>
        <v>330</v>
      </c>
      <c r="O45" s="17">
        <f t="shared" si="21"/>
        <v>330</v>
      </c>
      <c r="P45" s="17">
        <f t="shared" si="21"/>
        <v>330</v>
      </c>
      <c r="Q45" s="17">
        <f t="shared" si="21"/>
        <v>330</v>
      </c>
    </row>
    <row r="46" spans="1:19" ht="27.6" thickTop="1" thickBot="1" x14ac:dyDescent="0.3">
      <c r="A46" s="11" t="s">
        <v>232</v>
      </c>
      <c r="B46" s="12"/>
      <c r="C46" s="12" t="s">
        <v>121</v>
      </c>
      <c r="D46" s="44" t="s">
        <v>133</v>
      </c>
      <c r="E46" s="74">
        <v>0.3</v>
      </c>
      <c r="F46" s="26">
        <f t="shared" ref="F46:M46" si="22">E46</f>
        <v>0.3</v>
      </c>
      <c r="G46" s="26">
        <f t="shared" si="22"/>
        <v>0.3</v>
      </c>
      <c r="H46" s="26">
        <f t="shared" si="22"/>
        <v>0.3</v>
      </c>
      <c r="I46" s="26">
        <f t="shared" si="22"/>
        <v>0.3</v>
      </c>
      <c r="J46" s="26">
        <f t="shared" si="22"/>
        <v>0.3</v>
      </c>
      <c r="K46" s="94">
        <f>I46</f>
        <v>0.3</v>
      </c>
      <c r="L46" s="115">
        <f>J46</f>
        <v>0.3</v>
      </c>
      <c r="M46" s="210">
        <f t="shared" si="22"/>
        <v>0.3</v>
      </c>
      <c r="N46" s="26">
        <f t="shared" si="21"/>
        <v>0.3</v>
      </c>
      <c r="O46" s="26">
        <f t="shared" si="21"/>
        <v>0.3</v>
      </c>
      <c r="P46" s="26">
        <f t="shared" si="21"/>
        <v>0.3</v>
      </c>
      <c r="Q46" s="26">
        <f t="shared" si="21"/>
        <v>0.3</v>
      </c>
    </row>
    <row r="47" spans="1:19" ht="27.6" thickTop="1" thickBot="1" x14ac:dyDescent="0.3">
      <c r="A47" s="4" t="s">
        <v>233</v>
      </c>
      <c r="B47" s="5" t="s">
        <v>18</v>
      </c>
      <c r="C47" s="5" t="s">
        <v>122</v>
      </c>
      <c r="D47" s="39" t="s">
        <v>192</v>
      </c>
      <c r="E47" s="60">
        <f t="shared" ref="E47:L47" si="23">E45/((E44)^E46)</f>
        <v>335.99187167617259</v>
      </c>
      <c r="F47" s="21">
        <f t="shared" si="23"/>
        <v>332.28088444413203</v>
      </c>
      <c r="G47" s="21">
        <f t="shared" si="23"/>
        <v>327.99881604349611</v>
      </c>
      <c r="H47" s="21">
        <f t="shared" si="23"/>
        <v>320.59691844496388</v>
      </c>
      <c r="I47" s="21">
        <f t="shared" si="23"/>
        <v>315.89946154782308</v>
      </c>
      <c r="J47" s="21">
        <f t="shared" si="23"/>
        <v>299.86577611067202</v>
      </c>
      <c r="K47" s="99">
        <f t="shared" si="23"/>
        <v>294.85716001222482</v>
      </c>
      <c r="L47" s="120">
        <f t="shared" si="23"/>
        <v>321.30426877602588</v>
      </c>
      <c r="M47" s="146">
        <f>M45/((M44)^M46)</f>
        <v>313.00649423384829</v>
      </c>
      <c r="N47" s="21">
        <f>N45/((N44)^N46)</f>
        <v>368.73978316014347</v>
      </c>
      <c r="O47" s="21">
        <f>O45/((O44)^O46)</f>
        <v>365.92482145544136</v>
      </c>
      <c r="P47" s="21">
        <f>P45/((P44)^P46)</f>
        <v>368.90623630938211</v>
      </c>
      <c r="Q47" s="21">
        <f>Q45/((Q44)^Q46)</f>
        <v>357.10349321393693</v>
      </c>
    </row>
    <row r="48" spans="1:19" ht="27.6" thickTop="1" thickBot="1" x14ac:dyDescent="0.3">
      <c r="A48" s="11" t="s">
        <v>234</v>
      </c>
      <c r="B48" s="12" t="s">
        <v>18</v>
      </c>
      <c r="C48" s="12" t="s">
        <v>123</v>
      </c>
      <c r="D48" s="44" t="s">
        <v>133</v>
      </c>
      <c r="E48" s="75">
        <v>1450</v>
      </c>
      <c r="F48" s="17">
        <f t="shared" ref="F48:M48" si="24">E48</f>
        <v>1450</v>
      </c>
      <c r="G48" s="17">
        <f t="shared" si="24"/>
        <v>1450</v>
      </c>
      <c r="H48" s="17">
        <f t="shared" si="24"/>
        <v>1450</v>
      </c>
      <c r="I48" s="17">
        <f t="shared" si="24"/>
        <v>1450</v>
      </c>
      <c r="J48" s="17">
        <f t="shared" si="24"/>
        <v>1450</v>
      </c>
      <c r="K48" s="92">
        <f>I48</f>
        <v>1450</v>
      </c>
      <c r="L48" s="113">
        <f>J48</f>
        <v>1450</v>
      </c>
      <c r="M48" s="150">
        <f t="shared" si="24"/>
        <v>1450</v>
      </c>
      <c r="N48" s="17">
        <f t="shared" ref="N48:Q49" si="25">L48</f>
        <v>1450</v>
      </c>
      <c r="O48" s="17">
        <f t="shared" si="25"/>
        <v>1450</v>
      </c>
      <c r="P48" s="17">
        <f t="shared" si="25"/>
        <v>1450</v>
      </c>
      <c r="Q48" s="17">
        <f t="shared" si="25"/>
        <v>1450</v>
      </c>
    </row>
    <row r="49" spans="1:19" ht="27.6" thickTop="1" thickBot="1" x14ac:dyDescent="0.3">
      <c r="A49" s="11" t="s">
        <v>235</v>
      </c>
      <c r="B49" s="12"/>
      <c r="C49" s="12" t="s">
        <v>124</v>
      </c>
      <c r="D49" s="44" t="s">
        <v>133</v>
      </c>
      <c r="E49" s="74">
        <v>2.9</v>
      </c>
      <c r="F49" s="26">
        <f t="shared" ref="F49:M49" si="26">E49</f>
        <v>2.9</v>
      </c>
      <c r="G49" s="26">
        <f t="shared" si="26"/>
        <v>2.9</v>
      </c>
      <c r="H49" s="26">
        <f t="shared" si="26"/>
        <v>2.9</v>
      </c>
      <c r="I49" s="26">
        <f t="shared" si="26"/>
        <v>2.9</v>
      </c>
      <c r="J49" s="26">
        <f t="shared" si="26"/>
        <v>2.9</v>
      </c>
      <c r="K49" s="94">
        <f>I49</f>
        <v>2.9</v>
      </c>
      <c r="L49" s="115">
        <f>J49</f>
        <v>2.9</v>
      </c>
      <c r="M49" s="210">
        <f t="shared" si="26"/>
        <v>2.9</v>
      </c>
      <c r="N49" s="26">
        <f t="shared" si="25"/>
        <v>2.9</v>
      </c>
      <c r="O49" s="26">
        <f t="shared" si="25"/>
        <v>2.9</v>
      </c>
      <c r="P49" s="26">
        <f t="shared" si="25"/>
        <v>2.9</v>
      </c>
      <c r="Q49" s="26">
        <f t="shared" si="25"/>
        <v>2.9</v>
      </c>
    </row>
    <row r="50" spans="1:19" ht="27.6" thickTop="1" thickBot="1" x14ac:dyDescent="0.3">
      <c r="A50" s="4" t="s">
        <v>236</v>
      </c>
      <c r="B50" s="5" t="s">
        <v>18</v>
      </c>
      <c r="C50" s="5" t="s">
        <v>125</v>
      </c>
      <c r="D50" s="39" t="s">
        <v>193</v>
      </c>
      <c r="E50" s="60">
        <f t="shared" ref="E50:L50" si="27">E48/((E44)^E49)</f>
        <v>1725.485723250514</v>
      </c>
      <c r="F50" s="21">
        <f t="shared" si="27"/>
        <v>1549.8334923216335</v>
      </c>
      <c r="G50" s="21">
        <f t="shared" si="27"/>
        <v>1367.1995877229842</v>
      </c>
      <c r="H50" s="21">
        <f t="shared" si="27"/>
        <v>1096.4956300109495</v>
      </c>
      <c r="I50" s="21">
        <f t="shared" si="27"/>
        <v>950.69047930280635</v>
      </c>
      <c r="J50" s="21">
        <f t="shared" si="27"/>
        <v>574.5925250508302</v>
      </c>
      <c r="K50" s="99">
        <f t="shared" si="27"/>
        <v>488.25437046006778</v>
      </c>
      <c r="L50" s="120">
        <f t="shared" si="27"/>
        <v>1120.1066445966123</v>
      </c>
      <c r="M50" s="146">
        <f>M48/((M44)^M49)</f>
        <v>869.79241769593511</v>
      </c>
      <c r="N50" s="21">
        <f>N48/((N44)^N49)</f>
        <v>4239.9416286042242</v>
      </c>
      <c r="O50" s="21">
        <f>O48/((O44)^O49)</f>
        <v>3937.2046517750218</v>
      </c>
      <c r="P50" s="21">
        <f>P48/((P44)^P49)</f>
        <v>4258.4794340384697</v>
      </c>
      <c r="Q50" s="21">
        <f>Q48/((Q44)^Q49)</f>
        <v>3109.874541405411</v>
      </c>
    </row>
    <row r="51" spans="1:19" s="3" customFormat="1" ht="14.4" thickTop="1" thickBot="1" x14ac:dyDescent="0.3">
      <c r="A51" s="8" t="s">
        <v>204</v>
      </c>
      <c r="B51" s="9" t="s">
        <v>18</v>
      </c>
      <c r="C51" s="9" t="s">
        <v>90</v>
      </c>
      <c r="D51" s="39" t="s">
        <v>142</v>
      </c>
      <c r="E51" s="58">
        <f t="shared" ref="E51:L51" si="28">E50*E47/(E47+E50)</f>
        <v>281.22991932205429</v>
      </c>
      <c r="F51" s="17">
        <f t="shared" si="28"/>
        <v>273.61782574272371</v>
      </c>
      <c r="G51" s="17">
        <f t="shared" si="28"/>
        <v>264.53531638062407</v>
      </c>
      <c r="H51" s="17">
        <f t="shared" si="28"/>
        <v>248.06645158985259</v>
      </c>
      <c r="I51" s="17">
        <f t="shared" si="28"/>
        <v>237.11116030868257</v>
      </c>
      <c r="J51" s="17">
        <f t="shared" si="28"/>
        <v>197.03699220751756</v>
      </c>
      <c r="K51" s="92">
        <f t="shared" si="28"/>
        <v>183.83753965490357</v>
      </c>
      <c r="L51" s="113">
        <f t="shared" si="28"/>
        <v>249.68247642248923</v>
      </c>
      <c r="M51" s="150">
        <f>M50*M47/(M47+M50)</f>
        <v>230.17494573950862</v>
      </c>
      <c r="N51" s="17">
        <f>N50*N47/(N47+N50)</f>
        <v>339.23697844513151</v>
      </c>
      <c r="O51" s="17">
        <f>O50*O47/(O47+O50)</f>
        <v>334.80770639065247</v>
      </c>
      <c r="P51" s="17">
        <f>P50*P47/(P47+P50)</f>
        <v>339.49615016505538</v>
      </c>
      <c r="Q51" s="17">
        <f>Q50*Q47/(Q47+Q50)</f>
        <v>320.32134357461928</v>
      </c>
      <c r="S51" s="90"/>
    </row>
    <row r="52" spans="1:19" ht="14.4" thickTop="1" thickBot="1" x14ac:dyDescent="0.3">
      <c r="A52" s="6" t="s">
        <v>17</v>
      </c>
      <c r="B52" s="7"/>
      <c r="C52" s="7" t="s">
        <v>91</v>
      </c>
      <c r="D52" s="43" t="s">
        <v>133</v>
      </c>
      <c r="E52" s="64">
        <v>1</v>
      </c>
      <c r="F52" s="36">
        <v>1</v>
      </c>
      <c r="G52" s="36">
        <v>1</v>
      </c>
      <c r="H52" s="36">
        <v>1</v>
      </c>
      <c r="I52" s="36">
        <v>1</v>
      </c>
      <c r="J52" s="36">
        <v>1.3</v>
      </c>
      <c r="K52" s="103">
        <v>1.3</v>
      </c>
      <c r="L52" s="125">
        <v>1.3</v>
      </c>
      <c r="M52" s="136">
        <v>1.3</v>
      </c>
      <c r="N52" s="36">
        <v>1.3</v>
      </c>
      <c r="O52" s="36">
        <v>1.3</v>
      </c>
      <c r="P52" s="36">
        <v>2</v>
      </c>
      <c r="Q52" s="36">
        <v>2</v>
      </c>
    </row>
    <row r="53" spans="1:19" ht="14.4" thickTop="1" thickBot="1" x14ac:dyDescent="0.3">
      <c r="A53" s="8" t="s">
        <v>25</v>
      </c>
      <c r="B53" s="9" t="s">
        <v>18</v>
      </c>
      <c r="C53" s="9" t="s">
        <v>92</v>
      </c>
      <c r="D53" s="39" t="s">
        <v>143</v>
      </c>
      <c r="E53" s="58">
        <f t="shared" ref="E53:L53" si="29">E51*E52</f>
        <v>281.22991932205429</v>
      </c>
      <c r="F53" s="17">
        <f t="shared" si="29"/>
        <v>273.61782574272371</v>
      </c>
      <c r="G53" s="17">
        <f t="shared" si="29"/>
        <v>264.53531638062407</v>
      </c>
      <c r="H53" s="17">
        <f t="shared" si="29"/>
        <v>248.06645158985259</v>
      </c>
      <c r="I53" s="17">
        <f t="shared" si="29"/>
        <v>237.11116030868257</v>
      </c>
      <c r="J53" s="17">
        <f t="shared" si="29"/>
        <v>256.14808986977283</v>
      </c>
      <c r="K53" s="92">
        <f t="shared" si="29"/>
        <v>238.98880155137465</v>
      </c>
      <c r="L53" s="113">
        <f t="shared" si="29"/>
        <v>324.58721934923602</v>
      </c>
      <c r="M53" s="150">
        <f>M51*M52</f>
        <v>299.22742946136123</v>
      </c>
      <c r="N53" s="17">
        <f>N51*N52</f>
        <v>441.00807197867096</v>
      </c>
      <c r="O53" s="17">
        <f>O51*O52</f>
        <v>435.25001830784822</v>
      </c>
      <c r="P53" s="17">
        <f>P51*P52</f>
        <v>678.99230033011077</v>
      </c>
      <c r="Q53" s="17">
        <f>Q51*Q52</f>
        <v>640.64268714923855</v>
      </c>
    </row>
    <row r="54" spans="1:19" ht="14.4" thickTop="1" thickBot="1" x14ac:dyDescent="0.3">
      <c r="A54" s="8"/>
      <c r="B54" s="9"/>
      <c r="C54" s="9"/>
      <c r="D54" s="39"/>
      <c r="E54" s="58"/>
      <c r="F54" s="17"/>
      <c r="G54" s="17"/>
      <c r="H54" s="17"/>
      <c r="I54" s="17"/>
      <c r="J54" s="17"/>
      <c r="K54" s="92"/>
      <c r="L54" s="113"/>
      <c r="M54" s="150"/>
      <c r="N54" s="17"/>
      <c r="O54" s="17"/>
      <c r="P54" s="17"/>
      <c r="Q54" s="17"/>
    </row>
    <row r="55" spans="1:19" ht="14.4" thickTop="1" thickBot="1" x14ac:dyDescent="0.3">
      <c r="A55" s="13" t="s">
        <v>206</v>
      </c>
      <c r="B55" s="9"/>
      <c r="C55" s="9"/>
      <c r="D55" s="39"/>
      <c r="E55" s="58"/>
      <c r="F55" s="17"/>
      <c r="G55" s="17"/>
      <c r="H55" s="17"/>
      <c r="I55" s="17"/>
      <c r="J55" s="17"/>
      <c r="K55" s="92"/>
      <c r="L55" s="113"/>
      <c r="M55" s="150"/>
      <c r="N55" s="17"/>
      <c r="O55" s="17"/>
      <c r="P55" s="17"/>
      <c r="Q55" s="17"/>
    </row>
    <row r="56" spans="1:19" ht="14.4" thickTop="1" thickBot="1" x14ac:dyDescent="0.3">
      <c r="A56" s="4" t="s">
        <v>214</v>
      </c>
      <c r="B56" s="5" t="s">
        <v>1</v>
      </c>
      <c r="C56" s="5" t="s">
        <v>139</v>
      </c>
      <c r="D56" s="39" t="s">
        <v>140</v>
      </c>
      <c r="E56" s="62">
        <f t="shared" ref="E56:Q56" si="30">E8-E39</f>
        <v>0.70479170870593943</v>
      </c>
      <c r="F56" s="22">
        <f t="shared" si="30"/>
        <v>0.69949522681399745</v>
      </c>
      <c r="G56" s="22">
        <f t="shared" si="30"/>
        <v>0.68558946110640251</v>
      </c>
      <c r="H56" s="22">
        <f t="shared" si="30"/>
        <v>0.68219741275077161</v>
      </c>
      <c r="I56" s="22">
        <f t="shared" si="30"/>
        <v>0.60376829080637651</v>
      </c>
      <c r="J56" s="22">
        <f t="shared" si="30"/>
        <v>0.63134185055007075</v>
      </c>
      <c r="K56" s="104">
        <f>K8-K39</f>
        <v>0.62807690626876989</v>
      </c>
      <c r="L56" s="123">
        <f t="shared" si="30"/>
        <v>0.60630310462038994</v>
      </c>
      <c r="M56" s="85">
        <f t="shared" si="30"/>
        <v>0.56874653481204818</v>
      </c>
      <c r="N56" s="22">
        <f>N8-N39</f>
        <v>0.5566721793911944</v>
      </c>
      <c r="O56" s="22">
        <f t="shared" si="30"/>
        <v>0.52450310410404533</v>
      </c>
      <c r="P56" s="22">
        <f>P8-P39</f>
        <v>0.44130511074290518</v>
      </c>
      <c r="Q56" s="22">
        <f t="shared" si="30"/>
        <v>0.4008944781615924</v>
      </c>
    </row>
    <row r="57" spans="1:19" ht="14.4" thickTop="1" thickBot="1" x14ac:dyDescent="0.3">
      <c r="A57" s="8" t="s">
        <v>33</v>
      </c>
      <c r="B57" s="9" t="s">
        <v>16</v>
      </c>
      <c r="C57" s="9" t="s">
        <v>117</v>
      </c>
      <c r="D57" s="39" t="s">
        <v>174</v>
      </c>
      <c r="E57" s="59">
        <f t="shared" ref="E57:Q57" si="31">2*E60/E53</f>
        <v>71116.188662333356</v>
      </c>
      <c r="F57" s="24">
        <f t="shared" si="31"/>
        <v>73094.652900303074</v>
      </c>
      <c r="G57" s="24">
        <f t="shared" si="31"/>
        <v>75604.271949924427</v>
      </c>
      <c r="H57" s="24">
        <f t="shared" si="31"/>
        <v>80623.558211198761</v>
      </c>
      <c r="I57" s="24">
        <f t="shared" si="31"/>
        <v>84348.623548394142</v>
      </c>
      <c r="J57" s="24">
        <f t="shared" si="31"/>
        <v>78079.832686506139</v>
      </c>
      <c r="K57" s="98">
        <f>2*K60/K53</f>
        <v>83685.929508712419</v>
      </c>
      <c r="L57" s="119">
        <f t="shared" si="31"/>
        <v>61616.72058467965</v>
      </c>
      <c r="M57" s="216">
        <f t="shared" si="31"/>
        <v>66838.792272493083</v>
      </c>
      <c r="N57" s="24">
        <f>2*N60/N53</f>
        <v>45350.643833492657</v>
      </c>
      <c r="O57" s="24">
        <f t="shared" si="31"/>
        <v>45950.601168853231</v>
      </c>
      <c r="P57" s="24">
        <f>2*P60/P53</f>
        <v>32400.956519395131</v>
      </c>
      <c r="Q57" s="24">
        <f t="shared" si="31"/>
        <v>40584.245354763982</v>
      </c>
    </row>
    <row r="58" spans="1:19" ht="14.4" thickTop="1" thickBot="1" x14ac:dyDescent="0.3">
      <c r="A58" s="4" t="s">
        <v>215</v>
      </c>
      <c r="B58" s="5" t="s">
        <v>1</v>
      </c>
      <c r="C58" s="5" t="s">
        <v>70</v>
      </c>
      <c r="D58" s="39" t="s">
        <v>144</v>
      </c>
      <c r="E58" s="62">
        <f t="shared" ref="E58:Q58" si="32">E63*(E7/1000)*(E57/10000)</f>
        <v>0.30360761336080244</v>
      </c>
      <c r="F58" s="22">
        <f t="shared" si="32"/>
        <v>0.28293707025495407</v>
      </c>
      <c r="G58" s="22">
        <f t="shared" si="32"/>
        <v>0.25289469316695173</v>
      </c>
      <c r="H58" s="22">
        <f t="shared" si="32"/>
        <v>0.23684642254044511</v>
      </c>
      <c r="I58" s="22">
        <f t="shared" si="32"/>
        <v>0.20574144581551917</v>
      </c>
      <c r="J58" s="22">
        <f t="shared" si="32"/>
        <v>0.1790112256099064</v>
      </c>
      <c r="K58" s="104">
        <f t="shared" si="32"/>
        <v>0.17065373873847253</v>
      </c>
      <c r="L58" s="123">
        <f t="shared" si="32"/>
        <v>0.12283375836473691</v>
      </c>
      <c r="M58" s="85">
        <f t="shared" si="32"/>
        <v>0.10823754608768062</v>
      </c>
      <c r="N58" s="22">
        <f t="shared" si="32"/>
        <v>7.1191536069486361E-2</v>
      </c>
      <c r="O58" s="22">
        <f t="shared" si="32"/>
        <v>5.7302617099436313E-2</v>
      </c>
      <c r="P58" s="22">
        <f t="shared" si="32"/>
        <v>3.8451192936144955E-2</v>
      </c>
      <c r="Q58" s="22">
        <f t="shared" si="32"/>
        <v>3.6853417835157228E-2</v>
      </c>
    </row>
    <row r="59" spans="1:19" ht="27.6" thickTop="1" thickBot="1" x14ac:dyDescent="0.3">
      <c r="A59" s="6" t="s">
        <v>313</v>
      </c>
      <c r="B59" s="7"/>
      <c r="C59" s="7" t="s">
        <v>314</v>
      </c>
      <c r="D59" s="43" t="s">
        <v>133</v>
      </c>
      <c r="E59" s="64">
        <v>1</v>
      </c>
      <c r="F59" s="36">
        <v>1</v>
      </c>
      <c r="G59" s="36">
        <v>1</v>
      </c>
      <c r="H59" s="36">
        <v>1</v>
      </c>
      <c r="I59" s="36">
        <v>1</v>
      </c>
      <c r="J59" s="36">
        <v>1</v>
      </c>
      <c r="K59" s="103">
        <v>1</v>
      </c>
      <c r="L59" s="125">
        <v>1</v>
      </c>
      <c r="M59" s="136">
        <v>1</v>
      </c>
      <c r="N59" s="36">
        <v>1</v>
      </c>
      <c r="O59" s="36">
        <v>1</v>
      </c>
      <c r="P59" s="36">
        <v>1.1000000000000001</v>
      </c>
      <c r="Q59" s="36">
        <v>1.3</v>
      </c>
    </row>
    <row r="60" spans="1:19" s="3" customFormat="1" ht="14.4" thickTop="1" thickBot="1" x14ac:dyDescent="0.3">
      <c r="A60" s="8" t="s">
        <v>237</v>
      </c>
      <c r="B60" s="9" t="s">
        <v>19</v>
      </c>
      <c r="C60" s="9" t="s">
        <v>93</v>
      </c>
      <c r="D60" s="41" t="s">
        <v>315</v>
      </c>
      <c r="E60" s="59">
        <f>10000000*E59</f>
        <v>10000000</v>
      </c>
      <c r="F60" s="24">
        <f t="shared" ref="F60:Q60" si="33">10000000*F59</f>
        <v>10000000</v>
      </c>
      <c r="G60" s="24">
        <f t="shared" si="33"/>
        <v>10000000</v>
      </c>
      <c r="H60" s="24">
        <f t="shared" si="33"/>
        <v>10000000</v>
      </c>
      <c r="I60" s="24">
        <f t="shared" si="33"/>
        <v>10000000</v>
      </c>
      <c r="J60" s="24">
        <f t="shared" si="33"/>
        <v>10000000</v>
      </c>
      <c r="K60" s="98">
        <f t="shared" si="33"/>
        <v>10000000</v>
      </c>
      <c r="L60" s="119">
        <f t="shared" si="33"/>
        <v>10000000</v>
      </c>
      <c r="M60" s="216">
        <f t="shared" si="33"/>
        <v>10000000</v>
      </c>
      <c r="N60" s="24">
        <f t="shared" si="33"/>
        <v>10000000</v>
      </c>
      <c r="O60" s="24">
        <f t="shared" si="33"/>
        <v>10000000</v>
      </c>
      <c r="P60" s="24">
        <f t="shared" si="33"/>
        <v>11000000</v>
      </c>
      <c r="Q60" s="24">
        <f t="shared" si="33"/>
        <v>13000000</v>
      </c>
      <c r="S60" s="90"/>
    </row>
    <row r="61" spans="1:19" s="3" customFormat="1" ht="40.799999999999997" thickTop="1" thickBot="1" x14ac:dyDescent="0.3">
      <c r="A61" s="8" t="s">
        <v>219</v>
      </c>
      <c r="B61" s="9" t="s">
        <v>2</v>
      </c>
      <c r="C61" s="9" t="s">
        <v>95</v>
      </c>
      <c r="D61" s="39" t="s">
        <v>145</v>
      </c>
      <c r="E61" s="58">
        <f t="shared" ref="E61:Q61" si="34">1000000*(E60*10000)*E27*E56</f>
        <v>811.2293525547102</v>
      </c>
      <c r="F61" s="17">
        <f t="shared" si="34"/>
        <v>832.89620272494528</v>
      </c>
      <c r="G61" s="17">
        <f t="shared" si="34"/>
        <v>845.49340877431212</v>
      </c>
      <c r="H61" s="17">
        <f t="shared" si="34"/>
        <v>906.02638387429954</v>
      </c>
      <c r="I61" s="17">
        <f t="shared" si="34"/>
        <v>906.45571054428967</v>
      </c>
      <c r="J61" s="17">
        <f t="shared" si="34"/>
        <v>1147.4006791896984</v>
      </c>
      <c r="K61" s="92">
        <f t="shared" si="34"/>
        <v>1204.8818010891323</v>
      </c>
      <c r="L61" s="113">
        <f t="shared" si="34"/>
        <v>1231.5299990826372</v>
      </c>
      <c r="M61" s="150">
        <f t="shared" si="34"/>
        <v>1227.4474434363067</v>
      </c>
      <c r="N61" s="17">
        <f t="shared" si="34"/>
        <v>1281.4816238457049</v>
      </c>
      <c r="O61" s="17">
        <f t="shared" si="34"/>
        <v>1207.4271257716762</v>
      </c>
      <c r="P61" s="17">
        <f t="shared" si="34"/>
        <v>1197.3130916229181</v>
      </c>
      <c r="Q61" s="17">
        <f t="shared" si="34"/>
        <v>1384.3126867606679</v>
      </c>
      <c r="S61" s="90"/>
    </row>
    <row r="62" spans="1:19" s="3" customFormat="1" ht="14.4" thickTop="1" thickBot="1" x14ac:dyDescent="0.3">
      <c r="A62" s="8" t="s">
        <v>55</v>
      </c>
      <c r="B62" s="9" t="s">
        <v>3</v>
      </c>
      <c r="C62" s="9" t="s">
        <v>94</v>
      </c>
      <c r="D62" s="39" t="s">
        <v>194</v>
      </c>
      <c r="E62" s="58">
        <f t="shared" ref="E62:Q62" si="35">1000000*(E60*10000)*(E27)*(1-((E7*0.0001)*(E57*0.001)/(E56+(E7*0.0001)*(E57*0.001)))^2)</f>
        <v>937.42719799446036</v>
      </c>
      <c r="F62" s="17">
        <f t="shared" si="35"/>
        <v>995.89806870144173</v>
      </c>
      <c r="G62" s="17">
        <f t="shared" si="35"/>
        <v>1065.4336653469161</v>
      </c>
      <c r="H62" s="17">
        <f t="shared" si="35"/>
        <v>1168.0173373587822</v>
      </c>
      <c r="I62" s="17">
        <f t="shared" si="35"/>
        <v>1326.997571876278</v>
      </c>
      <c r="J62" s="17">
        <f t="shared" si="35"/>
        <v>1671.289341556432</v>
      </c>
      <c r="K62" s="92">
        <f>1000000*(K60*10000)*(K27)*(1-((K7*0.0001)*(K57*0.001)/(K56+(K7*0.0001)*(K57*0.001)))^2)</f>
        <v>1776.7424293625586</v>
      </c>
      <c r="L62" s="113">
        <f t="shared" si="35"/>
        <v>1947.8415155137948</v>
      </c>
      <c r="M62" s="150">
        <f t="shared" si="35"/>
        <v>2079.999271426113</v>
      </c>
      <c r="N62" s="17">
        <f>1000000*(N60*10000)*(N27)*(1-((N7*0.0001)*(N57*0.001)/(N56+(N7*0.0001)*(N57*0.001)))^2)</f>
        <v>2264.3895164450455</v>
      </c>
      <c r="O62" s="17">
        <f t="shared" si="35"/>
        <v>2274.5632314982881</v>
      </c>
      <c r="P62" s="17">
        <f>1000000*(P60*10000)*(P27)*(1-((P7*0.0001)*(P57*0.001)/(P56+(P7*0.0001)*(P57*0.001)))^2)</f>
        <v>2692.5212618513274</v>
      </c>
      <c r="Q62" s="17">
        <f t="shared" si="35"/>
        <v>3423.8790438437372</v>
      </c>
      <c r="S62" s="90"/>
    </row>
    <row r="63" spans="1:19" s="3" customFormat="1" ht="27.6" thickTop="1" thickBot="1" x14ac:dyDescent="0.3">
      <c r="A63" s="8" t="s">
        <v>59</v>
      </c>
      <c r="B63" s="9"/>
      <c r="C63" s="9" t="s">
        <v>71</v>
      </c>
      <c r="D63" s="39" t="s">
        <v>195</v>
      </c>
      <c r="E63" s="53">
        <f t="shared" ref="E63:Q63" si="36">(E56/(E56+(E7/1000)*(E57/10000)))</f>
        <v>0.56922363074013282</v>
      </c>
      <c r="F63" s="25">
        <f t="shared" si="36"/>
        <v>0.595512507578283</v>
      </c>
      <c r="G63" s="25">
        <f t="shared" si="36"/>
        <v>0.63112809120660784</v>
      </c>
      <c r="H63" s="25">
        <f t="shared" si="36"/>
        <v>0.65281835123732335</v>
      </c>
      <c r="I63" s="25">
        <f t="shared" si="36"/>
        <v>0.65923774244464461</v>
      </c>
      <c r="J63" s="25">
        <f t="shared" si="36"/>
        <v>0.71645911726913258</v>
      </c>
      <c r="K63" s="93">
        <f>(K56/(K56+(K7/1000)*(K57/10000)))</f>
        <v>0.72829165181015976</v>
      </c>
      <c r="L63" s="114">
        <f t="shared" si="36"/>
        <v>0.7974053613965183</v>
      </c>
      <c r="M63" s="217">
        <f t="shared" si="36"/>
        <v>0.80969106717555717</v>
      </c>
      <c r="N63" s="25">
        <f>(N56/(N56+(N7/1000)*(N57/10000)))</f>
        <v>0.87211227953344983</v>
      </c>
      <c r="O63" s="25">
        <f t="shared" si="36"/>
        <v>0.89074875505775974</v>
      </c>
      <c r="P63" s="25">
        <f>(P56/(P56+(P7/1000)*(P57/10000)))</f>
        <v>0.91286936860664236</v>
      </c>
      <c r="Q63" s="25">
        <f t="shared" si="36"/>
        <v>0.90807202432880019</v>
      </c>
      <c r="S63" s="90"/>
    </row>
    <row r="64" spans="1:19" ht="14.4" thickTop="1" thickBot="1" x14ac:dyDescent="0.3">
      <c r="A64" s="4" t="s">
        <v>26</v>
      </c>
      <c r="B64" s="5" t="s">
        <v>2</v>
      </c>
      <c r="C64" s="5" t="s">
        <v>72</v>
      </c>
      <c r="D64" s="39" t="s">
        <v>146</v>
      </c>
      <c r="E64" s="60">
        <f t="shared" ref="E64:Q64" si="37">1000000*(E60*10000)*(E27)*(E56*E63)</f>
        <v>461.77091742415939</v>
      </c>
      <c r="F64" s="21">
        <f t="shared" si="37"/>
        <v>496.00010623716213</v>
      </c>
      <c r="G64" s="21">
        <f t="shared" si="37"/>
        <v>533.61464120749974</v>
      </c>
      <c r="H64" s="21">
        <f t="shared" si="37"/>
        <v>591.47065009833443</v>
      </c>
      <c r="I64" s="21">
        <f t="shared" si="37"/>
        <v>597.56981624527373</v>
      </c>
      <c r="J64" s="21">
        <f t="shared" si="37"/>
        <v>822.06567776625445</v>
      </c>
      <c r="K64" s="99">
        <f t="shared" si="37"/>
        <v>877.50535715120452</v>
      </c>
      <c r="L64" s="120">
        <f t="shared" si="37"/>
        <v>982.02862398914419</v>
      </c>
      <c r="M64" s="146">
        <f t="shared" si="37"/>
        <v>993.85323037785247</v>
      </c>
      <c r="N64" s="21">
        <f t="shared" si="37"/>
        <v>1117.5958601523046</v>
      </c>
      <c r="O64" s="21">
        <f t="shared" si="37"/>
        <v>1075.5142091040898</v>
      </c>
      <c r="P64" s="21">
        <f t="shared" si="37"/>
        <v>1092.9904459742802</v>
      </c>
      <c r="Q64" s="21">
        <f t="shared" si="37"/>
        <v>1257.0556237707999</v>
      </c>
    </row>
    <row r="65" spans="1:17" ht="14.4" thickTop="1" thickBot="1" x14ac:dyDescent="0.3">
      <c r="A65" s="4"/>
      <c r="B65" s="5"/>
      <c r="C65" s="5"/>
      <c r="D65" s="39"/>
      <c r="E65" s="60"/>
      <c r="F65" s="21"/>
      <c r="G65" s="21"/>
      <c r="H65" s="21"/>
      <c r="I65" s="21"/>
      <c r="J65" s="21"/>
      <c r="K65" s="99"/>
      <c r="L65" s="120"/>
      <c r="M65" s="146"/>
      <c r="N65" s="21"/>
      <c r="O65" s="21"/>
      <c r="P65" s="21"/>
      <c r="Q65" s="21"/>
    </row>
    <row r="66" spans="1:17" ht="27.6" thickTop="1" thickBot="1" x14ac:dyDescent="0.3">
      <c r="A66" s="10" t="s">
        <v>187</v>
      </c>
      <c r="B66" s="5"/>
      <c r="C66" s="5"/>
      <c r="D66" s="39"/>
      <c r="E66" s="60"/>
      <c r="F66" s="21"/>
      <c r="G66" s="21"/>
      <c r="H66" s="21"/>
      <c r="I66" s="21"/>
      <c r="J66" s="21"/>
      <c r="K66" s="99"/>
      <c r="L66" s="120"/>
      <c r="M66" s="146"/>
      <c r="N66" s="21"/>
      <c r="O66" s="21"/>
      <c r="P66" s="21"/>
      <c r="Q66" s="21"/>
    </row>
    <row r="67" spans="1:17" ht="14.4" thickTop="1" thickBot="1" x14ac:dyDescent="0.3">
      <c r="A67" s="6" t="s">
        <v>38</v>
      </c>
      <c r="B67" s="7" t="s">
        <v>37</v>
      </c>
      <c r="C67" s="7" t="s">
        <v>73</v>
      </c>
      <c r="D67" s="43" t="s">
        <v>133</v>
      </c>
      <c r="E67" s="55">
        <v>180</v>
      </c>
      <c r="F67" s="76">
        <v>180</v>
      </c>
      <c r="G67" s="76">
        <v>180</v>
      </c>
      <c r="H67" s="76">
        <v>180</v>
      </c>
      <c r="I67" s="76">
        <v>180</v>
      </c>
      <c r="J67" s="76">
        <v>180</v>
      </c>
      <c r="K67" s="100">
        <v>180</v>
      </c>
      <c r="L67" s="121">
        <v>180</v>
      </c>
      <c r="M67" s="145">
        <v>144</v>
      </c>
      <c r="N67" s="76">
        <v>135</v>
      </c>
      <c r="O67" s="76">
        <v>116</v>
      </c>
      <c r="P67" s="76">
        <v>107</v>
      </c>
      <c r="Q67" s="76">
        <v>88</v>
      </c>
    </row>
    <row r="68" spans="1:17" ht="14.4" thickTop="1" thickBot="1" x14ac:dyDescent="0.3">
      <c r="A68" s="4" t="s">
        <v>56</v>
      </c>
      <c r="B68" s="5" t="s">
        <v>3</v>
      </c>
      <c r="C68" s="5" t="s">
        <v>96</v>
      </c>
      <c r="D68" s="39" t="s">
        <v>147</v>
      </c>
      <c r="E68" s="60">
        <f t="shared" ref="E68:L68" si="38">E62/(1+0.0000005*E67*E62)</f>
        <v>864.4914003902295</v>
      </c>
      <c r="F68" s="21">
        <f t="shared" si="38"/>
        <v>913.97750941938318</v>
      </c>
      <c r="G68" s="21">
        <f t="shared" si="38"/>
        <v>972.20944483986</v>
      </c>
      <c r="H68" s="21">
        <f t="shared" si="38"/>
        <v>1056.9129942373695</v>
      </c>
      <c r="I68" s="21">
        <f t="shared" si="38"/>
        <v>1185.4227874258017</v>
      </c>
      <c r="J68" s="21">
        <f t="shared" si="38"/>
        <v>1452.7695045709447</v>
      </c>
      <c r="K68" s="99">
        <f t="shared" si="38"/>
        <v>1531.7975554637865</v>
      </c>
      <c r="L68" s="120">
        <f t="shared" si="38"/>
        <v>1657.306226962123</v>
      </c>
      <c r="M68" s="146">
        <f>M62/(1+0.0000005*M67*M62)</f>
        <v>1809.0726467482045</v>
      </c>
      <c r="N68" s="21">
        <f>N62/(1+0.0000005*N67*N62)</f>
        <v>1964.1729616959756</v>
      </c>
      <c r="O68" s="21">
        <f>O62/(1+0.0000005*O67*O62)</f>
        <v>2009.4652028998021</v>
      </c>
      <c r="P68" s="21">
        <f>P62/(1+0.0000005*P67*P62)</f>
        <v>2353.4998702843168</v>
      </c>
      <c r="Q68" s="21">
        <f>Q62/(1+0.0000005*Q67*Q62)</f>
        <v>2975.6025086656537</v>
      </c>
    </row>
    <row r="69" spans="1:17" ht="14.4" thickTop="1" thickBot="1" x14ac:dyDescent="0.3">
      <c r="A69" s="4" t="s">
        <v>40</v>
      </c>
      <c r="B69" s="5" t="s">
        <v>30</v>
      </c>
      <c r="C69" s="5" t="s">
        <v>97</v>
      </c>
      <c r="D69" s="39" t="s">
        <v>148</v>
      </c>
      <c r="E69" s="60">
        <f t="shared" ref="E69:L69" si="39">100*((E64-E70)/E64)</f>
        <v>11.211385444745375</v>
      </c>
      <c r="F69" s="21">
        <f t="shared" si="39"/>
        <v>11.29034158117412</v>
      </c>
      <c r="G69" s="21">
        <f t="shared" si="39"/>
        <v>11.921457226801008</v>
      </c>
      <c r="H69" s="21">
        <f t="shared" si="39"/>
        <v>13.774250689326614</v>
      </c>
      <c r="I69" s="21">
        <f t="shared" si="39"/>
        <v>14.654323873903719</v>
      </c>
      <c r="J69" s="21">
        <f t="shared" si="39"/>
        <v>18.497996191673227</v>
      </c>
      <c r="K69" s="99">
        <f>100*((K64-K70)/K64)</f>
        <v>20.228407234739905</v>
      </c>
      <c r="L69" s="120">
        <f t="shared" si="39"/>
        <v>22.609180482665707</v>
      </c>
      <c r="M69" s="146">
        <f>100*((M64-M70)/M64)</f>
        <v>20.511401899891158</v>
      </c>
      <c r="N69" s="21">
        <f>100*((N64-N70)/N64)</f>
        <v>21.259550846933639</v>
      </c>
      <c r="O69" s="21">
        <f>100*((O64-O70)/O64)</f>
        <v>19.108460619528628</v>
      </c>
      <c r="P69" s="21">
        <f>100*((P64-P70)/P64)</f>
        <v>21.316787061811411</v>
      </c>
      <c r="Q69" s="21">
        <f>100*((Q64-Q70)/Q64)</f>
        <v>21.244535143935078</v>
      </c>
    </row>
    <row r="70" spans="1:17" ht="14.4" thickTop="1" thickBot="1" x14ac:dyDescent="0.3">
      <c r="A70" s="14" t="s">
        <v>27</v>
      </c>
      <c r="B70" s="15" t="s">
        <v>2</v>
      </c>
      <c r="C70" s="15" t="s">
        <v>74</v>
      </c>
      <c r="D70" s="40" t="s">
        <v>196</v>
      </c>
      <c r="E70" s="56">
        <f t="shared" ref="E70:Q70" si="40">ROUND(E64/(1+((E67*E64*0.000001)/E56)),-1)</f>
        <v>410</v>
      </c>
      <c r="F70" s="20">
        <f t="shared" si="40"/>
        <v>440</v>
      </c>
      <c r="G70" s="20">
        <f t="shared" si="40"/>
        <v>470</v>
      </c>
      <c r="H70" s="20">
        <f t="shared" si="40"/>
        <v>510</v>
      </c>
      <c r="I70" s="20">
        <f t="shared" si="40"/>
        <v>510</v>
      </c>
      <c r="J70" s="20">
        <f t="shared" si="40"/>
        <v>670</v>
      </c>
      <c r="K70" s="91">
        <f>ROUND(K64/(1+((K67*K64*0.000001)/K56)),-1)</f>
        <v>700</v>
      </c>
      <c r="L70" s="112">
        <f t="shared" si="40"/>
        <v>760</v>
      </c>
      <c r="M70" s="209">
        <f t="shared" si="40"/>
        <v>790</v>
      </c>
      <c r="N70" s="20">
        <f>ROUND(N64/(1+((N67*N64*0.000001)/N56)),-1)</f>
        <v>880</v>
      </c>
      <c r="O70" s="20">
        <f t="shared" si="40"/>
        <v>870</v>
      </c>
      <c r="P70" s="20">
        <f>ROUND(P64/(1+((P67*P64*0.000001)/P56)),-1)</f>
        <v>860</v>
      </c>
      <c r="Q70" s="20">
        <f t="shared" si="40"/>
        <v>990</v>
      </c>
    </row>
    <row r="71" spans="1:17" ht="14.4" thickTop="1" thickBot="1" x14ac:dyDescent="0.3">
      <c r="A71" s="4"/>
      <c r="B71" s="5"/>
      <c r="C71" s="5"/>
      <c r="D71" s="39"/>
      <c r="E71" s="49"/>
      <c r="F71" s="23"/>
      <c r="G71" s="23"/>
      <c r="H71" s="23"/>
      <c r="I71" s="23"/>
      <c r="J71" s="23"/>
      <c r="K71" s="102"/>
      <c r="L71" s="124"/>
      <c r="M71" s="214"/>
      <c r="N71" s="23"/>
      <c r="O71" s="23"/>
      <c r="P71" s="23"/>
      <c r="Q71" s="23"/>
    </row>
    <row r="72" spans="1:17" ht="14.4" thickTop="1" thickBot="1" x14ac:dyDescent="0.3">
      <c r="A72" s="10" t="s">
        <v>8</v>
      </c>
      <c r="B72" s="5"/>
      <c r="C72" s="5"/>
      <c r="D72" s="39"/>
      <c r="E72" s="49"/>
      <c r="F72" s="23"/>
      <c r="G72" s="23"/>
      <c r="H72" s="23"/>
      <c r="I72" s="23"/>
      <c r="J72" s="23"/>
      <c r="K72" s="102"/>
      <c r="L72" s="124"/>
      <c r="M72" s="214"/>
      <c r="N72" s="23"/>
      <c r="O72" s="23"/>
      <c r="P72" s="23"/>
      <c r="Q72" s="23"/>
    </row>
    <row r="73" spans="1:17" ht="14.4" thickTop="1" thickBot="1" x14ac:dyDescent="0.3">
      <c r="A73" s="4" t="s">
        <v>77</v>
      </c>
      <c r="B73" s="5" t="s">
        <v>0</v>
      </c>
      <c r="C73" s="5" t="s">
        <v>98</v>
      </c>
      <c r="D73" s="39" t="s">
        <v>149</v>
      </c>
      <c r="E73" s="66">
        <f t="shared" ref="E73:Q73" si="41">E27*(E7*0.001)</f>
        <v>8.6326499999999984E-16</v>
      </c>
      <c r="F73" s="78">
        <f t="shared" si="41"/>
        <v>7.7396172413793087E-16</v>
      </c>
      <c r="G73" s="78">
        <f t="shared" si="41"/>
        <v>6.536149285714284E-16</v>
      </c>
      <c r="H73" s="78">
        <f t="shared" si="41"/>
        <v>5.9764499999999977E-16</v>
      </c>
      <c r="I73" s="78">
        <f t="shared" si="41"/>
        <v>5.5549226086956519E-16</v>
      </c>
      <c r="J73" s="78">
        <f t="shared" si="41"/>
        <v>5.8156799999999987E-16</v>
      </c>
      <c r="K73" s="105">
        <f>K27*(K7*0.001)</f>
        <v>5.3714266666666657E-16</v>
      </c>
      <c r="L73" s="126">
        <f t="shared" si="41"/>
        <v>5.0780294117647052E-16</v>
      </c>
      <c r="M73" s="218">
        <f t="shared" si="41"/>
        <v>4.3163249999999992E-16</v>
      </c>
      <c r="N73" s="78">
        <f>N27*(N7*0.001)</f>
        <v>4.1436719999999998E-16</v>
      </c>
      <c r="O73" s="78">
        <f t="shared" si="41"/>
        <v>3.2228559999999996E-16</v>
      </c>
      <c r="P73" s="78">
        <f>P27*(P7*0.001)</f>
        <v>3.2064128571428568E-16</v>
      </c>
      <c r="Q73" s="78">
        <f t="shared" si="41"/>
        <v>2.6561999999999992E-16</v>
      </c>
    </row>
    <row r="74" spans="1:17" ht="14.4" thickTop="1" thickBot="1" x14ac:dyDescent="0.3">
      <c r="A74" s="6" t="s">
        <v>220</v>
      </c>
      <c r="B74" s="7" t="s">
        <v>0</v>
      </c>
      <c r="C74" s="7" t="s">
        <v>75</v>
      </c>
      <c r="D74" s="43" t="s">
        <v>133</v>
      </c>
      <c r="E74" s="65">
        <v>2.4E-16</v>
      </c>
      <c r="F74" s="140">
        <v>2.4E-16</v>
      </c>
      <c r="G74" s="140">
        <v>2.4E-16</v>
      </c>
      <c r="H74" s="140">
        <v>2.4E-16</v>
      </c>
      <c r="I74" s="140">
        <v>2.4E-16</v>
      </c>
      <c r="J74" s="140">
        <v>2.4E-16</v>
      </c>
      <c r="K74" s="203">
        <v>2.4E-16</v>
      </c>
      <c r="L74" s="226">
        <v>2.4E-16</v>
      </c>
      <c r="M74" s="149">
        <v>1.9000000000000001E-16</v>
      </c>
      <c r="N74" s="140">
        <v>1.7E-16</v>
      </c>
      <c r="O74" s="140">
        <v>1.5E-16</v>
      </c>
      <c r="P74" s="140">
        <v>1.4000000000000001E-16</v>
      </c>
      <c r="Q74" s="140">
        <v>1.2E-16</v>
      </c>
    </row>
    <row r="75" spans="1:17" ht="27.6" thickTop="1" thickBot="1" x14ac:dyDescent="0.3">
      <c r="A75" s="8" t="s">
        <v>78</v>
      </c>
      <c r="B75" s="9" t="s">
        <v>0</v>
      </c>
      <c r="C75" s="9" t="s">
        <v>99</v>
      </c>
      <c r="D75" s="39" t="s">
        <v>150</v>
      </c>
      <c r="E75" s="59">
        <f t="shared" ref="E75:L75" si="42">E74+E73</f>
        <v>1.1032649999999998E-15</v>
      </c>
      <c r="F75" s="24">
        <f t="shared" si="42"/>
        <v>1.0139617241379309E-15</v>
      </c>
      <c r="G75" s="24">
        <f t="shared" si="42"/>
        <v>8.9361492857142836E-16</v>
      </c>
      <c r="H75" s="24">
        <f t="shared" si="42"/>
        <v>8.3764499999999983E-16</v>
      </c>
      <c r="I75" s="24">
        <f t="shared" si="42"/>
        <v>7.9549226086956514E-16</v>
      </c>
      <c r="J75" s="24">
        <f t="shared" si="42"/>
        <v>8.2156799999999982E-16</v>
      </c>
      <c r="K75" s="98">
        <f t="shared" si="42"/>
        <v>7.7714266666666662E-16</v>
      </c>
      <c r="L75" s="119">
        <f t="shared" si="42"/>
        <v>7.4780294117647058E-16</v>
      </c>
      <c r="M75" s="216">
        <f>M74+M73</f>
        <v>6.2163249999999995E-16</v>
      </c>
      <c r="N75" s="24">
        <f>N74+N73</f>
        <v>5.8436719999999998E-16</v>
      </c>
      <c r="O75" s="24">
        <f>O74+O73</f>
        <v>4.7228559999999993E-16</v>
      </c>
      <c r="P75" s="24">
        <f>P74+P73</f>
        <v>4.6064128571428564E-16</v>
      </c>
      <c r="Q75" s="24">
        <f>Q74+Q73</f>
        <v>3.8561999999999994E-16</v>
      </c>
    </row>
    <row r="76" spans="1:17" ht="14.4" thickTop="1" thickBot="1" x14ac:dyDescent="0.3">
      <c r="A76" s="8"/>
      <c r="B76" s="9"/>
      <c r="C76" s="9"/>
      <c r="D76" s="39"/>
      <c r="E76" s="59"/>
      <c r="F76" s="24"/>
      <c r="G76" s="24"/>
      <c r="H76" s="24"/>
      <c r="I76" s="24"/>
      <c r="J76" s="24"/>
      <c r="K76" s="98"/>
      <c r="L76" s="119"/>
      <c r="M76" s="216"/>
      <c r="N76" s="24"/>
      <c r="O76" s="24"/>
      <c r="P76" s="24"/>
      <c r="Q76" s="24"/>
    </row>
    <row r="77" spans="1:17" ht="14.4" thickTop="1" thickBot="1" x14ac:dyDescent="0.3">
      <c r="A77" s="13" t="s">
        <v>188</v>
      </c>
      <c r="B77" s="9"/>
      <c r="C77" s="9"/>
      <c r="D77" s="39"/>
      <c r="E77" s="59"/>
      <c r="F77" s="24"/>
      <c r="G77" s="24"/>
      <c r="H77" s="24"/>
      <c r="I77" s="24"/>
      <c r="J77" s="24"/>
      <c r="K77" s="98"/>
      <c r="L77" s="119"/>
      <c r="M77" s="216"/>
      <c r="N77" s="24"/>
      <c r="O77" s="24"/>
      <c r="P77" s="24"/>
      <c r="Q77" s="24"/>
    </row>
    <row r="78" spans="1:17" ht="14.4" thickTop="1" thickBot="1" x14ac:dyDescent="0.3">
      <c r="A78" s="14" t="s">
        <v>213</v>
      </c>
      <c r="B78" s="15" t="s">
        <v>20</v>
      </c>
      <c r="C78" s="15" t="s">
        <v>100</v>
      </c>
      <c r="D78" s="40" t="s">
        <v>151</v>
      </c>
      <c r="E78" s="68">
        <f t="shared" ref="E78:Q78" si="43">1000000000000*(E75*E8)/(E70*0.000001)</f>
        <v>3.2290682926829266</v>
      </c>
      <c r="F78" s="79">
        <f t="shared" si="43"/>
        <v>2.765350156739812</v>
      </c>
      <c r="G78" s="79">
        <f t="shared" si="43"/>
        <v>2.2815700303951361</v>
      </c>
      <c r="H78" s="79">
        <f t="shared" si="43"/>
        <v>1.9709294117647056</v>
      </c>
      <c r="I78" s="79">
        <f t="shared" si="43"/>
        <v>1.7157676214833761</v>
      </c>
      <c r="J78" s="79">
        <f t="shared" si="43"/>
        <v>1.3488429850746266</v>
      </c>
      <c r="K78" s="106">
        <f>1000000000000*(K75*K8)/(K70*0.000001)</f>
        <v>1.2212241904761905</v>
      </c>
      <c r="L78" s="127">
        <f t="shared" si="43"/>
        <v>0.98395123839009302</v>
      </c>
      <c r="M78" s="219">
        <f t="shared" si="43"/>
        <v>0.7868765822784809</v>
      </c>
      <c r="N78" s="79">
        <f>1000000000000*(N75*N8)/(N70*0.000001)</f>
        <v>0.59764827272727283</v>
      </c>
      <c r="O78" s="79">
        <f t="shared" si="43"/>
        <v>0.48857131034482754</v>
      </c>
      <c r="P78" s="79">
        <f>1000000000000*(P75*P8)/(P70*0.000001)</f>
        <v>0.42850352159468436</v>
      </c>
      <c r="Q78" s="79">
        <f t="shared" si="43"/>
        <v>0.31161212121212117</v>
      </c>
    </row>
    <row r="79" spans="1:17" ht="14.4" thickTop="1" thickBot="1" x14ac:dyDescent="0.3">
      <c r="A79" s="34" t="s">
        <v>44</v>
      </c>
      <c r="B79" s="35" t="str">
        <f>B78</f>
        <v>ps</v>
      </c>
      <c r="C79" s="35" t="s">
        <v>101</v>
      </c>
      <c r="D79" s="45" t="s">
        <v>197</v>
      </c>
      <c r="E79" s="69">
        <f t="shared" ref="E79:Q79" si="44">E121/((1+E125/100)^E5)</f>
        <v>3.2290682926829266</v>
      </c>
      <c r="F79" s="37">
        <f t="shared" si="44"/>
        <v>2.7598874296435274</v>
      </c>
      <c r="G79" s="37">
        <f t="shared" si="44"/>
        <v>2.3588781449944678</v>
      </c>
      <c r="H79" s="37">
        <f t="shared" si="44"/>
        <v>2.0161351666619383</v>
      </c>
      <c r="I79" s="37">
        <f t="shared" si="44"/>
        <v>1.723192450138409</v>
      </c>
      <c r="J79" s="37">
        <f t="shared" si="44"/>
        <v>1.4728140599473583</v>
      </c>
      <c r="K79" s="107">
        <f>K121/((1+K125/100)^K5)</f>
        <v>1.258815435852443</v>
      </c>
      <c r="L79" s="128">
        <f t="shared" si="44"/>
        <v>1.0759106289337121</v>
      </c>
      <c r="M79" s="220">
        <f t="shared" si="44"/>
        <v>0.78596729412938304</v>
      </c>
      <c r="N79" s="37">
        <f>N121/((1+N125/100)^N5)</f>
        <v>0.67176691805930167</v>
      </c>
      <c r="O79" s="37">
        <f t="shared" si="44"/>
        <v>0.49073483677354213</v>
      </c>
      <c r="P79" s="37">
        <f>P121/((1+P125/100)^P5)</f>
        <v>0.41943148442183092</v>
      </c>
      <c r="Q79" s="37">
        <f t="shared" si="44"/>
        <v>0.30640038309725398</v>
      </c>
    </row>
    <row r="80" spans="1:17" ht="27.6" thickTop="1" thickBot="1" x14ac:dyDescent="0.3">
      <c r="A80" s="34" t="s">
        <v>223</v>
      </c>
      <c r="B80" s="35" t="s">
        <v>20</v>
      </c>
      <c r="C80" s="35" t="s">
        <v>102</v>
      </c>
      <c r="D80" s="45" t="s">
        <v>152</v>
      </c>
      <c r="E80" s="67">
        <f t="shared" ref="E80:Q80" si="45">1000000000000*(E73*E8)/(E61*0.000001)</f>
        <v>1.2769730246294761</v>
      </c>
      <c r="F80" s="37">
        <f t="shared" si="45"/>
        <v>1.1150898106234106</v>
      </c>
      <c r="G80" s="37">
        <f t="shared" si="45"/>
        <v>0.92766886902494794</v>
      </c>
      <c r="H80" s="37">
        <f t="shared" si="45"/>
        <v>0.79155973022911352</v>
      </c>
      <c r="I80" s="37">
        <f t="shared" si="45"/>
        <v>0.67409966074306737</v>
      </c>
      <c r="J80" s="37">
        <f t="shared" si="45"/>
        <v>0.55754263667664683</v>
      </c>
      <c r="K80" s="107">
        <f>1000000000000*(K73*K8)/(K61*0.000001)</f>
        <v>0.49038580614234389</v>
      </c>
      <c r="L80" s="128">
        <f t="shared" si="45"/>
        <v>0.4123350154318054</v>
      </c>
      <c r="M80" s="220">
        <f t="shared" si="45"/>
        <v>0.35165049412757016</v>
      </c>
      <c r="N80" s="37">
        <f>1000000000000*(N73*N8)/(N61*0.000001)</f>
        <v>0.29101508212099203</v>
      </c>
      <c r="O80" s="37">
        <f t="shared" si="45"/>
        <v>0.24022736760582736</v>
      </c>
      <c r="P80" s="37">
        <f>1000000000000*(P73*P8)/(P61*0.000001)</f>
        <v>0.21424056110815068</v>
      </c>
      <c r="Q80" s="37">
        <f t="shared" si="45"/>
        <v>0.15350289138593881</v>
      </c>
    </row>
    <row r="81" spans="1:19" s="3" customFormat="1" ht="27.6" thickTop="1" thickBot="1" x14ac:dyDescent="0.3">
      <c r="A81" s="14" t="s">
        <v>426</v>
      </c>
      <c r="B81" s="15"/>
      <c r="C81" s="15" t="s">
        <v>427</v>
      </c>
      <c r="D81" s="40" t="s">
        <v>428</v>
      </c>
      <c r="E81" s="200">
        <f>E78/E78</f>
        <v>1</v>
      </c>
      <c r="F81" s="79">
        <f>E78/F78</f>
        <v>1.1676887589851592</v>
      </c>
      <c r="G81" s="79">
        <f>E78/G78</f>
        <v>1.4152834450247829</v>
      </c>
      <c r="H81" s="79">
        <f>E78/H78</f>
        <v>1.638348016630248</v>
      </c>
      <c r="I81" s="79">
        <f>E78/I78</f>
        <v>1.881996286823048</v>
      </c>
      <c r="J81" s="79">
        <f>E78/J78</f>
        <v>2.3939541728826752</v>
      </c>
      <c r="K81" s="106">
        <f>E78/K78</f>
        <v>2.6441240829202868</v>
      </c>
      <c r="L81" s="127">
        <f>E78/L78</f>
        <v>3.2817360929045796</v>
      </c>
      <c r="M81" s="201">
        <f>E78/M78</f>
        <v>4.1036528032551587</v>
      </c>
      <c r="N81" s="106">
        <f>E78/N78</f>
        <v>5.4029576258082148</v>
      </c>
      <c r="O81" s="106">
        <f>E78/O78</f>
        <v>6.6092057071543771</v>
      </c>
      <c r="P81" s="106">
        <f>E78/P78</f>
        <v>7.5356867095651507</v>
      </c>
      <c r="Q81" s="106">
        <f>E78/Q78</f>
        <v>10.362460484920705</v>
      </c>
      <c r="S81" s="90"/>
    </row>
    <row r="82" spans="1:19" ht="14.4" thickTop="1" thickBot="1" x14ac:dyDescent="0.3">
      <c r="A82" s="4"/>
      <c r="B82" s="5"/>
      <c r="C82" s="5"/>
      <c r="D82" s="39"/>
      <c r="E82" s="49"/>
      <c r="F82" s="23"/>
      <c r="G82" s="23"/>
      <c r="H82" s="23"/>
      <c r="I82" s="23"/>
      <c r="J82" s="23"/>
      <c r="K82" s="102"/>
      <c r="L82" s="124"/>
      <c r="M82" s="214"/>
      <c r="N82" s="23"/>
      <c r="O82" s="23"/>
      <c r="P82" s="23"/>
      <c r="Q82" s="23"/>
    </row>
    <row r="83" spans="1:19" ht="27.6" thickTop="1" thickBot="1" x14ac:dyDescent="0.3">
      <c r="A83" s="10" t="s">
        <v>189</v>
      </c>
      <c r="B83" s="5"/>
      <c r="C83" s="5"/>
      <c r="D83" s="39"/>
      <c r="E83" s="49"/>
      <c r="F83" s="23"/>
      <c r="G83" s="23"/>
      <c r="H83" s="23"/>
      <c r="I83" s="23"/>
      <c r="J83" s="23"/>
      <c r="K83" s="102"/>
      <c r="L83" s="124"/>
      <c r="M83" s="214"/>
      <c r="N83" s="23"/>
      <c r="O83" s="23"/>
      <c r="P83" s="23"/>
      <c r="Q83" s="23"/>
    </row>
    <row r="84" spans="1:19" ht="14.4" thickTop="1" thickBot="1" x14ac:dyDescent="0.3">
      <c r="A84" s="11" t="s">
        <v>41</v>
      </c>
      <c r="B84" s="12"/>
      <c r="C84" s="12" t="s">
        <v>153</v>
      </c>
      <c r="D84" s="44" t="s">
        <v>133</v>
      </c>
      <c r="E84" s="73">
        <v>2.2000000000000002</v>
      </c>
      <c r="F84" s="25">
        <f t="shared" ref="F84:M84" si="46">E84</f>
        <v>2.2000000000000002</v>
      </c>
      <c r="G84" s="25">
        <f t="shared" si="46"/>
        <v>2.2000000000000002</v>
      </c>
      <c r="H84" s="25">
        <f t="shared" si="46"/>
        <v>2.2000000000000002</v>
      </c>
      <c r="I84" s="25">
        <f t="shared" si="46"/>
        <v>2.2000000000000002</v>
      </c>
      <c r="J84" s="25">
        <f t="shared" si="46"/>
        <v>2.2000000000000002</v>
      </c>
      <c r="K84" s="93">
        <f>I84</f>
        <v>2.2000000000000002</v>
      </c>
      <c r="L84" s="114">
        <f>J84</f>
        <v>2.2000000000000002</v>
      </c>
      <c r="M84" s="217">
        <f t="shared" si="46"/>
        <v>2.2000000000000002</v>
      </c>
      <c r="N84" s="25">
        <f>L84</f>
        <v>2.2000000000000002</v>
      </c>
      <c r="O84" s="25">
        <f>M84</f>
        <v>2.2000000000000002</v>
      </c>
      <c r="P84" s="25">
        <f>N84</f>
        <v>2.2000000000000002</v>
      </c>
      <c r="Q84" s="25">
        <f>O84</f>
        <v>2.2000000000000002</v>
      </c>
    </row>
    <row r="85" spans="1:19" ht="27.6" thickTop="1" thickBot="1" x14ac:dyDescent="0.3">
      <c r="A85" s="8" t="s">
        <v>221</v>
      </c>
      <c r="B85" s="9" t="s">
        <v>0</v>
      </c>
      <c r="C85" s="9" t="s">
        <v>103</v>
      </c>
      <c r="D85" s="39" t="s">
        <v>154</v>
      </c>
      <c r="E85" s="59">
        <f t="shared" ref="E85:L85" si="47">(E84+1)*E75</f>
        <v>3.5304479999999996E-15</v>
      </c>
      <c r="F85" s="24">
        <f t="shared" si="47"/>
        <v>3.2446775172413792E-15</v>
      </c>
      <c r="G85" s="24">
        <f t="shared" si="47"/>
        <v>2.8595677714285707E-15</v>
      </c>
      <c r="H85" s="24">
        <f t="shared" si="47"/>
        <v>2.6804639999999995E-15</v>
      </c>
      <c r="I85" s="24">
        <f t="shared" si="47"/>
        <v>2.5455752347826088E-15</v>
      </c>
      <c r="J85" s="24">
        <f t="shared" si="47"/>
        <v>2.6290175999999995E-15</v>
      </c>
      <c r="K85" s="98">
        <f t="shared" si="47"/>
        <v>2.4868565333333335E-15</v>
      </c>
      <c r="L85" s="119">
        <f t="shared" si="47"/>
        <v>2.3929694117647059E-15</v>
      </c>
      <c r="M85" s="216">
        <f>(M84+1)*M75</f>
        <v>1.9892240000000001E-15</v>
      </c>
      <c r="N85" s="24">
        <f>(N84+1)*N75</f>
        <v>1.8699750400000002E-15</v>
      </c>
      <c r="O85" s="24">
        <f>(O84+1)*O75</f>
        <v>1.5113139199999998E-15</v>
      </c>
      <c r="P85" s="24">
        <f>(P84+1)*P75</f>
        <v>1.474052114285714E-15</v>
      </c>
      <c r="Q85" s="24">
        <f>(Q84+1)*Q75</f>
        <v>1.2339839999999999E-15</v>
      </c>
    </row>
    <row r="86" spans="1:19" ht="14.4" thickTop="1" thickBot="1" x14ac:dyDescent="0.3">
      <c r="A86" s="14" t="s">
        <v>60</v>
      </c>
      <c r="B86" s="15" t="s">
        <v>20</v>
      </c>
      <c r="C86" s="15" t="s">
        <v>79</v>
      </c>
      <c r="D86" s="40" t="s">
        <v>156</v>
      </c>
      <c r="E86" s="68">
        <f t="shared" ref="E86:Q86" si="48">1000000000000*E85*E8/(E70*0.000001)</f>
        <v>10.333018536585364</v>
      </c>
      <c r="F86" s="80">
        <f t="shared" si="48"/>
        <v>8.8491205015673984</v>
      </c>
      <c r="G86" s="80">
        <f t="shared" si="48"/>
        <v>7.3010240972644356</v>
      </c>
      <c r="H86" s="80">
        <f t="shared" si="48"/>
        <v>6.3069741176470586</v>
      </c>
      <c r="I86" s="80">
        <f t="shared" si="48"/>
        <v>5.4904563887468045</v>
      </c>
      <c r="J86" s="80">
        <f t="shared" si="48"/>
        <v>4.3162975522388054</v>
      </c>
      <c r="K86" s="108">
        <f t="shared" si="48"/>
        <v>3.9079174095238103</v>
      </c>
      <c r="L86" s="129">
        <f t="shared" si="48"/>
        <v>3.1486439628482978</v>
      </c>
      <c r="M86" s="221">
        <f t="shared" si="48"/>
        <v>2.518005063291139</v>
      </c>
      <c r="N86" s="80">
        <f t="shared" si="48"/>
        <v>1.9124744727272731</v>
      </c>
      <c r="O86" s="80">
        <f t="shared" si="48"/>
        <v>1.5634281931034479</v>
      </c>
      <c r="P86" s="80">
        <f t="shared" si="48"/>
        <v>1.3712112691029901</v>
      </c>
      <c r="Q86" s="80">
        <f t="shared" si="48"/>
        <v>0.99715878787878776</v>
      </c>
    </row>
    <row r="87" spans="1:19" ht="27.6" thickTop="1" thickBot="1" x14ac:dyDescent="0.3">
      <c r="A87" s="34" t="s">
        <v>43</v>
      </c>
      <c r="B87" s="35" t="s">
        <v>20</v>
      </c>
      <c r="C87" s="35" t="s">
        <v>104</v>
      </c>
      <c r="D87" s="45" t="s">
        <v>198</v>
      </c>
      <c r="E87" s="69">
        <f t="shared" ref="E87:Q87" si="49">E122/((1+E125/100)^E5)</f>
        <v>10.333018536585364</v>
      </c>
      <c r="F87" s="81">
        <f t="shared" si="49"/>
        <v>8.8316397748592852</v>
      </c>
      <c r="G87" s="81">
        <f t="shared" si="49"/>
        <v>7.5484100639822964</v>
      </c>
      <c r="H87" s="81">
        <f t="shared" si="49"/>
        <v>6.4516325333182021</v>
      </c>
      <c r="I87" s="81">
        <f t="shared" si="49"/>
        <v>5.5142158404429082</v>
      </c>
      <c r="J87" s="81">
        <f t="shared" si="49"/>
        <v>4.7130049918315464</v>
      </c>
      <c r="K87" s="109">
        <f>K122/((1+K125/100)^K5)</f>
        <v>4.028209394727817</v>
      </c>
      <c r="L87" s="130">
        <f t="shared" si="49"/>
        <v>3.4429140125878783</v>
      </c>
      <c r="M87" s="222">
        <f t="shared" si="49"/>
        <v>2.5150953412140251</v>
      </c>
      <c r="N87" s="81">
        <f>N122/((1+N125/100)^N5)</f>
        <v>2.1496541377897649</v>
      </c>
      <c r="O87" s="81">
        <f t="shared" si="49"/>
        <v>1.5703514776753347</v>
      </c>
      <c r="P87" s="81">
        <f>P122/((1+P125/100)^P5)</f>
        <v>1.3421807501498588</v>
      </c>
      <c r="Q87" s="81">
        <f t="shared" si="49"/>
        <v>0.98048122591121256</v>
      </c>
    </row>
    <row r="88" spans="1:19" s="3" customFormat="1" ht="14.4" thickTop="1" thickBot="1" x14ac:dyDescent="0.3">
      <c r="A88" s="11" t="s">
        <v>46</v>
      </c>
      <c r="B88" s="12"/>
      <c r="C88" s="12" t="s">
        <v>105</v>
      </c>
      <c r="D88" s="44" t="s">
        <v>133</v>
      </c>
      <c r="E88" s="75">
        <v>2</v>
      </c>
      <c r="F88" s="17">
        <f t="shared" ref="F88:M88" si="50">E88</f>
        <v>2</v>
      </c>
      <c r="G88" s="17">
        <f t="shared" si="50"/>
        <v>2</v>
      </c>
      <c r="H88" s="17">
        <f t="shared" si="50"/>
        <v>2</v>
      </c>
      <c r="I88" s="17">
        <f t="shared" si="50"/>
        <v>2</v>
      </c>
      <c r="J88" s="17">
        <f t="shared" si="50"/>
        <v>2</v>
      </c>
      <c r="K88" s="92">
        <f>I88</f>
        <v>2</v>
      </c>
      <c r="L88" s="113">
        <f>J88</f>
        <v>2</v>
      </c>
      <c r="M88" s="150">
        <f t="shared" si="50"/>
        <v>2</v>
      </c>
      <c r="N88" s="17">
        <f>L88</f>
        <v>2</v>
      </c>
      <c r="O88" s="17">
        <f>M88</f>
        <v>2</v>
      </c>
      <c r="P88" s="17">
        <f>N88</f>
        <v>2</v>
      </c>
      <c r="Q88" s="17">
        <f>O88</f>
        <v>2</v>
      </c>
      <c r="S88" s="90"/>
    </row>
    <row r="89" spans="1:19" ht="27.6" thickTop="1" thickBot="1" x14ac:dyDescent="0.3">
      <c r="A89" s="4" t="s">
        <v>47</v>
      </c>
      <c r="B89" s="5"/>
      <c r="C89" s="5" t="s">
        <v>157</v>
      </c>
      <c r="D89" s="39" t="s">
        <v>158</v>
      </c>
      <c r="E89" s="63">
        <f t="shared" ref="E89:Q89" si="51">(E88+E84)/(E84+1)</f>
        <v>1.3125</v>
      </c>
      <c r="F89" s="27">
        <f t="shared" si="51"/>
        <v>1.3125</v>
      </c>
      <c r="G89" s="27">
        <f t="shared" si="51"/>
        <v>1.3125</v>
      </c>
      <c r="H89" s="27">
        <f t="shared" si="51"/>
        <v>1.3125</v>
      </c>
      <c r="I89" s="27">
        <f t="shared" si="51"/>
        <v>1.3125</v>
      </c>
      <c r="J89" s="27">
        <f t="shared" si="51"/>
        <v>1.3125</v>
      </c>
      <c r="K89" s="95">
        <f t="shared" si="51"/>
        <v>1.3125</v>
      </c>
      <c r="L89" s="116">
        <f t="shared" si="51"/>
        <v>1.3125</v>
      </c>
      <c r="M89" s="215">
        <f t="shared" si="51"/>
        <v>1.3125</v>
      </c>
      <c r="N89" s="27">
        <f t="shared" si="51"/>
        <v>1.3125</v>
      </c>
      <c r="O89" s="27">
        <f t="shared" si="51"/>
        <v>1.3125</v>
      </c>
      <c r="P89" s="27">
        <f t="shared" si="51"/>
        <v>1.3125</v>
      </c>
      <c r="Q89" s="27">
        <f t="shared" si="51"/>
        <v>1.3125</v>
      </c>
    </row>
    <row r="90" spans="1:19" ht="27.6" thickTop="1" thickBot="1" x14ac:dyDescent="0.3">
      <c r="A90" s="11" t="s">
        <v>52</v>
      </c>
      <c r="B90" s="12"/>
      <c r="C90" s="12" t="s">
        <v>159</v>
      </c>
      <c r="D90" s="44" t="s">
        <v>133</v>
      </c>
      <c r="E90" s="75">
        <v>3</v>
      </c>
      <c r="F90" s="21">
        <f t="shared" ref="F90:M90" si="52">E90</f>
        <v>3</v>
      </c>
      <c r="G90" s="21">
        <f t="shared" si="52"/>
        <v>3</v>
      </c>
      <c r="H90" s="21">
        <f t="shared" si="52"/>
        <v>3</v>
      </c>
      <c r="I90" s="21">
        <f t="shared" si="52"/>
        <v>3</v>
      </c>
      <c r="J90" s="21">
        <f t="shared" si="52"/>
        <v>3</v>
      </c>
      <c r="K90" s="99">
        <f>I90</f>
        <v>3</v>
      </c>
      <c r="L90" s="120">
        <f>J90</f>
        <v>3</v>
      </c>
      <c r="M90" s="146">
        <f t="shared" si="52"/>
        <v>3</v>
      </c>
      <c r="N90" s="21">
        <f t="shared" ref="N90:Q91" si="53">L90</f>
        <v>3</v>
      </c>
      <c r="O90" s="21">
        <f t="shared" si="53"/>
        <v>3</v>
      </c>
      <c r="P90" s="21">
        <f t="shared" si="53"/>
        <v>3</v>
      </c>
      <c r="Q90" s="21">
        <f t="shared" si="53"/>
        <v>3</v>
      </c>
    </row>
    <row r="91" spans="1:19" ht="40.799999999999997" thickTop="1" thickBot="1" x14ac:dyDescent="0.3">
      <c r="A91" s="11" t="s">
        <v>222</v>
      </c>
      <c r="B91" s="12"/>
      <c r="C91" s="12" t="s">
        <v>203</v>
      </c>
      <c r="D91" s="44" t="s">
        <v>133</v>
      </c>
      <c r="E91" s="74">
        <v>2</v>
      </c>
      <c r="F91" s="26">
        <f t="shared" ref="F91:M91" si="54">E91</f>
        <v>2</v>
      </c>
      <c r="G91" s="26">
        <f t="shared" si="54"/>
        <v>2</v>
      </c>
      <c r="H91" s="26">
        <f t="shared" si="54"/>
        <v>2</v>
      </c>
      <c r="I91" s="26">
        <f t="shared" si="54"/>
        <v>2</v>
      </c>
      <c r="J91" s="26">
        <f t="shared" si="54"/>
        <v>2</v>
      </c>
      <c r="K91" s="94">
        <f>I91</f>
        <v>2</v>
      </c>
      <c r="L91" s="115">
        <f>J91</f>
        <v>2</v>
      </c>
      <c r="M91" s="210">
        <f t="shared" si="54"/>
        <v>2</v>
      </c>
      <c r="N91" s="26">
        <f t="shared" si="53"/>
        <v>2</v>
      </c>
      <c r="O91" s="26">
        <f t="shared" si="53"/>
        <v>2</v>
      </c>
      <c r="P91" s="26">
        <f t="shared" si="53"/>
        <v>2</v>
      </c>
      <c r="Q91" s="26">
        <f t="shared" si="53"/>
        <v>2</v>
      </c>
    </row>
    <row r="92" spans="1:19" ht="14.4" thickTop="1" thickBot="1" x14ac:dyDescent="0.3">
      <c r="A92" s="14" t="s">
        <v>422</v>
      </c>
      <c r="B92" s="15" t="s">
        <v>20</v>
      </c>
      <c r="C92" s="15" t="s">
        <v>80</v>
      </c>
      <c r="D92" s="40" t="s">
        <v>202</v>
      </c>
      <c r="E92" s="56">
        <f t="shared" ref="E92:L92" si="55">E86*E91*E89*E90</f>
        <v>81.372520975609746</v>
      </c>
      <c r="F92" s="20">
        <f t="shared" si="55"/>
        <v>69.686823949843259</v>
      </c>
      <c r="G92" s="20">
        <f t="shared" si="55"/>
        <v>57.495564765957432</v>
      </c>
      <c r="H92" s="20">
        <f t="shared" si="55"/>
        <v>49.667421176470583</v>
      </c>
      <c r="I92" s="20">
        <f t="shared" si="55"/>
        <v>43.237344061381087</v>
      </c>
      <c r="J92" s="20">
        <f t="shared" si="55"/>
        <v>33.990843223880589</v>
      </c>
      <c r="K92" s="91">
        <f t="shared" si="55"/>
        <v>30.77484960000001</v>
      </c>
      <c r="L92" s="112">
        <f t="shared" si="55"/>
        <v>24.795571207430342</v>
      </c>
      <c r="M92" s="209">
        <f>M86*M91*M89*M90</f>
        <v>19.829289873417721</v>
      </c>
      <c r="N92" s="20">
        <f>N86*N91*N89*N90</f>
        <v>15.060736472727276</v>
      </c>
      <c r="O92" s="20">
        <f>O86*O91*O89*O90</f>
        <v>12.311997020689653</v>
      </c>
      <c r="P92" s="20">
        <f>P86*P91*P89*P90</f>
        <v>10.798288744186047</v>
      </c>
      <c r="Q92" s="20">
        <f>Q86*Q91*Q89*Q90</f>
        <v>7.8526254545454535</v>
      </c>
    </row>
    <row r="93" spans="1:19" ht="14.4" thickTop="1" thickBot="1" x14ac:dyDescent="0.3">
      <c r="A93" s="34" t="s">
        <v>45</v>
      </c>
      <c r="B93" s="35" t="str">
        <f>B92</f>
        <v>ps</v>
      </c>
      <c r="C93" s="35" t="s">
        <v>106</v>
      </c>
      <c r="D93" s="45" t="s">
        <v>199</v>
      </c>
      <c r="E93" s="61">
        <f t="shared" ref="E93:Q93" si="56">E123/((1+E125/100)^E5)</f>
        <v>81.372520975609746</v>
      </c>
      <c r="F93" s="77">
        <f t="shared" si="56"/>
        <v>69.549163227016876</v>
      </c>
      <c r="G93" s="77">
        <f t="shared" si="56"/>
        <v>59.443729253860589</v>
      </c>
      <c r="H93" s="77">
        <f t="shared" si="56"/>
        <v>50.806606199880846</v>
      </c>
      <c r="I93" s="77">
        <f t="shared" si="56"/>
        <v>43.424449743487905</v>
      </c>
      <c r="J93" s="77">
        <f t="shared" si="56"/>
        <v>37.114914310673427</v>
      </c>
      <c r="K93" s="101">
        <f>K123/((1+K125/100)^K5)</f>
        <v>31.722148983481564</v>
      </c>
      <c r="L93" s="122">
        <f t="shared" si="56"/>
        <v>27.112947849129544</v>
      </c>
      <c r="M93" s="153">
        <f t="shared" si="56"/>
        <v>19.806375812060452</v>
      </c>
      <c r="N93" s="77">
        <f>N123/((1+N125/100)^N5)</f>
        <v>16.9285263350944</v>
      </c>
      <c r="O93" s="77">
        <f t="shared" si="56"/>
        <v>12.366517886693261</v>
      </c>
      <c r="P93" s="77">
        <f>P123/((1+P125/100)^P5)</f>
        <v>10.569673407430138</v>
      </c>
      <c r="Q93" s="77">
        <f t="shared" si="56"/>
        <v>7.7212896540507998</v>
      </c>
    </row>
    <row r="94" spans="1:19" ht="27.6" thickTop="1" thickBot="1" x14ac:dyDescent="0.3">
      <c r="A94" s="11" t="s">
        <v>36</v>
      </c>
      <c r="B94" s="12"/>
      <c r="C94" s="12" t="s">
        <v>155</v>
      </c>
      <c r="D94" s="44" t="s">
        <v>133</v>
      </c>
      <c r="E94" s="75">
        <v>10</v>
      </c>
      <c r="F94" s="17">
        <f t="shared" ref="F94:M94" si="57">E94</f>
        <v>10</v>
      </c>
      <c r="G94" s="17">
        <f t="shared" si="57"/>
        <v>10</v>
      </c>
      <c r="H94" s="17">
        <f t="shared" si="57"/>
        <v>10</v>
      </c>
      <c r="I94" s="17">
        <f t="shared" si="57"/>
        <v>10</v>
      </c>
      <c r="J94" s="17">
        <f t="shared" si="57"/>
        <v>10</v>
      </c>
      <c r="K94" s="92">
        <f>I94</f>
        <v>10</v>
      </c>
      <c r="L94" s="113">
        <f>J94</f>
        <v>10</v>
      </c>
      <c r="M94" s="150">
        <f t="shared" si="57"/>
        <v>10</v>
      </c>
      <c r="N94" s="17">
        <f t="shared" ref="N94:Q95" si="58">L94</f>
        <v>10</v>
      </c>
      <c r="O94" s="17">
        <f t="shared" si="58"/>
        <v>10</v>
      </c>
      <c r="P94" s="17">
        <f t="shared" si="58"/>
        <v>10</v>
      </c>
      <c r="Q94" s="17">
        <f t="shared" si="58"/>
        <v>10</v>
      </c>
    </row>
    <row r="95" spans="1:19" ht="27.6" thickTop="1" thickBot="1" x14ac:dyDescent="0.3">
      <c r="A95" s="11" t="s">
        <v>48</v>
      </c>
      <c r="B95" s="12" t="s">
        <v>30</v>
      </c>
      <c r="C95" s="12" t="s">
        <v>161</v>
      </c>
      <c r="D95" s="44" t="s">
        <v>133</v>
      </c>
      <c r="E95" s="75">
        <v>30</v>
      </c>
      <c r="F95" s="17">
        <f t="shared" ref="F95:M95" si="59">E95</f>
        <v>30</v>
      </c>
      <c r="G95" s="17">
        <f t="shared" si="59"/>
        <v>30</v>
      </c>
      <c r="H95" s="17">
        <f t="shared" si="59"/>
        <v>30</v>
      </c>
      <c r="I95" s="17">
        <f t="shared" si="59"/>
        <v>30</v>
      </c>
      <c r="J95" s="17">
        <f t="shared" si="59"/>
        <v>30</v>
      </c>
      <c r="K95" s="92">
        <f>I95</f>
        <v>30</v>
      </c>
      <c r="L95" s="113">
        <f>J95</f>
        <v>30</v>
      </c>
      <c r="M95" s="150">
        <f t="shared" si="59"/>
        <v>30</v>
      </c>
      <c r="N95" s="17">
        <f t="shared" si="58"/>
        <v>30</v>
      </c>
      <c r="O95" s="17">
        <f t="shared" si="58"/>
        <v>30</v>
      </c>
      <c r="P95" s="17">
        <f t="shared" si="58"/>
        <v>30</v>
      </c>
      <c r="Q95" s="17">
        <f t="shared" si="58"/>
        <v>30</v>
      </c>
    </row>
    <row r="96" spans="1:19" ht="27.6" thickTop="1" thickBot="1" x14ac:dyDescent="0.3">
      <c r="A96" s="14" t="s">
        <v>208</v>
      </c>
      <c r="B96" s="15" t="s">
        <v>21</v>
      </c>
      <c r="C96" s="15" t="s">
        <v>81</v>
      </c>
      <c r="D96" s="40" t="s">
        <v>160</v>
      </c>
      <c r="E96" s="68">
        <f t="shared" ref="E96:L96" si="60">(1/(E94*E92*(1+E95/100)))*1000</f>
        <v>0.9453200662928154</v>
      </c>
      <c r="F96" s="80">
        <f t="shared" si="60"/>
        <v>1.1038396150532261</v>
      </c>
      <c r="G96" s="80">
        <f t="shared" si="60"/>
        <v>1.3378958400739518</v>
      </c>
      <c r="H96" s="80">
        <f t="shared" si="60"/>
        <v>1.5487632556916084</v>
      </c>
      <c r="I96" s="80">
        <f t="shared" si="60"/>
        <v>1.7790888546223957</v>
      </c>
      <c r="J96" s="80">
        <f t="shared" si="60"/>
        <v>2.2630529174114131</v>
      </c>
      <c r="K96" s="108">
        <f t="shared" si="60"/>
        <v>2.499543553352634</v>
      </c>
      <c r="L96" s="129">
        <f t="shared" si="60"/>
        <v>3.1022909809000825</v>
      </c>
      <c r="M96" s="221">
        <f>(1/(M94*M92*(1+M95/100)))*1000</f>
        <v>3.8792653400158637</v>
      </c>
      <c r="N96" s="80">
        <f>(1/(N94*N92*(1+N95/100)))*1000</f>
        <v>5.1075242610062945</v>
      </c>
      <c r="O96" s="80">
        <f>(1/(O94*O92*(1+O95/100)))*1000</f>
        <v>6.2478147772300305</v>
      </c>
      <c r="P96" s="80">
        <f>(1/(P94*P92*(1+P95/100)))*1000</f>
        <v>7.1236358598480152</v>
      </c>
      <c r="Q96" s="80">
        <f>(1/(Q94*Q92*(1+Q95/100)))*1000</f>
        <v>9.7958418325619192</v>
      </c>
    </row>
    <row r="97" spans="1:19" ht="27.6" thickTop="1" thickBot="1" x14ac:dyDescent="0.3">
      <c r="A97" s="34" t="s">
        <v>209</v>
      </c>
      <c r="B97" s="35" t="str">
        <f>B96</f>
        <v>GHz</v>
      </c>
      <c r="C97" s="35" t="s">
        <v>107</v>
      </c>
      <c r="D97" s="45" t="s">
        <v>162</v>
      </c>
      <c r="E97" s="69">
        <f t="shared" ref="E97:Q97" si="61">E124*(1+E125/100)^E5</f>
        <v>0.9453200662928154</v>
      </c>
      <c r="F97" s="81">
        <f t="shared" si="61"/>
        <v>1.106024477562594</v>
      </c>
      <c r="G97" s="81">
        <f t="shared" si="61"/>
        <v>1.2940486387482348</v>
      </c>
      <c r="H97" s="81">
        <f t="shared" si="61"/>
        <v>1.5140369073354347</v>
      </c>
      <c r="I97" s="81">
        <f t="shared" si="61"/>
        <v>1.7714231815824584</v>
      </c>
      <c r="J97" s="81">
        <f t="shared" si="61"/>
        <v>2.0725651224514761</v>
      </c>
      <c r="K97" s="109">
        <f>K124*(1+K125/100)^K5</f>
        <v>2.424901193268227</v>
      </c>
      <c r="L97" s="130">
        <f t="shared" si="61"/>
        <v>2.8371343961238251</v>
      </c>
      <c r="M97" s="222">
        <f t="shared" si="61"/>
        <v>3.8837532748539032</v>
      </c>
      <c r="N97" s="81">
        <f>N124*(1+N125/100)^N5</f>
        <v>4.5439913315790674</v>
      </c>
      <c r="O97" s="81">
        <f t="shared" si="61"/>
        <v>6.2202697337985837</v>
      </c>
      <c r="P97" s="81">
        <f>P124*(1+P125/100)^P5</f>
        <v>7.2777155885443428</v>
      </c>
      <c r="Q97" s="81">
        <f t="shared" si="61"/>
        <v>9.9624648691583495</v>
      </c>
    </row>
    <row r="98" spans="1:19" ht="14.4" thickTop="1" thickBot="1" x14ac:dyDescent="0.3">
      <c r="A98" s="4"/>
      <c r="B98" s="5"/>
      <c r="C98" s="5"/>
      <c r="D98" s="39"/>
      <c r="E98" s="49"/>
      <c r="F98" s="23"/>
      <c r="G98" s="23"/>
      <c r="H98" s="23"/>
      <c r="I98" s="23"/>
      <c r="J98" s="23"/>
      <c r="K98" s="102"/>
      <c r="L98" s="124"/>
      <c r="M98" s="214"/>
      <c r="N98" s="23"/>
      <c r="O98" s="23"/>
      <c r="P98" s="23"/>
      <c r="Q98" s="23"/>
    </row>
    <row r="99" spans="1:19" ht="14.4" thickTop="1" thickBot="1" x14ac:dyDescent="0.3">
      <c r="A99" s="10" t="s">
        <v>190</v>
      </c>
      <c r="B99" s="5"/>
      <c r="C99" s="5"/>
      <c r="D99" s="39"/>
      <c r="E99" s="49"/>
      <c r="F99" s="23"/>
      <c r="G99" s="23"/>
      <c r="H99" s="23"/>
      <c r="I99" s="23"/>
      <c r="J99" s="23"/>
      <c r="K99" s="102"/>
      <c r="L99" s="124"/>
      <c r="M99" s="214"/>
      <c r="N99" s="23"/>
      <c r="O99" s="23"/>
      <c r="P99" s="23"/>
      <c r="Q99" s="23"/>
    </row>
    <row r="100" spans="1:19" ht="27.6" thickTop="1" thickBot="1" x14ac:dyDescent="0.3">
      <c r="A100" s="14" t="s">
        <v>423</v>
      </c>
      <c r="B100" s="15" t="s">
        <v>35</v>
      </c>
      <c r="C100" s="15" t="s">
        <v>306</v>
      </c>
      <c r="D100" s="40" t="s">
        <v>307</v>
      </c>
      <c r="E100" s="70">
        <f t="shared" ref="E100:Q100" si="62">E8*(E33*0.000001)*(1+E28)</f>
        <v>2.4000000000000001E-11</v>
      </c>
      <c r="F100" s="82">
        <f t="shared" si="62"/>
        <v>2.4000000000000001E-11</v>
      </c>
      <c r="G100" s="82">
        <f t="shared" si="62"/>
        <v>3.5999999999999998E-11</v>
      </c>
      <c r="H100" s="82">
        <f t="shared" si="62"/>
        <v>4.8000000000000002E-11</v>
      </c>
      <c r="I100" s="82">
        <f t="shared" si="62"/>
        <v>5.5000000000000004E-11</v>
      </c>
      <c r="J100" s="82">
        <f t="shared" si="62"/>
        <v>6.6000000000000005E-11</v>
      </c>
      <c r="K100" s="110">
        <f>K8*(K33*0.000001)*(1+K28)</f>
        <v>8.8000000000000019E-11</v>
      </c>
      <c r="L100" s="131">
        <f t="shared" si="62"/>
        <v>1.2E-10</v>
      </c>
      <c r="M100" s="223">
        <f t="shared" si="62"/>
        <v>1.2E-10</v>
      </c>
      <c r="N100" s="82">
        <f>N8*(N33*0.000001)*(1+N28)</f>
        <v>1.4400000000000002E-10</v>
      </c>
      <c r="O100" s="82">
        <f t="shared" si="62"/>
        <v>1.4400000000000002E-10</v>
      </c>
      <c r="P100" s="82">
        <f>P8*(P33*0.000001)*(1+P28)</f>
        <v>1.6000000000000002E-10</v>
      </c>
      <c r="Q100" s="82">
        <f t="shared" si="62"/>
        <v>1.6000000000000002E-10</v>
      </c>
    </row>
    <row r="101" spans="1:19" ht="27.6" thickTop="1" thickBot="1" x14ac:dyDescent="0.3">
      <c r="A101" s="14" t="s">
        <v>210</v>
      </c>
      <c r="B101" s="15" t="s">
        <v>35</v>
      </c>
      <c r="C101" s="15" t="s">
        <v>108</v>
      </c>
      <c r="D101" s="40" t="s">
        <v>163</v>
      </c>
      <c r="E101" s="70">
        <f t="shared" ref="E101:Q101" si="63">E75*(E96*1000000000)*(E8)^2</f>
        <v>1.5018315018315015E-6</v>
      </c>
      <c r="F101" s="82">
        <f t="shared" si="63"/>
        <v>1.6117216117216116E-6</v>
      </c>
      <c r="G101" s="82">
        <f t="shared" si="63"/>
        <v>1.7216117216117215E-6</v>
      </c>
      <c r="H101" s="82">
        <f t="shared" si="63"/>
        <v>1.8681318681318677E-6</v>
      </c>
      <c r="I101" s="82">
        <f t="shared" si="63"/>
        <v>1.7124542124542121E-6</v>
      </c>
      <c r="J101" s="82">
        <f t="shared" si="63"/>
        <v>2.2496947496947501E-6</v>
      </c>
      <c r="K101" s="110">
        <f>K75*(K96*1000000000)*(K8)^2</f>
        <v>2.3504273504273496E-6</v>
      </c>
      <c r="L101" s="131">
        <f t="shared" si="63"/>
        <v>2.3199023199023197E-6</v>
      </c>
      <c r="M101" s="223">
        <f t="shared" si="63"/>
        <v>2.4114774114774111E-6</v>
      </c>
      <c r="N101" s="82">
        <f>N75*(N96*1000000000)*(N8)^2</f>
        <v>2.4175824175824169E-6</v>
      </c>
      <c r="O101" s="82">
        <f t="shared" si="63"/>
        <v>2.3901098901098905E-6</v>
      </c>
      <c r="P101" s="82">
        <f>P75*(P96*1000000000)*(P8)^2</f>
        <v>2.1001221001220999E-6</v>
      </c>
      <c r="Q101" s="82">
        <f t="shared" si="63"/>
        <v>2.4175824175824173E-6</v>
      </c>
    </row>
    <row r="102" spans="1:19" ht="40.799999999999997" thickTop="1" thickBot="1" x14ac:dyDescent="0.3">
      <c r="A102" s="14" t="s">
        <v>310</v>
      </c>
      <c r="B102" s="15"/>
      <c r="C102" s="15" t="s">
        <v>164</v>
      </c>
      <c r="D102" s="40" t="s">
        <v>308</v>
      </c>
      <c r="E102" s="70">
        <f>E101/E100</f>
        <v>62576.312576312557</v>
      </c>
      <c r="F102" s="82">
        <f t="shared" ref="F102:Q102" si="64">F101/F100</f>
        <v>67155.067155067154</v>
      </c>
      <c r="G102" s="82">
        <f t="shared" si="64"/>
        <v>47822.547822547822</v>
      </c>
      <c r="H102" s="82">
        <f t="shared" si="64"/>
        <v>38919.413919413906</v>
      </c>
      <c r="I102" s="82">
        <f t="shared" si="64"/>
        <v>31135.531135531128</v>
      </c>
      <c r="J102" s="82">
        <f t="shared" si="64"/>
        <v>34086.284086284089</v>
      </c>
      <c r="K102" s="110">
        <f t="shared" si="64"/>
        <v>26709.401709401693</v>
      </c>
      <c r="L102" s="131">
        <f t="shared" si="64"/>
        <v>19332.519332519332</v>
      </c>
      <c r="M102" s="223">
        <f t="shared" si="64"/>
        <v>20095.645095645094</v>
      </c>
      <c r="N102" s="82">
        <f t="shared" si="64"/>
        <v>16788.766788766781</v>
      </c>
      <c r="O102" s="82">
        <f t="shared" si="64"/>
        <v>16597.985347985348</v>
      </c>
      <c r="P102" s="82">
        <f t="shared" si="64"/>
        <v>13125.763125763124</v>
      </c>
      <c r="Q102" s="82">
        <f t="shared" si="64"/>
        <v>15109.890109890106</v>
      </c>
    </row>
    <row r="103" spans="1:19" ht="14.4" thickTop="1" thickBot="1" x14ac:dyDescent="0.3">
      <c r="A103" s="14" t="s">
        <v>424</v>
      </c>
      <c r="B103" s="15" t="s">
        <v>425</v>
      </c>
      <c r="C103" s="15" t="s">
        <v>109</v>
      </c>
      <c r="D103" s="40" t="s">
        <v>165</v>
      </c>
      <c r="E103" s="70">
        <f t="shared" ref="E103:L103" si="65">E101/(E96*1000000000)</f>
        <v>1.5887015999999995E-15</v>
      </c>
      <c r="F103" s="82">
        <f t="shared" si="65"/>
        <v>1.4601048827586205E-15</v>
      </c>
      <c r="G103" s="82">
        <f t="shared" si="65"/>
        <v>1.2868054971428568E-15</v>
      </c>
      <c r="H103" s="82">
        <f t="shared" si="65"/>
        <v>1.2062087999999998E-15</v>
      </c>
      <c r="I103" s="82">
        <f t="shared" si="65"/>
        <v>9.6254563565217402E-16</v>
      </c>
      <c r="J103" s="82">
        <f t="shared" si="65"/>
        <v>9.9409727999999982E-16</v>
      </c>
      <c r="K103" s="110">
        <f>K101/(K96*1000000000)</f>
        <v>9.403426266666668E-16</v>
      </c>
      <c r="L103" s="131">
        <f t="shared" si="65"/>
        <v>7.4780294117647058E-16</v>
      </c>
      <c r="M103" s="223">
        <f>M101/(M96*1000000000)</f>
        <v>6.2163249999999995E-16</v>
      </c>
      <c r="N103" s="82">
        <f>N101/(N96*1000000000)</f>
        <v>4.7333743199999993E-16</v>
      </c>
      <c r="O103" s="82">
        <f>O101/(O96*1000000000)</f>
        <v>3.8255133600000005E-16</v>
      </c>
      <c r="P103" s="82">
        <f>P101/(P96*1000000000)</f>
        <v>2.948104228571429E-16</v>
      </c>
      <c r="Q103" s="82">
        <f>Q101/(Q96*1000000000)</f>
        <v>2.4679680000000002E-16</v>
      </c>
    </row>
    <row r="104" spans="1:19" ht="27.6" thickTop="1" thickBot="1" x14ac:dyDescent="0.3">
      <c r="A104" s="14" t="s">
        <v>211</v>
      </c>
      <c r="B104" s="15" t="s">
        <v>200</v>
      </c>
      <c r="C104" s="15" t="s">
        <v>110</v>
      </c>
      <c r="D104" s="40" t="s">
        <v>166</v>
      </c>
      <c r="E104" s="70">
        <f t="shared" ref="E104:Q104" si="66">100*(E7*0.001)*E85*E89*E90*E91*(E96*1000000000)*E8^2</f>
        <v>2.8384615384615389E-4</v>
      </c>
      <c r="F104" s="82">
        <f t="shared" si="66"/>
        <v>2.6400000000000002E-4</v>
      </c>
      <c r="G104" s="82">
        <f t="shared" si="66"/>
        <v>2.2993846153846145E-4</v>
      </c>
      <c r="H104" s="82">
        <f t="shared" si="66"/>
        <v>2.118461538461538E-4</v>
      </c>
      <c r="I104" s="82">
        <f t="shared" si="66"/>
        <v>1.5966923076923074E-4</v>
      </c>
      <c r="J104" s="82">
        <f t="shared" si="66"/>
        <v>1.8141538461538466E-4</v>
      </c>
      <c r="K104" s="110">
        <f>100*(K7*0.001)*K85*K89*K90*K91*(K96*1000000000)*K8^2</f>
        <v>1.6584615384615384E-4</v>
      </c>
      <c r="L104" s="131">
        <f t="shared" si="66"/>
        <v>1.4615384615384612E-4</v>
      </c>
      <c r="M104" s="223">
        <f t="shared" si="66"/>
        <v>1.2153846153846154E-4</v>
      </c>
      <c r="N104" s="82">
        <f>100*(N7*0.001)*N85*N89*N90*N91*(N96*1000000000)*N8^2</f>
        <v>1.0966153846153848E-4</v>
      </c>
      <c r="O104" s="82">
        <f t="shared" si="66"/>
        <v>8.4323076923076943E-5</v>
      </c>
      <c r="P104" s="82">
        <f>100*(P7*0.001)*P85*P89*P90*P91*(P96*1000000000)*P8^2</f>
        <v>6.8799999999999992E-5</v>
      </c>
      <c r="Q104" s="82">
        <f t="shared" si="66"/>
        <v>6.0923076923076916E-5</v>
      </c>
    </row>
    <row r="105" spans="1:19" ht="27.6" thickTop="1" thickBot="1" x14ac:dyDescent="0.3">
      <c r="A105" s="14" t="s">
        <v>212</v>
      </c>
      <c r="B105" s="15" t="s">
        <v>201</v>
      </c>
      <c r="C105" s="15" t="s">
        <v>111</v>
      </c>
      <c r="D105" s="40" t="s">
        <v>167</v>
      </c>
      <c r="E105" s="70">
        <f t="shared" ref="E105:L105" si="67">E104/(E96*1000000000)</f>
        <v>3.0026460240000003E-13</v>
      </c>
      <c r="F105" s="82">
        <f t="shared" si="67"/>
        <v>2.3916517979586205E-13</v>
      </c>
      <c r="G105" s="82">
        <f t="shared" si="67"/>
        <v>1.7186574219839991E-13</v>
      </c>
      <c r="H105" s="82">
        <f t="shared" si="67"/>
        <v>1.3678407791999997E-13</v>
      </c>
      <c r="I105" s="82">
        <f t="shared" si="67"/>
        <v>8.9747755068208703E-14</v>
      </c>
      <c r="J105" s="82">
        <f t="shared" si="67"/>
        <v>8.0164004659199998E-14</v>
      </c>
      <c r="K105" s="110">
        <f t="shared" si="67"/>
        <v>6.6350575737600036E-14</v>
      </c>
      <c r="L105" s="131">
        <f t="shared" si="67"/>
        <v>4.7111585294117643E-14</v>
      </c>
      <c r="M105" s="223">
        <f>M104/(M96*1000000000)</f>
        <v>3.1330278000000004E-14</v>
      </c>
      <c r="N105" s="82">
        <f>N104/(N96*1000000000)</f>
        <v>2.1470585915520009E-14</v>
      </c>
      <c r="O105" s="82">
        <f>O104/(O96*1000000000)</f>
        <v>1.3496411134080001E-14</v>
      </c>
      <c r="P105" s="82">
        <f>P104/(P96*1000000000)</f>
        <v>9.6579894528000009E-15</v>
      </c>
      <c r="Q105" s="82">
        <f>Q104/(Q96*1000000000)</f>
        <v>6.2192793600000005E-15</v>
      </c>
    </row>
    <row r="106" spans="1:19" ht="14.4" thickTop="1" thickBot="1" x14ac:dyDescent="0.3">
      <c r="A106" s="4"/>
      <c r="B106" s="5"/>
      <c r="C106" s="5"/>
      <c r="D106" s="39"/>
      <c r="E106" s="49"/>
      <c r="F106" s="23"/>
      <c r="G106" s="23"/>
      <c r="H106" s="23"/>
      <c r="I106" s="23"/>
      <c r="J106" s="23"/>
      <c r="K106" s="102"/>
      <c r="L106" s="124"/>
      <c r="M106" s="214"/>
      <c r="N106" s="23"/>
      <c r="O106" s="23"/>
      <c r="P106" s="23"/>
      <c r="Q106" s="23"/>
    </row>
    <row r="107" spans="1:19" s="3" customFormat="1" ht="14.4" thickTop="1" thickBot="1" x14ac:dyDescent="0.3">
      <c r="A107" s="13" t="s">
        <v>345</v>
      </c>
      <c r="B107" s="9"/>
      <c r="C107" s="9"/>
      <c r="D107" s="41"/>
      <c r="E107" s="57"/>
      <c r="F107" s="28"/>
      <c r="G107" s="28"/>
      <c r="H107" s="28"/>
      <c r="I107" s="28"/>
      <c r="J107" s="28"/>
      <c r="K107" s="97"/>
      <c r="L107" s="118"/>
      <c r="M107" s="159"/>
      <c r="N107" s="28"/>
      <c r="O107" s="28"/>
      <c r="P107" s="28"/>
      <c r="Q107" s="28"/>
      <c r="S107" s="90"/>
    </row>
    <row r="108" spans="1:19" ht="14.4" thickTop="1" thickBot="1" x14ac:dyDescent="0.3">
      <c r="A108" s="4" t="s">
        <v>346</v>
      </c>
      <c r="B108" s="5" t="s">
        <v>9</v>
      </c>
      <c r="C108" s="5" t="s">
        <v>169</v>
      </c>
      <c r="D108" s="39" t="s">
        <v>170</v>
      </c>
      <c r="E108" s="63">
        <f t="shared" ref="E108:Q108" si="68">(E8/E26)*(100000000/1000000)</f>
        <v>4</v>
      </c>
      <c r="F108" s="27">
        <f t="shared" si="68"/>
        <v>4.1379310344827589</v>
      </c>
      <c r="G108" s="27">
        <f t="shared" si="68"/>
        <v>4.2857142857142856</v>
      </c>
      <c r="H108" s="27">
        <f t="shared" si="68"/>
        <v>4.615384615384615</v>
      </c>
      <c r="I108" s="27">
        <f t="shared" si="68"/>
        <v>4.7826086956521738</v>
      </c>
      <c r="J108" s="27">
        <f t="shared" si="68"/>
        <v>5.7894736842105265</v>
      </c>
      <c r="K108" s="95">
        <f>(K8/K26)*(100000000/1000000)</f>
        <v>6.1111111111111116</v>
      </c>
      <c r="L108" s="116">
        <f t="shared" si="68"/>
        <v>5.8823529411764701</v>
      </c>
      <c r="M108" s="215">
        <f t="shared" si="68"/>
        <v>6.25</v>
      </c>
      <c r="N108" s="27">
        <f>(N8/N26)*(100000000/1000000)</f>
        <v>6.0000000000000009</v>
      </c>
      <c r="O108" s="27">
        <f t="shared" si="68"/>
        <v>6.0000000000000009</v>
      </c>
      <c r="P108" s="27">
        <f>(P8/P26)*(100000000/1000000)</f>
        <v>5.7142857142857144</v>
      </c>
      <c r="Q108" s="27">
        <f t="shared" si="68"/>
        <v>6.1538461538461542</v>
      </c>
    </row>
    <row r="109" spans="1:19" ht="14.4" thickTop="1" thickBot="1" x14ac:dyDescent="0.3">
      <c r="A109" s="4" t="s">
        <v>347</v>
      </c>
      <c r="B109" s="5" t="s">
        <v>9</v>
      </c>
      <c r="C109" s="5" t="s">
        <v>168</v>
      </c>
      <c r="D109" s="39" t="s">
        <v>171</v>
      </c>
      <c r="E109" s="63">
        <f t="shared" ref="E109:Q109" si="69">2*((E8-E58-0.5*E67*E70*0.000001)/E7)*(10000000/1000000)</f>
        <v>0.22919796977045268</v>
      </c>
      <c r="F109" s="27">
        <f t="shared" si="69"/>
        <v>0.26998859376770645</v>
      </c>
      <c r="G109" s="27">
        <f t="shared" si="69"/>
        <v>0.34143596484265964</v>
      </c>
      <c r="H109" s="27">
        <f t="shared" si="69"/>
        <v>0.40766825664869111</v>
      </c>
      <c r="I109" s="27">
        <f t="shared" si="69"/>
        <v>0.45857219145107075</v>
      </c>
      <c r="J109" s="27">
        <f t="shared" si="69"/>
        <v>0.53793048399380861</v>
      </c>
      <c r="K109" s="95">
        <f>2*((K8-K58-0.5*K67*K70*0.000001)/K7)*(10000000/1000000)</f>
        <v>0.61881875804394826</v>
      </c>
      <c r="L109" s="116">
        <f t="shared" si="69"/>
        <v>0.64701299330821049</v>
      </c>
      <c r="M109" s="215">
        <f t="shared" si="69"/>
        <v>0.83488245391231919</v>
      </c>
      <c r="N109" s="27">
        <f>2*((N8-N58-0.5*N67*N70*0.000001)/N7)*(10000000/1000000)</f>
        <v>0.85489829325612621</v>
      </c>
      <c r="O109" s="27">
        <f t="shared" si="69"/>
        <v>1.1317676898579483</v>
      </c>
      <c r="P109" s="27">
        <f>2*((P8-P58-0.5*P67*P70*0.000001)/P7)*(10000000/1000000)</f>
        <v>1.1008289339443924</v>
      </c>
      <c r="Q109" s="27">
        <f t="shared" si="69"/>
        <v>1.4391731643296855</v>
      </c>
    </row>
    <row r="110" spans="1:19" ht="14.4" thickTop="1" thickBot="1" x14ac:dyDescent="0.3">
      <c r="A110" s="4"/>
      <c r="B110" s="5"/>
      <c r="C110" s="5"/>
      <c r="D110" s="39"/>
      <c r="E110" s="49"/>
      <c r="F110" s="23"/>
      <c r="G110" s="23"/>
      <c r="H110" s="23"/>
      <c r="I110" s="23"/>
      <c r="J110" s="23"/>
      <c r="K110" s="102"/>
      <c r="L110" s="124"/>
      <c r="M110" s="214"/>
      <c r="N110" s="23"/>
      <c r="O110" s="23"/>
      <c r="P110" s="23"/>
      <c r="Q110" s="23"/>
    </row>
    <row r="111" spans="1:19" ht="14.4" thickTop="1" thickBot="1" x14ac:dyDescent="0.3">
      <c r="A111" s="10" t="s">
        <v>24</v>
      </c>
      <c r="B111" s="5"/>
      <c r="C111" s="5"/>
      <c r="D111" s="39"/>
      <c r="E111" s="49"/>
      <c r="F111" s="23"/>
      <c r="G111" s="23"/>
      <c r="H111" s="23"/>
      <c r="I111" s="23"/>
      <c r="J111" s="23"/>
      <c r="K111" s="102"/>
      <c r="L111" s="124"/>
      <c r="M111" s="214"/>
      <c r="N111" s="23"/>
      <c r="O111" s="23"/>
      <c r="P111" s="23"/>
      <c r="Q111" s="23"/>
    </row>
    <row r="112" spans="1:19" ht="14.4" thickTop="1" thickBot="1" x14ac:dyDescent="0.3">
      <c r="A112" s="11" t="s">
        <v>13</v>
      </c>
      <c r="B112" s="12" t="s">
        <v>0</v>
      </c>
      <c r="C112" s="12" t="s">
        <v>112</v>
      </c>
      <c r="D112" s="44" t="s">
        <v>137</v>
      </c>
      <c r="E112" s="83">
        <f>(0.000000000008854)*0.000001</f>
        <v>8.8539999999999993E-18</v>
      </c>
      <c r="F112" s="28">
        <f t="shared" ref="F112:M112" si="70">E112</f>
        <v>8.8539999999999993E-18</v>
      </c>
      <c r="G112" s="28">
        <f t="shared" si="70"/>
        <v>8.8539999999999993E-18</v>
      </c>
      <c r="H112" s="28">
        <f t="shared" si="70"/>
        <v>8.8539999999999993E-18</v>
      </c>
      <c r="I112" s="28">
        <f t="shared" si="70"/>
        <v>8.8539999999999993E-18</v>
      </c>
      <c r="J112" s="28">
        <f t="shared" si="70"/>
        <v>8.8539999999999993E-18</v>
      </c>
      <c r="K112" s="97">
        <f t="shared" ref="K112:L114" si="71">I112</f>
        <v>8.8539999999999993E-18</v>
      </c>
      <c r="L112" s="118">
        <f t="shared" si="71"/>
        <v>8.8539999999999993E-18</v>
      </c>
      <c r="M112" s="159">
        <f t="shared" si="70"/>
        <v>8.8539999999999993E-18</v>
      </c>
      <c r="N112" s="28">
        <f t="shared" ref="N112:Q114" si="72">L112</f>
        <v>8.8539999999999993E-18</v>
      </c>
      <c r="O112" s="28">
        <f t="shared" si="72"/>
        <v>8.8539999999999993E-18</v>
      </c>
      <c r="P112" s="28">
        <f t="shared" si="72"/>
        <v>8.8539999999999993E-18</v>
      </c>
      <c r="Q112" s="28">
        <f t="shared" si="72"/>
        <v>8.8539999999999993E-18</v>
      </c>
    </row>
    <row r="113" spans="1:17" ht="14.4" thickTop="1" thickBot="1" x14ac:dyDescent="0.3">
      <c r="A113" s="11" t="s">
        <v>15</v>
      </c>
      <c r="B113" s="12"/>
      <c r="C113" s="12" t="s">
        <v>113</v>
      </c>
      <c r="D113" s="44" t="s">
        <v>137</v>
      </c>
      <c r="E113" s="84">
        <v>11.7</v>
      </c>
      <c r="F113" s="26">
        <f t="shared" ref="F113:M113" si="73">E113</f>
        <v>11.7</v>
      </c>
      <c r="G113" s="26">
        <f t="shared" si="73"/>
        <v>11.7</v>
      </c>
      <c r="H113" s="26">
        <f t="shared" si="73"/>
        <v>11.7</v>
      </c>
      <c r="I113" s="26">
        <f t="shared" si="73"/>
        <v>11.7</v>
      </c>
      <c r="J113" s="26">
        <f t="shared" si="73"/>
        <v>11.7</v>
      </c>
      <c r="K113" s="94">
        <f t="shared" si="71"/>
        <v>11.7</v>
      </c>
      <c r="L113" s="115">
        <f t="shared" si="71"/>
        <v>11.7</v>
      </c>
      <c r="M113" s="210">
        <f t="shared" si="73"/>
        <v>11.7</v>
      </c>
      <c r="N113" s="26">
        <f t="shared" si="72"/>
        <v>11.7</v>
      </c>
      <c r="O113" s="26">
        <f t="shared" si="72"/>
        <v>11.7</v>
      </c>
      <c r="P113" s="26">
        <f t="shared" si="72"/>
        <v>11.7</v>
      </c>
      <c r="Q113" s="26">
        <f t="shared" si="72"/>
        <v>11.7</v>
      </c>
    </row>
    <row r="114" spans="1:17" ht="14.4" thickTop="1" thickBot="1" x14ac:dyDescent="0.3">
      <c r="A114" s="11" t="s">
        <v>14</v>
      </c>
      <c r="B114" s="12"/>
      <c r="C114" s="12" t="s">
        <v>114</v>
      </c>
      <c r="D114" s="44" t="s">
        <v>137</v>
      </c>
      <c r="E114" s="84">
        <v>3.9</v>
      </c>
      <c r="F114" s="26">
        <f t="shared" ref="F114:M114" si="74">E114</f>
        <v>3.9</v>
      </c>
      <c r="G114" s="26">
        <f t="shared" si="74"/>
        <v>3.9</v>
      </c>
      <c r="H114" s="26">
        <f t="shared" si="74"/>
        <v>3.9</v>
      </c>
      <c r="I114" s="26">
        <f t="shared" si="74"/>
        <v>3.9</v>
      </c>
      <c r="J114" s="26">
        <f t="shared" si="74"/>
        <v>3.9</v>
      </c>
      <c r="K114" s="94">
        <f t="shared" si="71"/>
        <v>3.9</v>
      </c>
      <c r="L114" s="115">
        <f t="shared" si="71"/>
        <v>3.9</v>
      </c>
      <c r="M114" s="210">
        <f t="shared" si="74"/>
        <v>3.9</v>
      </c>
      <c r="N114" s="26">
        <f t="shared" si="72"/>
        <v>3.9</v>
      </c>
      <c r="O114" s="26">
        <f t="shared" si="72"/>
        <v>3.9</v>
      </c>
      <c r="P114" s="26">
        <f t="shared" si="72"/>
        <v>3.9</v>
      </c>
      <c r="Q114" s="26">
        <f t="shared" si="72"/>
        <v>3.9</v>
      </c>
    </row>
    <row r="115" spans="1:17" ht="14.4" thickTop="1" thickBot="1" x14ac:dyDescent="0.3">
      <c r="A115" s="8" t="s">
        <v>12</v>
      </c>
      <c r="B115" s="5" t="s">
        <v>0</v>
      </c>
      <c r="C115" s="5" t="s">
        <v>116</v>
      </c>
      <c r="D115" s="39" t="s">
        <v>173</v>
      </c>
      <c r="E115" s="71">
        <f t="shared" ref="E115:L115" si="75">E113*E112</f>
        <v>1.0359179999999998E-16</v>
      </c>
      <c r="F115" s="29">
        <f t="shared" si="75"/>
        <v>1.0359179999999998E-16</v>
      </c>
      <c r="G115" s="29">
        <f t="shared" si="75"/>
        <v>1.0359179999999998E-16</v>
      </c>
      <c r="H115" s="29">
        <f t="shared" si="75"/>
        <v>1.0359179999999998E-16</v>
      </c>
      <c r="I115" s="29">
        <f t="shared" si="75"/>
        <v>1.0359179999999998E-16</v>
      </c>
      <c r="J115" s="29">
        <f t="shared" si="75"/>
        <v>1.0359179999999998E-16</v>
      </c>
      <c r="K115" s="111">
        <f>K113*K112</f>
        <v>1.0359179999999998E-16</v>
      </c>
      <c r="L115" s="132">
        <f t="shared" si="75"/>
        <v>1.0359179999999998E-16</v>
      </c>
      <c r="M115" s="151">
        <f>M113*M112</f>
        <v>1.0359179999999998E-16</v>
      </c>
      <c r="N115" s="29">
        <f>N113*N112</f>
        <v>1.0359179999999998E-16</v>
      </c>
      <c r="O115" s="29">
        <f>O113*O112</f>
        <v>1.0359179999999998E-16</v>
      </c>
      <c r="P115" s="29">
        <f>P113*P112</f>
        <v>1.0359179999999998E-16</v>
      </c>
      <c r="Q115" s="29">
        <f>Q113*Q112</f>
        <v>1.0359179999999998E-16</v>
      </c>
    </row>
    <row r="116" spans="1:17" ht="14.4" thickTop="1" thickBot="1" x14ac:dyDescent="0.3">
      <c r="A116" s="8" t="s">
        <v>11</v>
      </c>
      <c r="B116" s="5" t="s">
        <v>0</v>
      </c>
      <c r="C116" s="5" t="s">
        <v>115</v>
      </c>
      <c r="D116" s="39" t="s">
        <v>172</v>
      </c>
      <c r="E116" s="71">
        <f t="shared" ref="E116:L116" si="76">E114*E112</f>
        <v>3.4530599999999994E-17</v>
      </c>
      <c r="F116" s="29">
        <f t="shared" si="76"/>
        <v>3.4530599999999994E-17</v>
      </c>
      <c r="G116" s="29">
        <f t="shared" si="76"/>
        <v>3.4530599999999994E-17</v>
      </c>
      <c r="H116" s="29">
        <f t="shared" si="76"/>
        <v>3.4530599999999994E-17</v>
      </c>
      <c r="I116" s="29">
        <f t="shared" si="76"/>
        <v>3.4530599999999994E-17</v>
      </c>
      <c r="J116" s="29">
        <f t="shared" si="76"/>
        <v>3.4530599999999994E-17</v>
      </c>
      <c r="K116" s="111">
        <f>K114*K112</f>
        <v>3.4530599999999994E-17</v>
      </c>
      <c r="L116" s="132">
        <f t="shared" si="76"/>
        <v>3.4530599999999994E-17</v>
      </c>
      <c r="M116" s="151">
        <f>M114*M112</f>
        <v>3.4530599999999994E-17</v>
      </c>
      <c r="N116" s="29">
        <f>N114*N112</f>
        <v>3.4530599999999994E-17</v>
      </c>
      <c r="O116" s="29">
        <f>O114*O112</f>
        <v>3.4530599999999994E-17</v>
      </c>
      <c r="P116" s="29">
        <f>P114*P112</f>
        <v>3.4530599999999994E-17</v>
      </c>
      <c r="Q116" s="29">
        <f>Q114*Q112</f>
        <v>3.4530599999999994E-17</v>
      </c>
    </row>
    <row r="117" spans="1:17" ht="14.4" thickTop="1" thickBot="1" x14ac:dyDescent="0.3">
      <c r="A117" s="11" t="s">
        <v>321</v>
      </c>
      <c r="B117" s="12" t="s">
        <v>1</v>
      </c>
      <c r="C117" s="12" t="s">
        <v>322</v>
      </c>
      <c r="D117" s="44" t="s">
        <v>137</v>
      </c>
      <c r="E117" s="137">
        <v>2.5999999999999999E-2</v>
      </c>
      <c r="F117" s="138">
        <f>E117</f>
        <v>2.5999999999999999E-2</v>
      </c>
      <c r="G117" s="138">
        <f t="shared" ref="G117:M117" si="77">F117</f>
        <v>2.5999999999999999E-2</v>
      </c>
      <c r="H117" s="138">
        <f t="shared" si="77"/>
        <v>2.5999999999999999E-2</v>
      </c>
      <c r="I117" s="138">
        <f t="shared" si="77"/>
        <v>2.5999999999999999E-2</v>
      </c>
      <c r="J117" s="138">
        <f t="shared" si="77"/>
        <v>2.5999999999999999E-2</v>
      </c>
      <c r="K117" s="205">
        <f>I117</f>
        <v>2.5999999999999999E-2</v>
      </c>
      <c r="L117" s="227">
        <f>J117</f>
        <v>2.5999999999999999E-2</v>
      </c>
      <c r="M117" s="158">
        <f t="shared" si="77"/>
        <v>2.5999999999999999E-2</v>
      </c>
      <c r="N117" s="138">
        <f t="shared" ref="N117:Q118" si="78">L117</f>
        <v>2.5999999999999999E-2</v>
      </c>
      <c r="O117" s="138">
        <f t="shared" si="78"/>
        <v>2.5999999999999999E-2</v>
      </c>
      <c r="P117" s="138">
        <f t="shared" si="78"/>
        <v>2.5999999999999999E-2</v>
      </c>
      <c r="Q117" s="138">
        <f t="shared" si="78"/>
        <v>2.5999999999999999E-2</v>
      </c>
    </row>
    <row r="118" spans="1:17" ht="14.4" thickTop="1" thickBot="1" x14ac:dyDescent="0.3">
      <c r="A118" s="11" t="s">
        <v>324</v>
      </c>
      <c r="B118" s="12" t="s">
        <v>39</v>
      </c>
      <c r="C118" s="12" t="s">
        <v>325</v>
      </c>
      <c r="D118" s="44" t="s">
        <v>137</v>
      </c>
      <c r="E118" s="83">
        <v>15000000000</v>
      </c>
      <c r="F118" s="28">
        <f>E118</f>
        <v>15000000000</v>
      </c>
      <c r="G118" s="28">
        <f t="shared" ref="G118:M118" si="79">F118</f>
        <v>15000000000</v>
      </c>
      <c r="H118" s="28">
        <f t="shared" si="79"/>
        <v>15000000000</v>
      </c>
      <c r="I118" s="28">
        <f t="shared" si="79"/>
        <v>15000000000</v>
      </c>
      <c r="J118" s="28">
        <f t="shared" si="79"/>
        <v>15000000000</v>
      </c>
      <c r="K118" s="97">
        <f>I118</f>
        <v>15000000000</v>
      </c>
      <c r="L118" s="118">
        <f>J118</f>
        <v>15000000000</v>
      </c>
      <c r="M118" s="159">
        <f t="shared" si="79"/>
        <v>15000000000</v>
      </c>
      <c r="N118" s="28">
        <f t="shared" si="78"/>
        <v>15000000000</v>
      </c>
      <c r="O118" s="28">
        <f t="shared" si="78"/>
        <v>15000000000</v>
      </c>
      <c r="P118" s="28">
        <f t="shared" si="78"/>
        <v>15000000000</v>
      </c>
      <c r="Q118" s="28">
        <f t="shared" si="78"/>
        <v>15000000000</v>
      </c>
    </row>
    <row r="119" spans="1:17" ht="12" customHeight="1" thickTop="1" thickBot="1" x14ac:dyDescent="0.3">
      <c r="A119" s="8"/>
      <c r="B119" s="5"/>
      <c r="C119" s="5"/>
      <c r="D119" s="39"/>
      <c r="E119" s="71"/>
      <c r="F119" s="29"/>
      <c r="G119" s="29"/>
      <c r="H119" s="29"/>
      <c r="I119" s="29"/>
      <c r="J119" s="29"/>
      <c r="K119" s="111"/>
      <c r="L119" s="132"/>
      <c r="M119" s="151"/>
      <c r="N119" s="29"/>
      <c r="O119" s="29"/>
      <c r="P119" s="29"/>
      <c r="Q119" s="29"/>
    </row>
    <row r="120" spans="1:17" ht="29.25" customHeight="1" thickTop="1" thickBot="1" x14ac:dyDescent="0.3">
      <c r="A120" s="10" t="s">
        <v>28</v>
      </c>
      <c r="B120" s="5"/>
      <c r="C120" s="5"/>
      <c r="D120" s="39"/>
      <c r="E120" s="49"/>
      <c r="F120" s="23"/>
      <c r="G120" s="23"/>
      <c r="H120" s="23"/>
      <c r="I120" s="23"/>
      <c r="J120" s="23"/>
      <c r="K120" s="102"/>
      <c r="L120" s="124"/>
      <c r="M120" s="214"/>
      <c r="N120" s="23"/>
      <c r="O120" s="23"/>
      <c r="P120" s="23"/>
      <c r="Q120" s="23"/>
    </row>
    <row r="121" spans="1:17" ht="14.4" thickTop="1" thickBot="1" x14ac:dyDescent="0.3">
      <c r="A121" s="4" t="s">
        <v>42</v>
      </c>
      <c r="B121" s="5" t="str">
        <f>B78</f>
        <v>ps</v>
      </c>
      <c r="C121" s="5" t="s">
        <v>126</v>
      </c>
      <c r="D121" s="39" t="s">
        <v>175</v>
      </c>
      <c r="E121" s="63">
        <f>E78</f>
        <v>3.2290682926829266</v>
      </c>
      <c r="F121" s="27">
        <f t="shared" ref="F121:M121" si="80">E121</f>
        <v>3.2290682926829266</v>
      </c>
      <c r="G121" s="27">
        <f t="shared" si="80"/>
        <v>3.2290682926829266</v>
      </c>
      <c r="H121" s="27">
        <f t="shared" si="80"/>
        <v>3.2290682926829266</v>
      </c>
      <c r="I121" s="27">
        <f t="shared" si="80"/>
        <v>3.2290682926829266</v>
      </c>
      <c r="J121" s="27">
        <f t="shared" si="80"/>
        <v>3.2290682926829266</v>
      </c>
      <c r="K121" s="95">
        <f t="shared" ref="K121:L125" si="81">I121</f>
        <v>3.2290682926829266</v>
      </c>
      <c r="L121" s="116">
        <f t="shared" si="81"/>
        <v>3.2290682926829266</v>
      </c>
      <c r="M121" s="215">
        <f t="shared" si="80"/>
        <v>3.2290682926829266</v>
      </c>
      <c r="N121" s="27">
        <f t="shared" ref="N121:Q125" si="82">L121</f>
        <v>3.2290682926829266</v>
      </c>
      <c r="O121" s="27">
        <f t="shared" si="82"/>
        <v>3.2290682926829266</v>
      </c>
      <c r="P121" s="27">
        <f t="shared" si="82"/>
        <v>3.2290682926829266</v>
      </c>
      <c r="Q121" s="27">
        <f t="shared" si="82"/>
        <v>3.2290682926829266</v>
      </c>
    </row>
    <row r="122" spans="1:17" ht="14.4" thickTop="1" thickBot="1" x14ac:dyDescent="0.3">
      <c r="A122" s="4" t="s">
        <v>127</v>
      </c>
      <c r="B122" s="5" t="s">
        <v>20</v>
      </c>
      <c r="C122" s="5" t="s">
        <v>128</v>
      </c>
      <c r="D122" s="39" t="s">
        <v>177</v>
      </c>
      <c r="E122" s="63">
        <f>E86</f>
        <v>10.333018536585364</v>
      </c>
      <c r="F122" s="27">
        <f t="shared" ref="F122:M122" si="83">E122</f>
        <v>10.333018536585364</v>
      </c>
      <c r="G122" s="27">
        <f t="shared" si="83"/>
        <v>10.333018536585364</v>
      </c>
      <c r="H122" s="27">
        <f t="shared" si="83"/>
        <v>10.333018536585364</v>
      </c>
      <c r="I122" s="27">
        <f t="shared" si="83"/>
        <v>10.333018536585364</v>
      </c>
      <c r="J122" s="27">
        <f t="shared" si="83"/>
        <v>10.333018536585364</v>
      </c>
      <c r="K122" s="95">
        <f t="shared" si="81"/>
        <v>10.333018536585364</v>
      </c>
      <c r="L122" s="116">
        <f t="shared" si="81"/>
        <v>10.333018536585364</v>
      </c>
      <c r="M122" s="215">
        <f t="shared" si="83"/>
        <v>10.333018536585364</v>
      </c>
      <c r="N122" s="27">
        <f t="shared" si="82"/>
        <v>10.333018536585364</v>
      </c>
      <c r="O122" s="27">
        <f t="shared" si="82"/>
        <v>10.333018536585364</v>
      </c>
      <c r="P122" s="27">
        <f t="shared" si="82"/>
        <v>10.333018536585364</v>
      </c>
      <c r="Q122" s="27">
        <f t="shared" si="82"/>
        <v>10.333018536585364</v>
      </c>
    </row>
    <row r="123" spans="1:17" ht="14.4" thickTop="1" thickBot="1" x14ac:dyDescent="0.3">
      <c r="A123" s="4" t="s">
        <v>34</v>
      </c>
      <c r="B123" s="5" t="str">
        <f>B92</f>
        <v>ps</v>
      </c>
      <c r="C123" s="5" t="s">
        <v>129</v>
      </c>
      <c r="D123" s="39" t="s">
        <v>176</v>
      </c>
      <c r="E123" s="60">
        <f>E92</f>
        <v>81.372520975609746</v>
      </c>
      <c r="F123" s="21">
        <f t="shared" ref="F123:M123" si="84">E123</f>
        <v>81.372520975609746</v>
      </c>
      <c r="G123" s="21">
        <f t="shared" si="84"/>
        <v>81.372520975609746</v>
      </c>
      <c r="H123" s="21">
        <f t="shared" si="84"/>
        <v>81.372520975609746</v>
      </c>
      <c r="I123" s="21">
        <f t="shared" si="84"/>
        <v>81.372520975609746</v>
      </c>
      <c r="J123" s="21">
        <f t="shared" si="84"/>
        <v>81.372520975609746</v>
      </c>
      <c r="K123" s="99">
        <f t="shared" si="81"/>
        <v>81.372520975609746</v>
      </c>
      <c r="L123" s="120">
        <f t="shared" si="81"/>
        <v>81.372520975609746</v>
      </c>
      <c r="M123" s="146">
        <f t="shared" si="84"/>
        <v>81.372520975609746</v>
      </c>
      <c r="N123" s="21">
        <f t="shared" si="82"/>
        <v>81.372520975609746</v>
      </c>
      <c r="O123" s="21">
        <f t="shared" si="82"/>
        <v>81.372520975609746</v>
      </c>
      <c r="P123" s="21">
        <f t="shared" si="82"/>
        <v>81.372520975609746</v>
      </c>
      <c r="Q123" s="21">
        <f t="shared" si="82"/>
        <v>81.372520975609746</v>
      </c>
    </row>
    <row r="124" spans="1:17" ht="27.6" thickTop="1" thickBot="1" x14ac:dyDescent="0.3">
      <c r="A124" s="4" t="s">
        <v>31</v>
      </c>
      <c r="B124" s="5" t="str">
        <f>B96</f>
        <v>GHz</v>
      </c>
      <c r="C124" s="5" t="s">
        <v>130</v>
      </c>
      <c r="D124" s="41" t="s">
        <v>178</v>
      </c>
      <c r="E124" s="63">
        <f>E96</f>
        <v>0.9453200662928154</v>
      </c>
      <c r="F124" s="27">
        <f t="shared" ref="F124:M124" si="85">E124</f>
        <v>0.9453200662928154</v>
      </c>
      <c r="G124" s="27">
        <f t="shared" si="85"/>
        <v>0.9453200662928154</v>
      </c>
      <c r="H124" s="27">
        <f t="shared" si="85"/>
        <v>0.9453200662928154</v>
      </c>
      <c r="I124" s="27">
        <f t="shared" si="85"/>
        <v>0.9453200662928154</v>
      </c>
      <c r="J124" s="27">
        <f t="shared" si="85"/>
        <v>0.9453200662928154</v>
      </c>
      <c r="K124" s="95">
        <f t="shared" si="81"/>
        <v>0.9453200662928154</v>
      </c>
      <c r="L124" s="116">
        <f t="shared" si="81"/>
        <v>0.9453200662928154</v>
      </c>
      <c r="M124" s="215">
        <f t="shared" si="85"/>
        <v>0.9453200662928154</v>
      </c>
      <c r="N124" s="27">
        <f t="shared" si="82"/>
        <v>0.9453200662928154</v>
      </c>
      <c r="O124" s="27">
        <f t="shared" si="82"/>
        <v>0.9453200662928154</v>
      </c>
      <c r="P124" s="27">
        <f t="shared" si="82"/>
        <v>0.9453200662928154</v>
      </c>
      <c r="Q124" s="27">
        <f t="shared" si="82"/>
        <v>0.9453200662928154</v>
      </c>
    </row>
    <row r="125" spans="1:17" ht="14.4" thickTop="1" thickBot="1" x14ac:dyDescent="0.3">
      <c r="A125" s="31" t="s">
        <v>29</v>
      </c>
      <c r="B125" s="32" t="s">
        <v>30</v>
      </c>
      <c r="C125" s="12" t="s">
        <v>131</v>
      </c>
      <c r="D125" s="44" t="s">
        <v>133</v>
      </c>
      <c r="E125" s="75">
        <v>17</v>
      </c>
      <c r="F125" s="17">
        <f t="shared" ref="F125:M125" si="86">E125</f>
        <v>17</v>
      </c>
      <c r="G125" s="17">
        <f t="shared" si="86"/>
        <v>17</v>
      </c>
      <c r="H125" s="17">
        <f t="shared" si="86"/>
        <v>17</v>
      </c>
      <c r="I125" s="17">
        <f t="shared" si="86"/>
        <v>17</v>
      </c>
      <c r="J125" s="17">
        <f t="shared" si="86"/>
        <v>17</v>
      </c>
      <c r="K125" s="92">
        <f t="shared" si="81"/>
        <v>17</v>
      </c>
      <c r="L125" s="113">
        <f t="shared" si="81"/>
        <v>17</v>
      </c>
      <c r="M125" s="150">
        <f t="shared" si="86"/>
        <v>17</v>
      </c>
      <c r="N125" s="17">
        <f t="shared" si="82"/>
        <v>17</v>
      </c>
      <c r="O125" s="17">
        <f t="shared" si="82"/>
        <v>17</v>
      </c>
      <c r="P125" s="17">
        <f t="shared" si="82"/>
        <v>17</v>
      </c>
      <c r="Q125" s="17">
        <f t="shared" si="82"/>
        <v>17</v>
      </c>
    </row>
    <row r="126" spans="1:17" ht="14.4" thickTop="1" thickBot="1" x14ac:dyDescent="0.3">
      <c r="A126" s="4" t="s">
        <v>53</v>
      </c>
      <c r="B126" s="5"/>
      <c r="C126" s="5" t="s">
        <v>132</v>
      </c>
      <c r="D126" s="39" t="s">
        <v>179</v>
      </c>
      <c r="E126" s="62">
        <f>(1+E125)^E5</f>
        <v>1</v>
      </c>
      <c r="F126" s="22">
        <f t="shared" ref="F126:Q126" si="87">(1+F125/100)^F5</f>
        <v>1.17</v>
      </c>
      <c r="G126" s="22">
        <f t="shared" si="87"/>
        <v>1.3688999999999998</v>
      </c>
      <c r="H126" s="22">
        <f t="shared" si="87"/>
        <v>1.6016129999999997</v>
      </c>
      <c r="I126" s="22">
        <f t="shared" si="87"/>
        <v>1.8738872099999995</v>
      </c>
      <c r="J126" s="22">
        <f t="shared" si="87"/>
        <v>2.1924480356999991</v>
      </c>
      <c r="K126" s="104">
        <f t="shared" si="87"/>
        <v>2.5651642017689991</v>
      </c>
      <c r="L126" s="123">
        <f t="shared" si="87"/>
        <v>3.0012421160697285</v>
      </c>
      <c r="M126" s="85">
        <f t="shared" si="87"/>
        <v>4.1084003326878502</v>
      </c>
      <c r="N126" s="22">
        <f t="shared" si="87"/>
        <v>4.8068283892447852</v>
      </c>
      <c r="O126" s="22">
        <f t="shared" si="87"/>
        <v>6.5800673820371847</v>
      </c>
      <c r="P126" s="22">
        <f t="shared" si="87"/>
        <v>7.6986788369835057</v>
      </c>
      <c r="Q126" s="22">
        <f t="shared" si="87"/>
        <v>10.53872145994672</v>
      </c>
    </row>
    <row r="127" spans="1:17" ht="13.8" thickTop="1" x14ac:dyDescent="0.25"/>
    <row r="137" spans="4:4" x14ac:dyDescent="0.25">
      <c r="D137" s="42"/>
    </row>
  </sheetData>
  <mergeCells count="3">
    <mergeCell ref="E1:Q1"/>
    <mergeCell ref="E3:K3"/>
    <mergeCell ref="L3:Q3"/>
  </mergeCells>
  <phoneticPr fontId="0" type="noConversion"/>
  <printOptions headings="1"/>
  <pageMargins left="0.75" right="0.75" top="1" bottom="1" header="0.5" footer="0.5"/>
  <pageSetup scale="47" pageOrder="overThenDown" orientation="landscape" r:id="rId1"/>
  <headerFooter alignWithMargins="0">
    <oddHeader>&amp;L&amp;F&amp;CLSTP with extended long-term years&amp;Rp. &amp;P of &amp;N</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11" sqref="A11"/>
    </sheetView>
  </sheetViews>
  <sheetFormatPr defaultRowHeight="13.2" x14ac:dyDescent="0.25"/>
  <sheetData/>
  <phoneticPr fontId="0" type="noConversion"/>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READ ME</vt:lpstr>
      <vt:lpstr>PIDS LSTP Table</vt:lpstr>
      <vt:lpstr>Worksheet LSTP</vt:lpstr>
      <vt:lpstr>Plots</vt:lpstr>
      <vt:lpstr>'Worksheet LSTP'!Print_Area</vt:lpstr>
      <vt:lpstr>'PIDS LSTP Table'!Print_Titles</vt:lpstr>
      <vt:lpstr>'Worksheet LSTP'!Print_Titles</vt:lpstr>
    </vt:vector>
  </TitlesOfParts>
  <Company>Dell Computer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Chung</dc:creator>
  <cp:lastModifiedBy>Aniket Gupta</cp:lastModifiedBy>
  <cp:lastPrinted>2003-08-05T17:59:52Z</cp:lastPrinted>
  <dcterms:created xsi:type="dcterms:W3CDTF">2002-12-15T22:14:27Z</dcterms:created>
  <dcterms:modified xsi:type="dcterms:W3CDTF">2024-02-03T22:31:59Z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-912732976</vt:i4>
  </property>
  <property fmtid="{D5CDD505-2E9C-101B-9397-08002B2CF9AE}" pid="3" name="_EmailSubject">
    <vt:lpwstr>Updated ITRS PIDS spreadsheets</vt:lpwstr>
  </property>
  <property fmtid="{D5CDD505-2E9C-101B-9397-08002B2CF9AE}" pid="4" name="_AuthorEmail">
    <vt:lpwstr>jim.chung@intel.com</vt:lpwstr>
  </property>
  <property fmtid="{D5CDD505-2E9C-101B-9397-08002B2CF9AE}" pid="5" name="_AuthorEmailDisplayName">
    <vt:lpwstr>Chung, Jim</vt:lpwstr>
  </property>
  <property fmtid="{D5CDD505-2E9C-101B-9397-08002B2CF9AE}" pid="6" name="_ReviewingToolsShownOnce">
    <vt:lpwstr/>
  </property>
</Properties>
</file>