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2class_17\Desktop\"/>
    </mc:Choice>
  </mc:AlternateContent>
  <xr:revisionPtr revIDLastSave="0" documentId="13_ncr:1_{F67A9105-DFE7-4120-A5BB-FAF9E0DB03A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사출원가분석" sheetId="1" r:id="rId1"/>
    <sheet name="사출견적서양식" sheetId="2" r:id="rId2"/>
  </sheets>
  <definedNames>
    <definedName name="ABS">사출원가분석!$AU$5:$AU$8</definedName>
    <definedName name="pdf">사출견적서양식!$B$2:$O$41</definedName>
    <definedName name="PE">사출원가분석!$AW$5:$AW$8</definedName>
    <definedName name="PP">사출원가분석!$AV$5:$AV$8</definedName>
    <definedName name="_xlnm.Print_Area" localSheetId="1">사출견적서양식!$B$2:$O$41</definedName>
    <definedName name="SAN">사출원가분석!$AX$5:$AX$8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E26" i="2" s="1"/>
  <c r="I5" i="1" l="1"/>
  <c r="H5" i="1"/>
  <c r="O20" i="2" s="1"/>
  <c r="F5" i="1"/>
  <c r="E24" i="2" s="1"/>
  <c r="E5" i="1"/>
  <c r="B24" i="2" s="1"/>
  <c r="C5" i="1" l="1" a="1"/>
  <c r="C5" i="1" s="1"/>
  <c r="D5" i="1" a="1"/>
  <c r="D5" i="1" s="1"/>
  <c r="N5" i="1" l="1"/>
  <c r="J21" i="2" l="1"/>
  <c r="L26" i="2"/>
  <c r="E21" i="2" s="1"/>
  <c r="D15" i="2" l="1"/>
  <c r="D20" i="2"/>
  <c r="M5" i="1"/>
  <c r="J5" i="1"/>
  <c r="AS6" i="1" l="1"/>
  <c r="AS7" i="1"/>
  <c r="AS8" i="1"/>
  <c r="AS9" i="1"/>
  <c r="AS10" i="1"/>
  <c r="AS11" i="1"/>
  <c r="AS12" i="1"/>
  <c r="AS13" i="1"/>
  <c r="AS14" i="1"/>
  <c r="AS15" i="1"/>
  <c r="AS16" i="1"/>
  <c r="AS5" i="1"/>
  <c r="K5" i="1" s="1"/>
  <c r="R38" i="2"/>
  <c r="S35" i="2"/>
  <c r="S36" i="2" s="1"/>
  <c r="M35" i="2"/>
  <c r="X34" i="2"/>
  <c r="X33" i="2"/>
  <c r="R32" i="2"/>
  <c r="S29" i="2"/>
  <c r="S30" i="2" s="1"/>
  <c r="N26" i="2"/>
  <c r="P24" i="2"/>
  <c r="G24" i="2" s="1"/>
  <c r="L5" i="1" l="1"/>
  <c r="N21" i="2"/>
  <c r="S38" i="2"/>
  <c r="S32" i="2"/>
  <c r="O26" i="2"/>
  <c r="M29" i="2" s="1"/>
  <c r="T35" i="2"/>
  <c r="T37" i="2" s="1"/>
  <c r="M31" i="2" s="1"/>
  <c r="T29" i="2"/>
  <c r="M24" i="2" l="1"/>
  <c r="M28" i="2" s="1"/>
  <c r="M33" i="2" s="1"/>
  <c r="T31" i="2"/>
  <c r="M30" i="2" s="1"/>
  <c r="M32" i="2" l="1"/>
  <c r="M34" i="2" s="1"/>
  <c r="N36" i="2" l="1"/>
  <c r="N38" i="2" s="1"/>
  <c r="N40" i="2" s="1"/>
  <c r="X14" i="1"/>
  <c r="X15" i="1" s="1"/>
  <c r="Y14" i="1"/>
  <c r="Y15" i="1" s="1"/>
  <c r="Z14" i="1"/>
  <c r="Z15" i="1" s="1"/>
  <c r="W14" i="1"/>
  <c r="W15" i="1" s="1"/>
  <c r="A5" i="1" l="1"/>
  <c r="O5" i="1" l="1"/>
  <c r="P5" i="1" l="1"/>
  <c r="Q5" i="1"/>
  <c r="R5" i="1" s="1"/>
  <c r="S5" i="1" l="1"/>
  <c r="T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<sst xmlns="http://schemas.openxmlformats.org/spreadsheetml/2006/main" count="210" uniqueCount="186">
  <si>
    <t>재질</t>
    <phoneticPr fontId="2" type="noConversion"/>
  </si>
  <si>
    <t>그레이드</t>
    <phoneticPr fontId="2" type="noConversion"/>
  </si>
  <si>
    <t>제품중량(g)</t>
    <phoneticPr fontId="2" type="noConversion"/>
  </si>
  <si>
    <t>개당총중량(g)</t>
    <phoneticPr fontId="2" type="noConversion"/>
  </si>
  <si>
    <t>일 생산량</t>
    <phoneticPr fontId="2" type="noConversion"/>
  </si>
  <si>
    <t>임률</t>
    <phoneticPr fontId="2" type="noConversion"/>
  </si>
  <si>
    <t>개당임률</t>
    <phoneticPr fontId="2" type="noConversion"/>
  </si>
  <si>
    <t>일반관리비</t>
    <phoneticPr fontId="2" type="noConversion"/>
  </si>
  <si>
    <t>불량로스</t>
    <phoneticPr fontId="2" type="noConversion"/>
  </si>
  <si>
    <t>기업이윤</t>
    <phoneticPr fontId="2" type="noConversion"/>
  </si>
  <si>
    <t>Cav.</t>
    <phoneticPr fontId="2" type="noConversion"/>
  </si>
  <si>
    <t>C/T (sec.)</t>
    <phoneticPr fontId="2" type="noConversion"/>
  </si>
  <si>
    <t>원자재단가(Kg)</t>
    <phoneticPr fontId="2" type="noConversion"/>
  </si>
  <si>
    <t>개당원재료비</t>
    <phoneticPr fontId="2" type="noConversion"/>
  </si>
  <si>
    <t>설비톤수</t>
    <phoneticPr fontId="2" type="noConversion"/>
  </si>
  <si>
    <t>1. 개당총중량: 제품중량+런너중량/캐비티</t>
    <phoneticPr fontId="2" type="noConversion"/>
  </si>
  <si>
    <t>2. 개당원재료비: 원자재단가/1000*개당총중량</t>
    <phoneticPr fontId="2" type="noConversion"/>
  </si>
  <si>
    <t>3. 일생산량: 79200초/사이클타임*캐비티</t>
    <phoneticPr fontId="2" type="noConversion"/>
  </si>
  <si>
    <t>4. 개당임률: 임률/일생산량</t>
    <phoneticPr fontId="2" type="noConversion"/>
  </si>
  <si>
    <t>순서</t>
    <phoneticPr fontId="2" type="noConversion"/>
  </si>
  <si>
    <t>S/R총중량</t>
    <phoneticPr fontId="2" type="noConversion"/>
  </si>
  <si>
    <t>시</t>
    <phoneticPr fontId="2" type="noConversion"/>
  </si>
  <si>
    <t>분</t>
    <phoneticPr fontId="2" type="noConversion"/>
  </si>
  <si>
    <t>초</t>
    <phoneticPr fontId="2" type="noConversion"/>
  </si>
  <si>
    <t>ABS</t>
  </si>
  <si>
    <t>SAN</t>
  </si>
  <si>
    <t>재질</t>
    <phoneticPr fontId="2" type="noConversion"/>
  </si>
  <si>
    <t>단가</t>
    <phoneticPr fontId="2" type="noConversion"/>
  </si>
  <si>
    <t>그레이드</t>
    <phoneticPr fontId="2" type="noConversion"/>
  </si>
  <si>
    <t>HI121</t>
  </si>
  <si>
    <t>PP</t>
  </si>
  <si>
    <t>82TR</t>
  </si>
  <si>
    <t xml:space="preserve">
기준임율
[oz/ton]</t>
    <phoneticPr fontId="12" type="noConversion"/>
  </si>
  <si>
    <t>4oz</t>
    <phoneticPr fontId="12" type="noConversion"/>
  </si>
  <si>
    <r>
      <t>120ton[</t>
    </r>
    <r>
      <rPr>
        <sz val="11"/>
        <color rgb="FF0070C0"/>
        <rFont val="돋움"/>
        <family val="3"/>
        <charset val="129"/>
      </rPr>
      <t>▼</t>
    </r>
    <r>
      <rPr>
        <sz val="11"/>
        <color theme="1"/>
        <rFont val="맑은 고딕"/>
        <family val="2"/>
        <charset val="129"/>
        <scheme val="minor"/>
      </rPr>
      <t>]</t>
    </r>
    <phoneticPr fontId="12" type="noConversion"/>
  </si>
  <si>
    <t>사출설비</t>
    <phoneticPr fontId="12" type="noConversion"/>
  </si>
  <si>
    <t>6oz</t>
    <phoneticPr fontId="12" type="noConversion"/>
  </si>
  <si>
    <r>
      <t>150ton</t>
    </r>
    <r>
      <rPr>
        <sz val="11"/>
        <color rgb="FF0070C0"/>
        <rFont val="돋움"/>
        <family val="3"/>
        <charset val="129"/>
      </rPr>
      <t>[▼]</t>
    </r>
    <phoneticPr fontId="12" type="noConversion"/>
  </si>
  <si>
    <t>취출방식</t>
    <phoneticPr fontId="12" type="noConversion"/>
  </si>
  <si>
    <t>로보트 흡착</t>
    <phoneticPr fontId="12" type="noConversion"/>
  </si>
  <si>
    <t>10oz</t>
    <phoneticPr fontId="12" type="noConversion"/>
  </si>
  <si>
    <r>
      <t>170ton</t>
    </r>
    <r>
      <rPr>
        <sz val="11"/>
        <color rgb="FF0070C0"/>
        <rFont val="돋움"/>
        <family val="3"/>
        <charset val="129"/>
      </rPr>
      <t>[▼]</t>
    </r>
    <phoneticPr fontId="12" type="noConversion"/>
  </si>
  <si>
    <t>가동시간</t>
    <phoneticPr fontId="12" type="noConversion"/>
  </si>
  <si>
    <t>22hr[79,200s]</t>
    <phoneticPr fontId="12" type="noConversion"/>
  </si>
  <si>
    <t>15oz</t>
    <phoneticPr fontId="12" type="noConversion"/>
  </si>
  <si>
    <r>
      <t>200ton[</t>
    </r>
    <r>
      <rPr>
        <sz val="11"/>
        <color rgb="FF0070C0"/>
        <rFont val="돋움"/>
        <family val="3"/>
        <charset val="129"/>
      </rPr>
      <t>▼</t>
    </r>
    <r>
      <rPr>
        <sz val="11"/>
        <color theme="1"/>
        <rFont val="맑은 고딕"/>
        <family val="2"/>
        <charset val="129"/>
        <scheme val="minor"/>
      </rPr>
      <t>]</t>
    </r>
    <phoneticPr fontId="12" type="noConversion"/>
  </si>
  <si>
    <t>포장방법</t>
    <phoneticPr fontId="12" type="noConversion"/>
  </si>
  <si>
    <t>정렬포장[도화지+발포지]</t>
    <phoneticPr fontId="12" type="noConversion"/>
  </si>
  <si>
    <t>20oz</t>
    <phoneticPr fontId="12" type="noConversion"/>
  </si>
  <si>
    <r>
      <t>240ton[</t>
    </r>
    <r>
      <rPr>
        <sz val="11"/>
        <color rgb="FF0070C0"/>
        <rFont val="돋움"/>
        <family val="3"/>
        <charset val="129"/>
      </rPr>
      <t>▼</t>
    </r>
    <r>
      <rPr>
        <sz val="11"/>
        <color theme="1"/>
        <rFont val="맑은 고딕"/>
        <family val="2"/>
        <charset val="129"/>
        <scheme val="minor"/>
      </rPr>
      <t>]</t>
    </r>
    <phoneticPr fontId="12" type="noConversion"/>
  </si>
  <si>
    <t>작성일자:</t>
    <phoneticPr fontId="12" type="noConversion"/>
  </si>
  <si>
    <t>30oz</t>
    <phoneticPr fontId="12" type="noConversion"/>
  </si>
  <si>
    <r>
      <t>280ton[</t>
    </r>
    <r>
      <rPr>
        <sz val="11"/>
        <color rgb="FF0070C0"/>
        <rFont val="돋움"/>
        <family val="3"/>
        <charset val="129"/>
      </rPr>
      <t>▼</t>
    </r>
    <r>
      <rPr>
        <sz val="11"/>
        <color theme="1"/>
        <rFont val="맑은 고딕"/>
        <family val="2"/>
        <charset val="129"/>
        <scheme val="minor"/>
      </rPr>
      <t>]</t>
    </r>
    <phoneticPr fontId="12" type="noConversion"/>
  </si>
  <si>
    <t>제품명</t>
    <phoneticPr fontId="12" type="noConversion"/>
  </si>
  <si>
    <t>규격</t>
    <phoneticPr fontId="12" type="noConversion"/>
  </si>
  <si>
    <t>CAVITY</t>
    <phoneticPr fontId="12" type="noConversion"/>
  </si>
  <si>
    <t>1 *</t>
    <phoneticPr fontId="12" type="noConversion"/>
  </si>
  <si>
    <t>일일 생산가능 수량</t>
    <phoneticPr fontId="12" type="noConversion"/>
  </si>
  <si>
    <t>사용 원자재 (RESIN)</t>
    <phoneticPr fontId="12" type="noConversion"/>
  </si>
  <si>
    <t>원자재 단가 (1KG)</t>
    <phoneticPr fontId="12" type="noConversion"/>
  </si>
  <si>
    <t>제품중량(1EA)</t>
    <phoneticPr fontId="12" type="noConversion"/>
  </si>
  <si>
    <t>런너 중량</t>
    <phoneticPr fontId="12" type="noConversion"/>
  </si>
  <si>
    <t>제품 중량(런너포함)</t>
    <phoneticPr fontId="12" type="noConversion"/>
  </si>
  <si>
    <t>원자재 비용</t>
    <phoneticPr fontId="12" type="noConversion"/>
  </si>
  <si>
    <t>개당 런너중량</t>
    <phoneticPr fontId="12" type="noConversion"/>
  </si>
  <si>
    <t>g</t>
    <phoneticPr fontId="2" type="noConversion"/>
  </si>
  <si>
    <t>g</t>
    <phoneticPr fontId="12" type="noConversion"/>
  </si>
  <si>
    <t>공정명</t>
    <phoneticPr fontId="12" type="noConversion"/>
  </si>
  <si>
    <t>사용 기기</t>
    <phoneticPr fontId="12" type="noConversion"/>
  </si>
  <si>
    <t xml:space="preserve"> 제품당 공정           TIME (초)</t>
    <phoneticPr fontId="12" type="noConversion"/>
  </si>
  <si>
    <t>일일 생산수량              (22시간 기준)</t>
    <phoneticPr fontId="12" type="noConversion"/>
  </si>
  <si>
    <t xml:space="preserve"> 가공 임율   (1일/22시간)</t>
    <phoneticPr fontId="12" type="noConversion"/>
  </si>
  <si>
    <t>가공비</t>
    <phoneticPr fontId="12" type="noConversion"/>
  </si>
  <si>
    <t>사출성형</t>
    <phoneticPr fontId="12" type="noConversion"/>
  </si>
  <si>
    <t>TON</t>
    <phoneticPr fontId="12" type="noConversion"/>
  </si>
  <si>
    <t>내 용</t>
    <phoneticPr fontId="12" type="noConversion"/>
  </si>
  <si>
    <t>계산 내용</t>
    <phoneticPr fontId="12" type="noConversion"/>
  </si>
  <si>
    <t>금 액</t>
    <phoneticPr fontId="12" type="noConversion"/>
  </si>
  <si>
    <t>비 고</t>
    <phoneticPr fontId="12" type="noConversion"/>
  </si>
  <si>
    <t>(원자재단가(1KG)/1.000) × 제품 중량(런너포함)</t>
    <phoneticPr fontId="12" type="noConversion"/>
  </si>
  <si>
    <t>안료 총 중량g</t>
    <phoneticPr fontId="12" type="noConversion"/>
  </si>
  <si>
    <t>안료 가격</t>
    <phoneticPr fontId="12" type="noConversion"/>
  </si>
  <si>
    <t>제품 1캐피티 총중량</t>
    <phoneticPr fontId="12" type="noConversion"/>
  </si>
  <si>
    <t>가 공 비</t>
    <phoneticPr fontId="12" type="noConversion"/>
  </si>
  <si>
    <t>가공임율 / 일일 생산수량</t>
    <phoneticPr fontId="12" type="noConversion"/>
  </si>
  <si>
    <t>안료</t>
    <phoneticPr fontId="12" type="noConversion"/>
  </si>
  <si>
    <t>1Kg당 원료(안료)가격</t>
    <phoneticPr fontId="12" type="noConversion"/>
  </si>
  <si>
    <t>원</t>
    <phoneticPr fontId="12" type="noConversion"/>
  </si>
  <si>
    <t>안료배합%</t>
    <phoneticPr fontId="12" type="noConversion"/>
  </si>
  <si>
    <t>안료 1g 당 가격</t>
    <phoneticPr fontId="12" type="noConversion"/>
  </si>
  <si>
    <t>안료비</t>
    <phoneticPr fontId="12" type="noConversion"/>
  </si>
  <si>
    <t>M/B</t>
    <phoneticPr fontId="12" type="noConversion"/>
  </si>
  <si>
    <t>1Kg당 원료(M/B)가격</t>
    <phoneticPr fontId="12" type="noConversion"/>
  </si>
  <si>
    <t>M/B배합%</t>
    <phoneticPr fontId="12" type="noConversion"/>
  </si>
  <si>
    <t xml:space="preserve"> 안료 가격/안료 총 중량</t>
    <phoneticPr fontId="12" type="noConversion"/>
  </si>
  <si>
    <t>일반 관리비용</t>
    <phoneticPr fontId="12" type="noConversion"/>
  </si>
  <si>
    <t>1 +  2</t>
    <phoneticPr fontId="12" type="noConversion"/>
  </si>
  <si>
    <t>제품1kg 당 %</t>
    <phoneticPr fontId="2" type="noConversion"/>
  </si>
  <si>
    <t>불량 LOSS</t>
    <phoneticPr fontId="12" type="noConversion"/>
  </si>
  <si>
    <t>기업 이윤</t>
    <phoneticPr fontId="12" type="noConversion"/>
  </si>
  <si>
    <t>1 + 2 + 4 + 5</t>
    <phoneticPr fontId="12" type="noConversion"/>
  </si>
  <si>
    <t>MB 총 중량g</t>
    <phoneticPr fontId="12" type="noConversion"/>
  </si>
  <si>
    <t>MB 가격</t>
    <phoneticPr fontId="12" type="noConversion"/>
  </si>
  <si>
    <t>사 상 비</t>
    <phoneticPr fontId="12" type="noConversion"/>
  </si>
  <si>
    <t>케이트 사상</t>
    <phoneticPr fontId="12" type="noConversion"/>
  </si>
  <si>
    <t>기타 내용</t>
    <phoneticPr fontId="12" type="noConversion"/>
  </si>
  <si>
    <t>합 계 금 액</t>
    <phoneticPr fontId="12" type="noConversion"/>
  </si>
  <si>
    <t>MB비</t>
    <phoneticPr fontId="12" type="noConversion"/>
  </si>
  <si>
    <t>최종 견적가</t>
    <phoneticPr fontId="12" type="noConversion"/>
  </si>
  <si>
    <t>업체 결정가</t>
    <phoneticPr fontId="12" type="noConversion"/>
  </si>
  <si>
    <t>결 재</t>
    <phoneticPr fontId="12" type="noConversion"/>
  </si>
  <si>
    <t>작성</t>
    <phoneticPr fontId="12" type="noConversion"/>
  </si>
  <si>
    <t>검 토</t>
    <phoneticPr fontId="12" type="noConversion"/>
  </si>
  <si>
    <t>검토</t>
    <phoneticPr fontId="12" type="noConversion"/>
  </si>
  <si>
    <t>승 인</t>
    <phoneticPr fontId="12" type="noConversion"/>
  </si>
  <si>
    <t>/</t>
    <phoneticPr fontId="12" type="noConversion"/>
  </si>
  <si>
    <t>※ 산출근거: 재료비, C/T, 설비임률은 당사 기준에 준함</t>
    <phoneticPr fontId="12" type="noConversion"/>
  </si>
  <si>
    <t>사출 견적서</t>
    <phoneticPr fontId="12" type="noConversion"/>
  </si>
  <si>
    <t>사출 원가 계산</t>
    <phoneticPr fontId="2" type="noConversion"/>
  </si>
  <si>
    <t>SG175</t>
  </si>
  <si>
    <t>PP</t>
    <phoneticPr fontId="2" type="noConversion"/>
  </si>
  <si>
    <t>344RK</t>
  </si>
  <si>
    <t>J-550A</t>
  </si>
  <si>
    <t>J-560S</t>
  </si>
  <si>
    <t>M850</t>
    <phoneticPr fontId="2" type="noConversion"/>
  </si>
  <si>
    <t>XJ700</t>
  </si>
  <si>
    <t>SAN</t>
    <phoneticPr fontId="2" type="noConversion"/>
  </si>
  <si>
    <t>PE</t>
  </si>
  <si>
    <t xml:space="preserve">80HF 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</si>
  <si>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</si>
  <si>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</si>
  <si>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</si>
  <si>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</si>
  <si>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</si>
  <si>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</si>
  <si>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</si>
  <si>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</si>
  <si>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</si>
  <si>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</si>
  <si>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</si>
  <si>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</si>
  <si>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[설비임률표]</t>
    <phoneticPr fontId="2" type="noConversion"/>
  </si>
  <si>
    <t>[원재료단가표]</t>
    <phoneticPr fontId="2" type="noConversion"/>
  </si>
  <si>
    <t>[원재료 재질별 그레이드]</t>
    <phoneticPr fontId="2" type="noConversion"/>
  </si>
  <si>
    <t>※기준정보 Table</t>
    <phoneticPr fontId="2" type="noConversion"/>
  </si>
  <si>
    <t>220T,유압</t>
    <phoneticPr fontId="12" type="noConversion"/>
  </si>
  <si>
    <t>금형번호</t>
    <phoneticPr fontId="12" type="noConversion"/>
  </si>
  <si>
    <t>개당원가</t>
    <phoneticPr fontId="2" type="noConversion"/>
  </si>
  <si>
    <t>HF380</t>
    <phoneticPr fontId="2" type="noConversion"/>
  </si>
  <si>
    <t>5. 개당원가: 개당원재료비+개당임률</t>
    <phoneticPr fontId="2" type="noConversion"/>
  </si>
  <si>
    <t>6. 일반관리비: (개당원재료비+개당임률)*0.1</t>
    <phoneticPr fontId="2" type="noConversion"/>
  </si>
  <si>
    <t>7. 불량로스: (개당원재료비+개당임률+일반관리비)*0.1</t>
    <phoneticPr fontId="2" type="noConversion"/>
  </si>
  <si>
    <t>8. 기업이윤: (개당원재료비+개당임률+일반관리비+불량로스)*0.1</t>
    <phoneticPr fontId="2" type="noConversion"/>
  </si>
  <si>
    <t>판매단가</t>
    <phoneticPr fontId="2" type="noConversion"/>
  </si>
  <si>
    <t>22H 기준</t>
    <phoneticPr fontId="2" type="noConversion"/>
  </si>
  <si>
    <t>설비임률</t>
    <phoneticPr fontId="2" type="noConversion"/>
  </si>
  <si>
    <t>S/R중량(g)</t>
    <phoneticPr fontId="2" type="noConversion"/>
  </si>
  <si>
    <t>수식계산</t>
    <phoneticPr fontId="2" type="noConversion"/>
  </si>
  <si>
    <t>형체력</t>
    <phoneticPr fontId="2" type="noConversion"/>
  </si>
  <si>
    <t>공정시간</t>
    <phoneticPr fontId="2" type="noConversion"/>
  </si>
  <si>
    <t>제품취출개수</t>
    <phoneticPr fontId="2" type="noConversion"/>
  </si>
  <si>
    <t>NET중량</t>
    <phoneticPr fontId="2" type="noConversion"/>
  </si>
  <si>
    <t>[원가계산 산출개요]</t>
    <phoneticPr fontId="2" type="noConversion"/>
  </si>
  <si>
    <t>사출작업표준서,검사기준서에 준하여 작업함.</t>
    <phoneticPr fontId="2" type="noConversion"/>
  </si>
  <si>
    <t>제품명</t>
    <phoneticPr fontId="2" type="noConversion"/>
  </si>
  <si>
    <t>GVTI - 000001</t>
    <phoneticPr fontId="2" type="noConversion"/>
  </si>
  <si>
    <t>외용기</t>
    <phoneticPr fontId="2" type="noConversion"/>
  </si>
  <si>
    <t>ABS</t>
    <phoneticPr fontId="2" type="noConversion"/>
  </si>
  <si>
    <t xml:space="preserve">PP </t>
    <phoneticPr fontId="2" type="noConversion"/>
  </si>
  <si>
    <t xml:space="preserve">PE </t>
    <phoneticPr fontId="2" type="noConversion"/>
  </si>
  <si>
    <t>1~3</t>
    <phoneticPr fontId="2" type="noConversion"/>
  </si>
  <si>
    <t>1~4</t>
    <phoneticPr fontId="2" type="noConversion"/>
  </si>
  <si>
    <t>001~999</t>
    <phoneticPr fontId="2" type="noConversion"/>
  </si>
  <si>
    <t>100-400</t>
    <phoneticPr fontId="2" type="noConversion"/>
  </si>
  <si>
    <t>1~9</t>
    <phoneticPr fontId="2" type="noConversion"/>
  </si>
  <si>
    <t>01~60</t>
    <phoneticPr fontId="2" type="noConversion"/>
  </si>
  <si>
    <t>HI121</t>
    <phoneticPr fontId="2" type="noConversion"/>
  </si>
  <si>
    <t>SG175</t>
    <phoneticPr fontId="2" type="noConversion"/>
  </si>
  <si>
    <t>344RK</t>
    <phoneticPr fontId="2" type="noConversion"/>
  </si>
  <si>
    <t>J-550A</t>
    <phoneticPr fontId="2" type="noConversion"/>
  </si>
  <si>
    <t>J-560S</t>
    <phoneticPr fontId="2" type="noConversion"/>
  </si>
  <si>
    <t>XJ700</t>
    <phoneticPr fontId="2" type="noConversion"/>
  </si>
  <si>
    <t>80HF</t>
    <phoneticPr fontId="2" type="noConversion"/>
  </si>
  <si>
    <t>82TR</t>
    <phoneticPr fontId="2" type="noConversion"/>
  </si>
  <si>
    <t>Hyungsup</t>
    <phoneticPr fontId="2" type="noConversion"/>
  </si>
  <si>
    <t>Hyungsup-13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</si>
</sst>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.0_);[Red]\(&quot;₩&quot;#,##0.0\)"/>
    <numFmt numFmtId="177" formatCode="0.00_);[Red]\(0.00\)"/>
    <numFmt numFmtId="178" formatCode="##&quot;H&quot;"/>
    <numFmt numFmtId="179" formatCode="#,##0_ "/>
    <numFmt numFmtId="180" formatCode="yy&quot;年&quot;\ m&quot;月&quot;\ d&quot;日&quot;;@"/>
    <numFmt numFmtId="181" formatCode="_-* #,##0.00_-;\-* #,##0.00_-;_-* &quot;-&quot;?_-;_-@_-"/>
    <numFmt numFmtId="182" formatCode="_-&quot;₩&quot;* #,##0.00_-;\-&quot;₩&quot;* #,##0.00_-;_-&quot;₩&quot;* &quot;-&quot;?_-;_-@_-"/>
    <numFmt numFmtId="183" formatCode="0.00_ "/>
    <numFmt numFmtId="184" formatCode="0_ "/>
    <numFmt numFmtId="185" formatCode="#,##0&quot; (TON)&quot;"/>
    <numFmt numFmtId="186" formatCode="0.0%"/>
    <numFmt numFmtId="187" formatCode="&quot;₩&quot;#,##0.00"/>
    <numFmt numFmtId="188" formatCode="\1\ &quot;X&quot;\ #0"/>
    <numFmt numFmtId="189" formatCode="[Blue]#&quot;재질&quot;\ #&quot;그레이드&quot;\ ###&quot;g 제품중량&quot;\ ###&quot;g S/R중량 &quot;###&quot;톤수 &quot;#&quot;개 &quot;#0&quot;초&quot;"/>
    <numFmt numFmtId="190" formatCode="0_);[Red]\(0\)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26"/>
      <name val="돋움"/>
      <family val="3"/>
      <charset val="129"/>
    </font>
    <font>
      <b/>
      <sz val="26"/>
      <name val="돋움"/>
      <family val="3"/>
      <charset val="129"/>
    </font>
    <font>
      <sz val="14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rgb="FF0070C0"/>
      <name val="돋움"/>
      <family val="3"/>
      <charset val="129"/>
    </font>
    <font>
      <b/>
      <u/>
      <sz val="11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14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u val="double"/>
      <sz val="36"/>
      <name val="HY헤드라인M"/>
      <family val="1"/>
      <charset val="129"/>
    </font>
    <font>
      <sz val="11"/>
      <color theme="1"/>
      <name val="맑은 고딕"/>
      <family val="2"/>
      <charset val="129"/>
    </font>
    <font>
      <sz val="10"/>
      <name val="맑은 고딕"/>
      <family val="3"/>
      <charset val="129"/>
      <scheme val="major"/>
    </font>
    <font>
      <b/>
      <u val="double"/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 val="double"/>
      <sz val="22"/>
      <color theme="1"/>
      <name val="HY견고딕"/>
      <family val="1"/>
      <charset val="129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 style="thin">
        <color indexed="64"/>
      </bottom>
      <diagonal style="thin">
        <color indexed="64"/>
      </diagonal>
    </border>
    <border diagonalDown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8" fillId="0" borderId="93" applyNumberFormat="0" applyFill="0" applyAlignment="0" applyProtection="0">
      <alignment vertical="center"/>
    </xf>
  </cellStyleXfs>
  <cellXfs count="24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0" xfId="2" applyFont="1">
      <alignment vertical="center"/>
    </xf>
    <xf numFmtId="41" fontId="5" fillId="0" borderId="1" xfId="1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9" fillId="0" borderId="0" xfId="5" applyFont="1">
      <alignment vertical="center"/>
    </xf>
    <xf numFmtId="0" fontId="10" fillId="0" borderId="0" xfId="5" applyFont="1">
      <alignment vertical="center"/>
    </xf>
    <xf numFmtId="0" fontId="8" fillId="0" borderId="0" xfId="5">
      <alignment vertical="center"/>
    </xf>
    <xf numFmtId="0" fontId="8" fillId="0" borderId="5" xfId="5" applyBorder="1">
      <alignment vertical="center"/>
    </xf>
    <xf numFmtId="180" fontId="8" fillId="0" borderId="0" xfId="5" applyNumberFormat="1">
      <alignment vertical="center"/>
    </xf>
    <xf numFmtId="0" fontId="8" fillId="0" borderId="0" xfId="5" applyAlignment="1">
      <alignment horizontal="right" vertical="center"/>
    </xf>
    <xf numFmtId="0" fontId="8" fillId="0" borderId="0" xfId="5" applyAlignment="1">
      <alignment horizontal="center" vertical="center"/>
    </xf>
    <xf numFmtId="0" fontId="8" fillId="0" borderId="6" xfId="5" applyBorder="1">
      <alignment vertical="center"/>
    </xf>
    <xf numFmtId="0" fontId="8" fillId="0" borderId="0" xfId="5" applyAlignment="1">
      <alignment horizontal="left" vertical="center"/>
    </xf>
    <xf numFmtId="0" fontId="15" fillId="0" borderId="5" xfId="5" applyFont="1" applyBorder="1" applyAlignment="1">
      <alignment horizontal="left" vertical="center"/>
    </xf>
    <xf numFmtId="0" fontId="15" fillId="0" borderId="0" xfId="5" applyFont="1" applyAlignment="1">
      <alignment horizontal="left" vertical="center"/>
    </xf>
    <xf numFmtId="0" fontId="8" fillId="0" borderId="41" xfId="5" applyBorder="1">
      <alignment vertical="center"/>
    </xf>
    <xf numFmtId="0" fontId="8" fillId="0" borderId="42" xfId="5" applyBorder="1" applyAlignment="1">
      <alignment horizontal="center" vertical="center"/>
    </xf>
    <xf numFmtId="0" fontId="8" fillId="0" borderId="43" xfId="5" applyBorder="1">
      <alignment vertical="center"/>
    </xf>
    <xf numFmtId="0" fontId="8" fillId="2" borderId="1" xfId="5" applyFill="1" applyBorder="1" applyAlignment="1">
      <alignment horizontal="center" vertical="center"/>
    </xf>
    <xf numFmtId="0" fontId="16" fillId="3" borderId="45" xfId="5" applyFont="1" applyFill="1" applyBorder="1" applyAlignment="1">
      <alignment horizontal="right" vertical="center"/>
    </xf>
    <xf numFmtId="41" fontId="16" fillId="3" borderId="1" xfId="5" applyNumberFormat="1" applyFont="1" applyFill="1" applyBorder="1" applyAlignment="1">
      <alignment horizontal="center" vertical="center"/>
    </xf>
    <xf numFmtId="0" fontId="8" fillId="2" borderId="1" xfId="5" applyFill="1" applyBorder="1" applyAlignment="1">
      <alignment horizontal="center" vertical="center" wrapText="1"/>
    </xf>
    <xf numFmtId="0" fontId="8" fillId="0" borderId="47" xfId="5" applyBorder="1" applyAlignment="1">
      <alignment horizontal="center" vertical="center"/>
    </xf>
    <xf numFmtId="183" fontId="17" fillId="3" borderId="0" xfId="5" applyNumberFormat="1" applyFont="1" applyFill="1">
      <alignment vertical="center"/>
    </xf>
    <xf numFmtId="0" fontId="8" fillId="2" borderId="52" xfId="5" applyFill="1" applyBorder="1">
      <alignment vertical="center"/>
    </xf>
    <xf numFmtId="0" fontId="18" fillId="2" borderId="1" xfId="5" applyFont="1" applyFill="1" applyBorder="1" applyAlignment="1">
      <alignment horizontal="center" vertical="center" wrapText="1"/>
    </xf>
    <xf numFmtId="0" fontId="8" fillId="2" borderId="53" xfId="5" applyFill="1" applyBorder="1" applyAlignment="1">
      <alignment horizontal="center" vertical="center"/>
    </xf>
    <xf numFmtId="0" fontId="8" fillId="0" borderId="44" xfId="5" applyBorder="1" applyAlignment="1">
      <alignment horizontal="center" vertical="center"/>
    </xf>
    <xf numFmtId="184" fontId="8" fillId="0" borderId="45" xfId="5" applyNumberFormat="1" applyBorder="1">
      <alignment vertical="center"/>
    </xf>
    <xf numFmtId="185" fontId="8" fillId="0" borderId="47" xfId="5" applyNumberFormat="1" applyBorder="1">
      <alignment vertical="center"/>
    </xf>
    <xf numFmtId="42" fontId="19" fillId="3" borderId="1" xfId="5" applyNumberFormat="1" applyFont="1" applyFill="1" applyBorder="1" applyAlignment="1">
      <alignment horizontal="center" vertical="center"/>
    </xf>
    <xf numFmtId="182" fontId="20" fillId="3" borderId="53" xfId="5" applyNumberFormat="1" applyFont="1" applyFill="1" applyBorder="1">
      <alignment vertical="center"/>
    </xf>
    <xf numFmtId="182" fontId="16" fillId="3" borderId="1" xfId="5" applyNumberFormat="1" applyFont="1" applyFill="1" applyBorder="1" applyAlignment="1">
      <alignment horizontal="center" vertical="center"/>
    </xf>
    <xf numFmtId="0" fontId="21" fillId="0" borderId="55" xfId="5" applyFont="1" applyBorder="1" applyAlignment="1">
      <alignment horizontal="center" vertical="center"/>
    </xf>
    <xf numFmtId="179" fontId="22" fillId="0" borderId="57" xfId="5" applyNumberFormat="1" applyFont="1" applyBorder="1" applyAlignment="1">
      <alignment horizontal="center" vertical="center"/>
    </xf>
    <xf numFmtId="183" fontId="22" fillId="0" borderId="57" xfId="5" applyNumberFormat="1" applyFont="1" applyBorder="1" applyAlignment="1">
      <alignment horizontal="center" vertical="center"/>
    </xf>
    <xf numFmtId="0" fontId="23" fillId="0" borderId="0" xfId="4" applyFont="1">
      <alignment vertical="center"/>
    </xf>
    <xf numFmtId="0" fontId="18" fillId="0" borderId="47" xfId="5" applyFont="1" applyBorder="1" applyAlignment="1">
      <alignment horizontal="left" vertical="center"/>
    </xf>
    <xf numFmtId="0" fontId="12" fillId="0" borderId="45" xfId="5" applyFont="1" applyBorder="1" applyAlignment="1">
      <alignment horizontal="center" vertical="center"/>
    </xf>
    <xf numFmtId="186" fontId="8" fillId="0" borderId="1" xfId="5" applyNumberFormat="1" applyBorder="1" applyAlignment="1">
      <alignment horizontal="center" vertical="center"/>
    </xf>
    <xf numFmtId="0" fontId="21" fillId="0" borderId="27" xfId="5" applyFont="1" applyBorder="1" applyAlignment="1">
      <alignment horizontal="center" vertical="center"/>
    </xf>
    <xf numFmtId="183" fontId="22" fillId="0" borderId="30" xfId="5" applyNumberFormat="1" applyFont="1" applyBorder="1" applyAlignment="1">
      <alignment horizontal="center" vertical="center"/>
    </xf>
    <xf numFmtId="9" fontId="8" fillId="0" borderId="1" xfId="5" applyNumberFormat="1" applyBorder="1" applyAlignment="1">
      <alignment horizontal="center" vertical="center"/>
    </xf>
    <xf numFmtId="9" fontId="21" fillId="0" borderId="62" xfId="5" applyNumberFormat="1" applyFont="1" applyBorder="1" applyAlignment="1">
      <alignment horizontal="center" vertical="center"/>
    </xf>
    <xf numFmtId="186" fontId="22" fillId="0" borderId="63" xfId="5" applyNumberFormat="1" applyFont="1" applyBorder="1" applyAlignment="1">
      <alignment horizontal="center" vertical="center"/>
    </xf>
    <xf numFmtId="0" fontId="22" fillId="0" borderId="28" xfId="5" applyFont="1" applyBorder="1" applyAlignment="1">
      <alignment horizontal="center" vertical="center"/>
    </xf>
    <xf numFmtId="183" fontId="22" fillId="0" borderId="0" xfId="5" applyNumberFormat="1" applyFont="1" applyAlignment="1">
      <alignment horizontal="center" vertical="center"/>
    </xf>
    <xf numFmtId="0" fontId="23" fillId="0" borderId="0" xfId="4" applyFont="1" applyAlignment="1">
      <alignment horizontal="center" vertical="center"/>
    </xf>
    <xf numFmtId="0" fontId="24" fillId="0" borderId="0" xfId="4" applyFont="1" applyAlignment="1">
      <alignment horizontal="center" vertical="center"/>
    </xf>
    <xf numFmtId="186" fontId="23" fillId="0" borderId="0" xfId="6" applyNumberFormat="1" applyFont="1" applyAlignment="1">
      <alignment horizontal="center" vertical="center"/>
    </xf>
    <xf numFmtId="0" fontId="8" fillId="0" borderId="46" xfId="5" applyBorder="1">
      <alignment vertical="center"/>
    </xf>
    <xf numFmtId="0" fontId="8" fillId="0" borderId="47" xfId="5" applyBorder="1">
      <alignment vertical="center"/>
    </xf>
    <xf numFmtId="179" fontId="21" fillId="0" borderId="57" xfId="5" applyNumberFormat="1" applyFont="1" applyBorder="1" applyAlignment="1">
      <alignment horizontal="center" vertical="center"/>
    </xf>
    <xf numFmtId="186" fontId="21" fillId="0" borderId="63" xfId="5" applyNumberFormat="1" applyFont="1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8" fillId="0" borderId="1" xfId="5" quotePrefix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41" fontId="5" fillId="4" borderId="1" xfId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 shrinkToFit="1"/>
    </xf>
    <xf numFmtId="0" fontId="27" fillId="0" borderId="1" xfId="0" applyFont="1" applyBorder="1">
      <alignment vertical="center"/>
    </xf>
    <xf numFmtId="0" fontId="27" fillId="4" borderId="1" xfId="0" applyFont="1" applyFill="1" applyBorder="1">
      <alignment vertical="center"/>
    </xf>
    <xf numFmtId="0" fontId="5" fillId="0" borderId="70" xfId="0" applyFont="1" applyBorder="1" applyAlignment="1">
      <alignment horizontal="center" vertical="center"/>
    </xf>
    <xf numFmtId="0" fontId="5" fillId="4" borderId="78" xfId="0" applyFont="1" applyFill="1" applyBorder="1" applyAlignment="1">
      <alignment horizontal="center" vertical="center"/>
    </xf>
    <xf numFmtId="41" fontId="5" fillId="4" borderId="70" xfId="1" applyFont="1" applyFill="1" applyBorder="1">
      <alignment vertical="center"/>
    </xf>
    <xf numFmtId="177" fontId="5" fillId="4" borderId="70" xfId="0" applyNumberFormat="1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shrinkToFit="1"/>
    </xf>
    <xf numFmtId="0" fontId="2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30" fillId="0" borderId="78" xfId="0" applyFont="1" applyBorder="1" applyAlignment="1">
      <alignment horizontal="center" vertical="center"/>
    </xf>
    <xf numFmtId="0" fontId="5" fillId="4" borderId="70" xfId="1" applyNumberFormat="1" applyFont="1" applyFill="1" applyBorder="1">
      <alignment vertical="center"/>
    </xf>
    <xf numFmtId="0" fontId="5" fillId="4" borderId="79" xfId="0" applyFont="1" applyFill="1" applyBorder="1" applyAlignment="1">
      <alignment horizontal="center" vertical="center"/>
    </xf>
    <xf numFmtId="177" fontId="5" fillId="4" borderId="80" xfId="0" applyNumberFormat="1" applyFont="1" applyFill="1" applyBorder="1">
      <alignment vertical="center"/>
    </xf>
    <xf numFmtId="0" fontId="5" fillId="4" borderId="81" xfId="0" applyFont="1" applyFill="1" applyBorder="1" applyAlignment="1">
      <alignment horizontal="center" vertical="center"/>
    </xf>
    <xf numFmtId="177" fontId="5" fillId="4" borderId="69" xfId="0" applyNumberFormat="1" applyFont="1" applyFill="1" applyBorder="1">
      <alignment vertical="center"/>
    </xf>
    <xf numFmtId="0" fontId="5" fillId="4" borderId="82" xfId="0" applyFont="1" applyFill="1" applyBorder="1" applyAlignment="1">
      <alignment horizontal="center" vertical="center"/>
    </xf>
    <xf numFmtId="0" fontId="5" fillId="4" borderId="82" xfId="0" applyFont="1" applyFill="1" applyBorder="1">
      <alignment vertical="center"/>
    </xf>
    <xf numFmtId="176" fontId="6" fillId="4" borderId="83" xfId="0" applyNumberFormat="1" applyFont="1" applyFill="1" applyBorder="1">
      <alignment vertical="center"/>
    </xf>
    <xf numFmtId="2" fontId="5" fillId="4" borderId="70" xfId="0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9" fontId="30" fillId="0" borderId="0" xfId="2" applyFont="1">
      <alignment vertical="center"/>
    </xf>
    <xf numFmtId="0" fontId="4" fillId="4" borderId="0" xfId="0" applyFont="1" applyFill="1">
      <alignment vertical="center"/>
    </xf>
    <xf numFmtId="0" fontId="27" fillId="0" borderId="70" xfId="0" applyFont="1" applyBorder="1">
      <alignment vertical="center"/>
    </xf>
    <xf numFmtId="0" fontId="27" fillId="0" borderId="70" xfId="0" applyFont="1" applyBorder="1" applyAlignment="1">
      <alignment horizontal="left" shrinkToFit="1"/>
    </xf>
    <xf numFmtId="0" fontId="27" fillId="0" borderId="70" xfId="0" applyFont="1" applyBorder="1" applyAlignment="1">
      <alignment horizontal="center" shrinkToFit="1"/>
    </xf>
    <xf numFmtId="41" fontId="5" fillId="0" borderId="70" xfId="1" applyFont="1" applyFill="1" applyBorder="1" applyAlignment="1">
      <alignment horizontal="center" vertical="center"/>
    </xf>
    <xf numFmtId="0" fontId="27" fillId="0" borderId="84" xfId="0" applyFont="1" applyBorder="1">
      <alignment vertical="center"/>
    </xf>
    <xf numFmtId="0" fontId="27" fillId="0" borderId="84" xfId="0" applyFont="1" applyBorder="1" applyAlignment="1">
      <alignment horizontal="left" shrinkToFit="1"/>
    </xf>
    <xf numFmtId="0" fontId="27" fillId="0" borderId="84" xfId="0" applyFont="1" applyBorder="1" applyAlignment="1">
      <alignment horizontal="center" shrinkToFit="1"/>
    </xf>
    <xf numFmtId="41" fontId="5" fillId="0" borderId="84" xfId="1" applyFont="1" applyFill="1" applyBorder="1" applyAlignment="1">
      <alignment horizontal="center" vertical="center"/>
    </xf>
    <xf numFmtId="0" fontId="32" fillId="0" borderId="0" xfId="0" applyFont="1" applyAlignment="1">
      <alignment horizontal="centerContinuous" vertical="center"/>
    </xf>
    <xf numFmtId="0" fontId="5" fillId="0" borderId="0" xfId="0" applyFont="1" applyAlignment="1">
      <alignment horizontal="left" vertical="center"/>
    </xf>
    <xf numFmtId="0" fontId="0" fillId="0" borderId="47" xfId="0" applyBorder="1" applyAlignment="1">
      <alignment horizontal="center" vertical="center"/>
    </xf>
    <xf numFmtId="41" fontId="0" fillId="0" borderId="45" xfId="1" applyFont="1" applyFill="1" applyBorder="1">
      <alignment vertical="center"/>
    </xf>
    <xf numFmtId="0" fontId="0" fillId="4" borderId="69" xfId="0" applyFill="1" applyBorder="1" applyAlignment="1">
      <alignment horizontal="center" vertical="center"/>
    </xf>
    <xf numFmtId="0" fontId="0" fillId="4" borderId="80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41" fontId="0" fillId="0" borderId="85" xfId="1" applyFont="1" applyFill="1" applyBorder="1">
      <alignment vertical="center"/>
    </xf>
    <xf numFmtId="41" fontId="0" fillId="4" borderId="70" xfId="1" applyFont="1" applyFill="1" applyBorder="1">
      <alignment vertical="center"/>
    </xf>
    <xf numFmtId="181" fontId="8" fillId="5" borderId="45" xfId="5" applyNumberFormat="1" applyFill="1" applyBorder="1" applyAlignment="1">
      <alignment horizontal="right" vertical="center"/>
    </xf>
    <xf numFmtId="0" fontId="8" fillId="5" borderId="48" xfId="5" applyFill="1" applyBorder="1" applyAlignment="1">
      <alignment horizontal="left" vertical="center"/>
    </xf>
    <xf numFmtId="187" fontId="5" fillId="4" borderId="83" xfId="0" applyNumberFormat="1" applyFont="1" applyFill="1" applyBorder="1">
      <alignment vertical="center"/>
    </xf>
    <xf numFmtId="0" fontId="5" fillId="0" borderId="89" xfId="0" applyFont="1" applyBorder="1" applyAlignment="1">
      <alignment horizontal="center" vertical="center"/>
    </xf>
    <xf numFmtId="184" fontId="33" fillId="0" borderId="90" xfId="0" applyNumberFormat="1" applyFont="1" applyBorder="1" applyAlignment="1">
      <alignment horizontal="center" vertical="center"/>
    </xf>
    <xf numFmtId="0" fontId="33" fillId="0" borderId="91" xfId="0" applyFont="1" applyBorder="1" applyAlignment="1">
      <alignment horizontal="center" vertical="center"/>
    </xf>
    <xf numFmtId="0" fontId="34" fillId="0" borderId="91" xfId="0" applyFont="1" applyBorder="1" applyAlignment="1">
      <alignment horizontal="center" vertical="center"/>
    </xf>
    <xf numFmtId="0" fontId="35" fillId="0" borderId="91" xfId="0" applyFont="1" applyBorder="1" applyAlignment="1">
      <alignment horizontal="center" vertical="center"/>
    </xf>
    <xf numFmtId="0" fontId="36" fillId="0" borderId="92" xfId="0" applyFont="1" applyBorder="1" applyAlignment="1">
      <alignment horizontal="center" vertical="center"/>
    </xf>
    <xf numFmtId="0" fontId="37" fillId="0" borderId="91" xfId="0" applyFont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188" fontId="5" fillId="0" borderId="89" xfId="0" applyNumberFormat="1" applyFont="1" applyBorder="1" applyAlignment="1">
      <alignment horizontal="center" vertical="center"/>
    </xf>
    <xf numFmtId="190" fontId="5" fillId="0" borderId="89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89" fontId="29" fillId="6" borderId="86" xfId="0" applyNumberFormat="1" applyFont="1" applyFill="1" applyBorder="1" applyAlignment="1">
      <alignment horizontal="center" vertical="center"/>
    </xf>
    <xf numFmtId="189" fontId="29" fillId="6" borderId="87" xfId="0" applyNumberFormat="1" applyFont="1" applyFill="1" applyBorder="1" applyAlignment="1">
      <alignment horizontal="center" vertical="center"/>
    </xf>
    <xf numFmtId="189" fontId="29" fillId="6" borderId="28" xfId="0" applyNumberFormat="1" applyFont="1" applyFill="1" applyBorder="1" applyAlignment="1">
      <alignment horizontal="center" vertical="center"/>
    </xf>
    <xf numFmtId="0" fontId="38" fillId="0" borderId="93" xfId="8" applyAlignment="1">
      <alignment horizontal="center" vertical="center"/>
    </xf>
    <xf numFmtId="0" fontId="8" fillId="0" borderId="18" xfId="5" applyBorder="1" applyAlignment="1">
      <alignment horizontal="center" vertical="center"/>
    </xf>
    <xf numFmtId="0" fontId="8" fillId="0" borderId="19" xfId="5" applyBorder="1" applyAlignment="1">
      <alignment horizontal="center" vertical="center"/>
    </xf>
    <xf numFmtId="0" fontId="8" fillId="0" borderId="20" xfId="5" applyBorder="1" applyAlignment="1">
      <alignment horizontal="center" vertical="center"/>
    </xf>
    <xf numFmtId="0" fontId="8" fillId="0" borderId="25" xfId="5" applyBorder="1" applyAlignment="1">
      <alignment horizontal="center" vertical="center"/>
    </xf>
    <xf numFmtId="0" fontId="8" fillId="0" borderId="22" xfId="5" applyBorder="1" applyAlignment="1">
      <alignment horizontal="center" vertical="center"/>
    </xf>
    <xf numFmtId="0" fontId="8" fillId="0" borderId="26" xfId="5" applyBorder="1" applyAlignment="1">
      <alignment horizontal="center" vertical="center"/>
    </xf>
    <xf numFmtId="0" fontId="8" fillId="0" borderId="23" xfId="5" applyBorder="1" applyAlignment="1">
      <alignment horizontal="center" vertical="center"/>
    </xf>
    <xf numFmtId="6" fontId="8" fillId="0" borderId="19" xfId="5" applyNumberFormat="1" applyBorder="1" applyAlignment="1">
      <alignment horizontal="center" vertical="center"/>
    </xf>
    <xf numFmtId="0" fontId="8" fillId="0" borderId="24" xfId="5" applyBorder="1" applyAlignment="1">
      <alignment horizontal="center" vertical="center"/>
    </xf>
    <xf numFmtId="0" fontId="11" fillId="0" borderId="2" xfId="5" applyFont="1" applyBorder="1" applyAlignment="1">
      <alignment horizontal="center" vertical="center" wrapText="1"/>
    </xf>
    <xf numFmtId="0" fontId="11" fillId="0" borderId="3" xfId="5" applyFont="1" applyBorder="1" applyAlignment="1">
      <alignment horizontal="center" vertical="center" wrapText="1"/>
    </xf>
    <xf numFmtId="0" fontId="11" fillId="0" borderId="5" xfId="5" applyFont="1" applyBorder="1" applyAlignment="1">
      <alignment horizontal="center" vertical="center" wrapText="1"/>
    </xf>
    <xf numFmtId="0" fontId="11" fillId="0" borderId="0" xfId="5" applyFont="1" applyAlignment="1">
      <alignment horizontal="center" vertical="center" wrapText="1"/>
    </xf>
    <xf numFmtId="0" fontId="11" fillId="0" borderId="7" xfId="5" applyFont="1" applyBorder="1" applyAlignment="1">
      <alignment horizontal="center" vertical="center" wrapText="1"/>
    </xf>
    <xf numFmtId="0" fontId="11" fillId="0" borderId="8" xfId="5" applyFont="1" applyBorder="1" applyAlignment="1">
      <alignment horizontal="center" vertical="center" wrapText="1"/>
    </xf>
    <xf numFmtId="0" fontId="25" fillId="0" borderId="3" xfId="5" applyFont="1" applyBorder="1" applyAlignment="1">
      <alignment horizontal="left" vertical="center" indent="4"/>
    </xf>
    <xf numFmtId="0" fontId="25" fillId="0" borderId="4" xfId="5" applyFont="1" applyBorder="1" applyAlignment="1">
      <alignment horizontal="left" vertical="center" indent="4"/>
    </xf>
    <xf numFmtId="0" fontId="25" fillId="0" borderId="0" xfId="5" applyFont="1" applyAlignment="1">
      <alignment horizontal="left" vertical="center" indent="4"/>
    </xf>
    <xf numFmtId="0" fontId="25" fillId="0" borderId="6" xfId="5" applyFont="1" applyBorder="1" applyAlignment="1">
      <alignment horizontal="left" vertical="center" indent="4"/>
    </xf>
    <xf numFmtId="0" fontId="25" fillId="0" borderId="8" xfId="5" applyFont="1" applyBorder="1" applyAlignment="1">
      <alignment horizontal="left" vertical="center" indent="4"/>
    </xf>
    <xf numFmtId="0" fontId="8" fillId="0" borderId="9" xfId="5" applyBorder="1" applyAlignment="1">
      <alignment horizontal="center" vertical="center"/>
    </xf>
    <xf numFmtId="0" fontId="8" fillId="0" borderId="10" xfId="5" applyBorder="1" applyAlignment="1">
      <alignment horizontal="center" vertical="center"/>
    </xf>
    <xf numFmtId="0" fontId="13" fillId="0" borderId="10" xfId="5" applyFont="1" applyBorder="1" applyAlignment="1">
      <alignment horizontal="center" vertical="center"/>
    </xf>
    <xf numFmtId="0" fontId="13" fillId="0" borderId="11" xfId="5" applyFont="1" applyBorder="1" applyAlignment="1">
      <alignment horizontal="center" vertical="center"/>
    </xf>
    <xf numFmtId="0" fontId="13" fillId="0" borderId="19" xfId="5" applyFont="1" applyBorder="1" applyAlignment="1">
      <alignment horizontal="center" vertical="center"/>
    </xf>
    <xf numFmtId="0" fontId="13" fillId="0" borderId="20" xfId="5" applyFont="1" applyBorder="1" applyAlignment="1">
      <alignment horizontal="center" vertical="center"/>
    </xf>
    <xf numFmtId="0" fontId="8" fillId="0" borderId="12" xfId="5" applyBorder="1" applyAlignment="1">
      <alignment horizontal="center" vertical="center" wrapText="1"/>
    </xf>
    <xf numFmtId="0" fontId="8" fillId="0" borderId="13" xfId="5" applyBorder="1" applyAlignment="1">
      <alignment horizontal="center" vertical="center"/>
    </xf>
    <xf numFmtId="0" fontId="8" fillId="0" borderId="21" xfId="5" applyBorder="1" applyAlignment="1">
      <alignment horizontal="center" vertical="center"/>
    </xf>
    <xf numFmtId="0" fontId="8" fillId="0" borderId="35" xfId="5" applyBorder="1" applyAlignment="1">
      <alignment horizontal="center" vertical="center"/>
    </xf>
    <xf numFmtId="0" fontId="8" fillId="0" borderId="36" xfId="5" applyBorder="1" applyAlignment="1">
      <alignment horizontal="center" vertical="center"/>
    </xf>
    <xf numFmtId="0" fontId="8" fillId="0" borderId="14" xfId="5" applyBorder="1" applyAlignment="1">
      <alignment horizontal="center" vertical="center"/>
    </xf>
    <xf numFmtId="0" fontId="8" fillId="0" borderId="15" xfId="5" applyBorder="1" applyAlignment="1">
      <alignment horizontal="center" vertical="center"/>
    </xf>
    <xf numFmtId="6" fontId="8" fillId="0" borderId="16" xfId="5" applyNumberFormat="1" applyBorder="1" applyAlignment="1">
      <alignment horizontal="center" vertical="center"/>
    </xf>
    <xf numFmtId="0" fontId="8" fillId="0" borderId="17" xfId="5" applyBorder="1" applyAlignment="1">
      <alignment horizontal="center" vertical="center"/>
    </xf>
    <xf numFmtId="180" fontId="8" fillId="0" borderId="19" xfId="5" applyNumberFormat="1" applyBorder="1" applyAlignment="1">
      <alignment horizontal="center" vertical="center"/>
    </xf>
    <xf numFmtId="180" fontId="8" fillId="0" borderId="20" xfId="5" applyNumberFormat="1" applyBorder="1" applyAlignment="1">
      <alignment horizontal="center" vertical="center"/>
    </xf>
    <xf numFmtId="0" fontId="8" fillId="2" borderId="44" xfId="5" applyFill="1" applyBorder="1" applyAlignment="1">
      <alignment horizontal="center" vertical="center"/>
    </xf>
    <xf numFmtId="0" fontId="8" fillId="2" borderId="1" xfId="5" applyFill="1" applyBorder="1" applyAlignment="1">
      <alignment horizontal="center" vertical="center"/>
    </xf>
    <xf numFmtId="49" fontId="8" fillId="5" borderId="1" xfId="5" applyNumberFormat="1" applyFill="1" applyBorder="1" applyAlignment="1">
      <alignment horizontal="center" vertical="center"/>
    </xf>
    <xf numFmtId="0" fontId="8" fillId="0" borderId="45" xfId="5" applyBorder="1" applyAlignment="1">
      <alignment horizontal="center" vertical="center"/>
    </xf>
    <xf numFmtId="0" fontId="8" fillId="0" borderId="46" xfId="5" applyBorder="1" applyAlignment="1">
      <alignment horizontal="center" vertical="center"/>
    </xf>
    <xf numFmtId="0" fontId="8" fillId="0" borderId="47" xfId="5" applyBorder="1" applyAlignment="1">
      <alignment horizontal="center" vertical="center"/>
    </xf>
    <xf numFmtId="0" fontId="8" fillId="0" borderId="32" xfId="5" applyBorder="1" applyAlignment="1">
      <alignment horizontal="center" vertical="center"/>
    </xf>
    <xf numFmtId="0" fontId="8" fillId="0" borderId="33" xfId="5" applyBorder="1" applyAlignment="1">
      <alignment horizontal="center" vertical="center"/>
    </xf>
    <xf numFmtId="180" fontId="8" fillId="5" borderId="19" xfId="5" applyNumberFormat="1" applyFill="1" applyBorder="1" applyAlignment="1">
      <alignment horizontal="center" vertical="center"/>
    </xf>
    <xf numFmtId="180" fontId="8" fillId="5" borderId="20" xfId="5" applyNumberFormat="1" applyFill="1" applyBorder="1" applyAlignment="1">
      <alignment horizontal="center" vertical="center"/>
    </xf>
    <xf numFmtId="180" fontId="8" fillId="5" borderId="33" xfId="5" applyNumberFormat="1" applyFill="1" applyBorder="1" applyAlignment="1">
      <alignment horizontal="center" vertical="center"/>
    </xf>
    <xf numFmtId="180" fontId="8" fillId="5" borderId="34" xfId="5" applyNumberFormat="1" applyFill="1" applyBorder="1" applyAlignment="1">
      <alignment horizontal="center" vertical="center"/>
    </xf>
    <xf numFmtId="0" fontId="8" fillId="0" borderId="37" xfId="5" applyBorder="1" applyAlignment="1">
      <alignment horizontal="center" vertical="center"/>
    </xf>
    <xf numFmtId="0" fontId="8" fillId="0" borderId="38" xfId="5" applyBorder="1" applyAlignment="1">
      <alignment horizontal="center" vertical="center"/>
    </xf>
    <xf numFmtId="0" fontId="8" fillId="0" borderId="39" xfId="5" applyBorder="1" applyAlignment="1">
      <alignment horizontal="center" vertical="center"/>
    </xf>
    <xf numFmtId="0" fontId="8" fillId="0" borderId="40" xfId="5" applyBorder="1" applyAlignment="1">
      <alignment horizontal="center" vertical="center"/>
    </xf>
    <xf numFmtId="181" fontId="8" fillId="5" borderId="49" xfId="5" applyNumberFormat="1" applyFill="1" applyBorder="1" applyAlignment="1">
      <alignment horizontal="right" vertical="center"/>
    </xf>
    <xf numFmtId="181" fontId="8" fillId="5" borderId="46" xfId="5" applyNumberFormat="1" applyFill="1" applyBorder="1" applyAlignment="1">
      <alignment horizontal="right" vertical="center"/>
    </xf>
    <xf numFmtId="181" fontId="16" fillId="3" borderId="45" xfId="5" applyNumberFormat="1" applyFont="1" applyFill="1" applyBorder="1" applyAlignment="1">
      <alignment horizontal="right" vertical="center"/>
    </xf>
    <xf numFmtId="181" fontId="16" fillId="3" borderId="46" xfId="5" applyNumberFormat="1" applyFont="1" applyFill="1" applyBorder="1">
      <alignment vertical="center"/>
    </xf>
    <xf numFmtId="182" fontId="16" fillId="3" borderId="1" xfId="5" applyNumberFormat="1" applyFont="1" applyFill="1" applyBorder="1" applyAlignment="1">
      <alignment horizontal="center" vertical="center"/>
    </xf>
    <xf numFmtId="0" fontId="8" fillId="2" borderId="45" xfId="5" applyFill="1" applyBorder="1" applyAlignment="1">
      <alignment horizontal="center" vertical="center" wrapText="1"/>
    </xf>
    <xf numFmtId="0" fontId="8" fillId="2" borderId="46" xfId="5" applyFill="1" applyBorder="1" applyAlignment="1">
      <alignment horizontal="center" vertical="center" wrapText="1"/>
    </xf>
    <xf numFmtId="0" fontId="8" fillId="2" borderId="47" xfId="5" applyFill="1" applyBorder="1" applyAlignment="1">
      <alignment horizontal="center" vertical="center" wrapText="1"/>
    </xf>
    <xf numFmtId="0" fontId="8" fillId="2" borderId="1" xfId="5" applyFill="1" applyBorder="1" applyAlignment="1">
      <alignment horizontal="center" vertical="center" wrapText="1"/>
    </xf>
    <xf numFmtId="42" fontId="8" fillId="5" borderId="45" xfId="5" applyNumberFormat="1" applyFill="1" applyBorder="1" applyAlignment="1">
      <alignment horizontal="center" vertical="center"/>
    </xf>
    <xf numFmtId="42" fontId="8" fillId="5" borderId="48" xfId="5" applyNumberFormat="1" applyFill="1" applyBorder="1" applyAlignment="1">
      <alignment horizontal="center" vertical="center"/>
    </xf>
    <xf numFmtId="0" fontId="8" fillId="0" borderId="49" xfId="5" applyBorder="1" applyAlignment="1">
      <alignment horizontal="center" vertical="center"/>
    </xf>
    <xf numFmtId="0" fontId="8" fillId="0" borderId="48" xfId="5" applyBorder="1" applyAlignment="1">
      <alignment horizontal="center" vertical="center"/>
    </xf>
    <xf numFmtId="0" fontId="8" fillId="2" borderId="45" xfId="5" applyFill="1" applyBorder="1" applyAlignment="1">
      <alignment horizontal="center" vertical="center"/>
    </xf>
    <xf numFmtId="0" fontId="8" fillId="2" borderId="46" xfId="5" applyFill="1" applyBorder="1" applyAlignment="1">
      <alignment horizontal="center" vertical="center"/>
    </xf>
    <xf numFmtId="0" fontId="8" fillId="2" borderId="47" xfId="5" applyFill="1" applyBorder="1" applyAlignment="1">
      <alignment horizontal="center" vertical="center"/>
    </xf>
    <xf numFmtId="0" fontId="8" fillId="2" borderId="50" xfId="5" applyFill="1" applyBorder="1" applyAlignment="1">
      <alignment horizontal="center" vertical="distributed"/>
    </xf>
    <xf numFmtId="0" fontId="8" fillId="2" borderId="51" xfId="5" applyFill="1" applyBorder="1" applyAlignment="1">
      <alignment horizontal="center" vertical="distributed"/>
    </xf>
    <xf numFmtId="0" fontId="18" fillId="0" borderId="45" xfId="5" applyFont="1" applyBorder="1" applyAlignment="1">
      <alignment horizontal="center" vertical="center"/>
    </xf>
    <xf numFmtId="0" fontId="18" fillId="0" borderId="46" xfId="5" applyFont="1" applyBorder="1" applyAlignment="1">
      <alignment horizontal="center" vertical="center"/>
    </xf>
    <xf numFmtId="0" fontId="18" fillId="0" borderId="47" xfId="5" applyFont="1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8" fillId="0" borderId="53" xfId="5" applyBorder="1" applyAlignment="1">
      <alignment horizontal="center" vertical="center"/>
    </xf>
    <xf numFmtId="0" fontId="21" fillId="0" borderId="54" xfId="5" applyFont="1" applyBorder="1" applyAlignment="1">
      <alignment horizontal="center" vertical="center"/>
    </xf>
    <xf numFmtId="0" fontId="21" fillId="0" borderId="55" xfId="5" applyFont="1" applyBorder="1" applyAlignment="1">
      <alignment horizontal="center" vertical="center"/>
    </xf>
    <xf numFmtId="179" fontId="22" fillId="0" borderId="56" xfId="5" applyNumberFormat="1" applyFont="1" applyBorder="1" applyAlignment="1">
      <alignment horizontal="center" vertical="center"/>
    </xf>
    <xf numFmtId="179" fontId="22" fillId="0" borderId="57" xfId="5" applyNumberFormat="1" applyFont="1" applyBorder="1" applyAlignment="1">
      <alignment horizontal="center" vertical="center"/>
    </xf>
    <xf numFmtId="179" fontId="16" fillId="3" borderId="1" xfId="5" applyNumberFormat="1" applyFont="1" applyFill="1" applyBorder="1" applyAlignment="1">
      <alignment horizontal="right" vertical="center"/>
    </xf>
    <xf numFmtId="0" fontId="8" fillId="2" borderId="53" xfId="5" applyFill="1" applyBorder="1" applyAlignment="1">
      <alignment horizontal="center" vertical="center"/>
    </xf>
    <xf numFmtId="3" fontId="18" fillId="0" borderId="45" xfId="5" applyNumberFormat="1" applyFont="1" applyBorder="1" applyAlignment="1">
      <alignment horizontal="right" vertical="center"/>
    </xf>
    <xf numFmtId="0" fontId="18" fillId="0" borderId="46" xfId="5" applyFont="1" applyBorder="1" applyAlignment="1">
      <alignment horizontal="right" vertical="center"/>
    </xf>
    <xf numFmtId="0" fontId="22" fillId="0" borderId="58" xfId="5" applyFont="1" applyBorder="1" applyAlignment="1">
      <alignment horizontal="center" vertical="center"/>
    </xf>
    <xf numFmtId="0" fontId="22" fillId="0" borderId="59" xfId="5" applyFont="1" applyBorder="1" applyAlignment="1">
      <alignment horizontal="center" vertical="center"/>
    </xf>
    <xf numFmtId="0" fontId="22" fillId="0" borderId="31" xfId="5" applyFont="1" applyBorder="1" applyAlignment="1">
      <alignment horizontal="center" vertical="center"/>
    </xf>
    <xf numFmtId="0" fontId="22" fillId="0" borderId="29" xfId="5" applyFont="1" applyBorder="1" applyAlignment="1">
      <alignment horizontal="center" vertical="center"/>
    </xf>
    <xf numFmtId="0" fontId="22" fillId="0" borderId="60" xfId="5" applyFont="1" applyBorder="1" applyAlignment="1">
      <alignment horizontal="center" vertical="center"/>
    </xf>
    <xf numFmtId="0" fontId="22" fillId="0" borderId="61" xfId="5" applyFont="1" applyBorder="1" applyAlignment="1">
      <alignment horizontal="center" vertical="center"/>
    </xf>
    <xf numFmtId="9" fontId="8" fillId="0" borderId="45" xfId="5" applyNumberFormat="1" applyBorder="1" applyAlignment="1">
      <alignment horizontal="center" vertical="center"/>
    </xf>
    <xf numFmtId="9" fontId="8" fillId="0" borderId="46" xfId="5" applyNumberFormat="1" applyBorder="1" applyAlignment="1">
      <alignment horizontal="center" vertical="center"/>
    </xf>
    <xf numFmtId="0" fontId="8" fillId="0" borderId="1" xfId="5" applyBorder="1" applyAlignment="1">
      <alignment horizontal="center" vertical="center" textRotation="255"/>
    </xf>
    <xf numFmtId="0" fontId="8" fillId="0" borderId="64" xfId="5" applyBorder="1" applyAlignment="1">
      <alignment horizontal="left" vertical="top"/>
    </xf>
    <xf numFmtId="0" fontId="8" fillId="0" borderId="65" xfId="5" applyBorder="1" applyAlignment="1">
      <alignment horizontal="left" vertical="top"/>
    </xf>
    <xf numFmtId="0" fontId="8" fillId="0" borderId="66" xfId="5" applyBorder="1" applyAlignment="1">
      <alignment horizontal="left" vertical="top"/>
    </xf>
    <xf numFmtId="0" fontId="8" fillId="0" borderId="5" xfId="5" applyBorder="1" applyAlignment="1">
      <alignment horizontal="left" vertical="top"/>
    </xf>
    <xf numFmtId="0" fontId="8" fillId="0" borderId="0" xfId="5" applyAlignment="1">
      <alignment horizontal="left" vertical="top"/>
    </xf>
    <xf numFmtId="0" fontId="8" fillId="0" borderId="72" xfId="5" applyBorder="1" applyAlignment="1">
      <alignment horizontal="left" vertical="top"/>
    </xf>
    <xf numFmtId="0" fontId="8" fillId="0" borderId="73" xfId="5" applyBorder="1" applyAlignment="1">
      <alignment horizontal="left" vertical="top"/>
    </xf>
    <xf numFmtId="0" fontId="8" fillId="0" borderId="74" xfId="5" applyBorder="1" applyAlignment="1">
      <alignment horizontal="left" vertical="top"/>
    </xf>
    <xf numFmtId="0" fontId="8" fillId="0" borderId="75" xfId="5" applyBorder="1" applyAlignment="1">
      <alignment horizontal="left" vertical="top"/>
    </xf>
    <xf numFmtId="42" fontId="16" fillId="3" borderId="1" xfId="5" applyNumberFormat="1" applyFont="1" applyFill="1" applyBorder="1" applyAlignment="1">
      <alignment horizontal="center" vertical="center"/>
    </xf>
    <xf numFmtId="42" fontId="16" fillId="3" borderId="53" xfId="5" applyNumberFormat="1" applyFont="1" applyFill="1" applyBorder="1" applyAlignment="1">
      <alignment horizontal="center" vertical="center"/>
    </xf>
    <xf numFmtId="0" fontId="8" fillId="2" borderId="76" xfId="5" applyFill="1" applyBorder="1" applyAlignment="1">
      <alignment horizontal="center" vertical="center"/>
    </xf>
    <xf numFmtId="42" fontId="16" fillId="3" borderId="76" xfId="5" applyNumberFormat="1" applyFont="1" applyFill="1" applyBorder="1" applyAlignment="1">
      <alignment horizontal="center" vertical="center"/>
    </xf>
    <xf numFmtId="42" fontId="16" fillId="3" borderId="77" xfId="5" applyNumberFormat="1" applyFont="1" applyFill="1" applyBorder="1" applyAlignment="1">
      <alignment horizontal="center" vertical="center"/>
    </xf>
    <xf numFmtId="0" fontId="8" fillId="0" borderId="0" xfId="5" applyAlignment="1">
      <alignment horizontal="center" vertical="center"/>
    </xf>
    <xf numFmtId="0" fontId="8" fillId="2" borderId="64" xfId="5" applyFill="1" applyBorder="1" applyAlignment="1">
      <alignment horizontal="center" vertical="center"/>
    </xf>
    <xf numFmtId="0" fontId="8" fillId="2" borderId="65" xfId="5" applyFill="1" applyBorder="1" applyAlignment="1">
      <alignment horizontal="center" vertical="center"/>
    </xf>
    <xf numFmtId="0" fontId="8" fillId="2" borderId="66" xfId="5" applyFill="1" applyBorder="1" applyAlignment="1">
      <alignment horizontal="center" vertical="center"/>
    </xf>
    <xf numFmtId="0" fontId="8" fillId="2" borderId="41" xfId="5" applyFill="1" applyBorder="1" applyAlignment="1">
      <alignment horizontal="center" vertical="center"/>
    </xf>
    <xf numFmtId="0" fontId="8" fillId="2" borderId="42" xfId="5" applyFill="1" applyBorder="1" applyAlignment="1">
      <alignment horizontal="center" vertical="center"/>
    </xf>
    <xf numFmtId="0" fontId="8" fillId="2" borderId="69" xfId="5" applyFill="1" applyBorder="1" applyAlignment="1">
      <alignment horizontal="center" vertical="center"/>
    </xf>
    <xf numFmtId="0" fontId="8" fillId="2" borderId="67" xfId="5" applyFill="1" applyBorder="1" applyAlignment="1">
      <alignment horizontal="center" vertical="center"/>
    </xf>
    <xf numFmtId="0" fontId="8" fillId="2" borderId="70" xfId="5" applyFill="1" applyBorder="1" applyAlignment="1">
      <alignment horizontal="center" vertical="center"/>
    </xf>
    <xf numFmtId="182" fontId="16" fillId="3" borderId="67" xfId="5" applyNumberFormat="1" applyFont="1" applyFill="1" applyBorder="1" applyAlignment="1">
      <alignment horizontal="center" vertical="center"/>
    </xf>
    <xf numFmtId="182" fontId="16" fillId="3" borderId="68" xfId="5" applyNumberFormat="1" applyFont="1" applyFill="1" applyBorder="1" applyAlignment="1">
      <alignment horizontal="center" vertical="center"/>
    </xf>
    <xf numFmtId="182" fontId="16" fillId="3" borderId="70" xfId="5" applyNumberFormat="1" applyFont="1" applyFill="1" applyBorder="1" applyAlignment="1">
      <alignment horizontal="center" vertical="center"/>
    </xf>
    <xf numFmtId="182" fontId="16" fillId="3" borderId="71" xfId="5" applyNumberFormat="1" applyFont="1" applyFill="1" applyBorder="1" applyAlignment="1">
      <alignment horizontal="center" vertical="center"/>
    </xf>
  </cellXfs>
  <cellStyles count="9">
    <cellStyle name="백분율" xfId="2" builtinId="5"/>
    <cellStyle name="백분율 2" xfId="6" xr:uid="{00000000-0005-0000-0000-000001000000}"/>
    <cellStyle name="쉼표 [0]" xfId="1" builtinId="6"/>
    <cellStyle name="제목 2" xfId="8" builtinId="17"/>
    <cellStyle name="표준" xfId="0" builtinId="0"/>
    <cellStyle name="표준 13" xfId="7" xr:uid="{00000000-0005-0000-0000-000004000000}"/>
    <cellStyle name="표준 2" xfId="3" xr:uid="{00000000-0005-0000-0000-000005000000}"/>
    <cellStyle name="표준 2 2" xfId="4" xr:uid="{00000000-0005-0000-0000-000006000000}"/>
    <cellStyle name="표준 3" xfId="5" xr:uid="{00000000-0005-0000-0000-000007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16</xdr:row>
      <xdr:rowOff>142876</xdr:rowOff>
    </xdr:from>
    <xdr:to>
      <xdr:col>8</xdr:col>
      <xdr:colOff>654520</xdr:colOff>
      <xdr:row>23</xdr:row>
      <xdr:rowOff>115465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EB685B9-B529-44CE-82E0-A8000C37B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2426"/>
          <a:ext cx="5226520" cy="14489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28575</xdr:colOff>
      <xdr:row>9</xdr:row>
      <xdr:rowOff>46734</xdr:rowOff>
    </xdr:from>
    <xdr:to>
      <xdr:col>8</xdr:col>
      <xdr:colOff>647700</xdr:colOff>
      <xdr:row>14</xdr:row>
      <xdr:rowOff>88275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07A5A52-6FCE-43F0-B727-FD34796EE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532759"/>
          <a:ext cx="5219700" cy="110834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419100</xdr:colOff>
          <xdr:row>1</xdr:row>
          <xdr:rowOff>53340</xdr:rowOff>
        </xdr:from>
        <xdr:to>
          <xdr:col>14</xdr:col>
          <xdr:colOff>548640</xdr:colOff>
          <xdr:row>3</xdr:row>
          <xdr:rowOff>383944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X$74:$AB$76" spid="_x0000_s11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90060" y="182880"/>
              <a:ext cx="2354580" cy="9097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1</xdr:col>
      <xdr:colOff>85724</xdr:colOff>
      <xdr:row>1</xdr:row>
      <xdr:rowOff>104774</xdr:rowOff>
    </xdr:from>
    <xdr:to>
      <xdr:col>2</xdr:col>
      <xdr:colOff>524186</xdr:colOff>
      <xdr:row>3</xdr:row>
      <xdr:rowOff>295274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4" y="238124"/>
          <a:ext cx="695637" cy="771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B4:AC17" totalsRowShown="0" headerRowDxfId="5" headerRowBorderDxfId="4" tableBorderDxfId="3" totalsRowBorderDxfId="2">
  <autoFilter ref="AB4:AC17" xr:uid="{00000000-0009-0000-0100-000001000000}"/>
  <tableColumns count="2">
    <tableColumn id="1" xr3:uid="{00000000-0010-0000-0000-000001000000}" name="설비톤수" dataDxfId="1"/>
    <tableColumn id="2" xr3:uid="{00000000-0010-0000-0000-000002000000}" name="임률" dataDxfId="0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7"/>
  <sheetViews>
    <sheetView tabSelected="1" zoomScaleNormal="100" workbookViewId="0">
      <selection sqref="A1:T1"/>
    </sheetView>
  </sheetViews>
  <sheetFormatPr defaultRowHeight="16.5" outlineLevelCol="2" x14ac:dyDescent="0.3"/>
  <cols>
    <col min="1" max="1" width="8.625" style="4" customWidth="1"/>
    <col min="2" max="9" width="8.625" customWidth="1"/>
    <col min="10" max="10" width="10.875" customWidth="1"/>
    <col min="11" max="11" width="12.25" customWidth="1"/>
    <col min="12" max="12" width="10.875" customWidth="1"/>
    <col min="13" max="13" width="8.625" customWidth="1"/>
    <col min="14" max="14" width="10.75" customWidth="1"/>
    <col min="15" max="15" width="7.25" customWidth="1"/>
    <col min="16" max="16" width="8.375" customWidth="1"/>
    <col min="17" max="17" width="8.625" customWidth="1"/>
    <col min="18" max="18" width="7.125" customWidth="1"/>
    <col min="19" max="19" width="8" customWidth="1"/>
    <col min="20" max="20" width="9.25" bestFit="1" customWidth="1"/>
    <col min="21" max="21" width="3.375" customWidth="1"/>
    <col min="22" max="22" width="5.75" customWidth="1" outlineLevel="1"/>
    <col min="23" max="26" width="7.25" customWidth="1" outlineLevel="1"/>
    <col min="27" max="27" width="3.625" customWidth="1"/>
    <col min="28" max="28" width="10.125" customWidth="1" outlineLevel="1"/>
    <col min="29" max="29" width="11.75" customWidth="1" outlineLevel="1"/>
    <col min="30" max="30" width="3" customWidth="1" outlineLevel="1"/>
    <col min="31" max="31" width="5.75" customWidth="1" outlineLevel="1"/>
    <col min="32" max="32" width="9.625" customWidth="1" outlineLevel="1"/>
    <col min="33" max="43" width="6.25" style="5" hidden="1" customWidth="1" outlineLevel="2"/>
    <col min="44" max="44" width="7.25" style="5" hidden="1" customWidth="1" outlineLevel="2"/>
    <col min="45" max="45" width="6.375" customWidth="1" outlineLevel="1" collapsed="1"/>
    <col min="46" max="46" width="3" customWidth="1" outlineLevel="1"/>
    <col min="47" max="50" width="8.75" customWidth="1" outlineLevel="1"/>
  </cols>
  <sheetData>
    <row r="1" spans="1:50" ht="46.5" x14ac:dyDescent="0.3">
      <c r="A1" s="121" t="s">
        <v>118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AB1" s="99" t="s">
        <v>144</v>
      </c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</row>
    <row r="2" spans="1:50" x14ac:dyDescent="0.3">
      <c r="T2" s="90" t="s">
        <v>157</v>
      </c>
      <c r="AH2"/>
      <c r="AJ2"/>
      <c r="AL2"/>
      <c r="AN2"/>
      <c r="AP2"/>
      <c r="AR2"/>
      <c r="AS2" s="5"/>
    </row>
    <row r="3" spans="1:50" ht="17.25" thickBot="1" x14ac:dyDescent="0.35">
      <c r="E3" s="88" t="s">
        <v>161</v>
      </c>
      <c r="F3" s="88" t="s">
        <v>20</v>
      </c>
      <c r="G3" s="88" t="s">
        <v>158</v>
      </c>
      <c r="H3" s="88" t="s">
        <v>160</v>
      </c>
      <c r="I3" s="88" t="s">
        <v>159</v>
      </c>
      <c r="J3" s="88"/>
      <c r="K3" s="88"/>
      <c r="L3" s="88"/>
      <c r="M3" s="88" t="s">
        <v>154</v>
      </c>
      <c r="N3" s="75"/>
      <c r="O3" s="75"/>
      <c r="P3" s="75"/>
      <c r="Q3" s="89">
        <v>0.1</v>
      </c>
      <c r="R3" s="89">
        <v>0.1</v>
      </c>
      <c r="S3" s="89">
        <v>0.1</v>
      </c>
      <c r="AB3" s="75" t="s">
        <v>141</v>
      </c>
      <c r="AC3" s="75"/>
      <c r="AD3" s="75"/>
      <c r="AE3" s="75" t="s">
        <v>142</v>
      </c>
      <c r="AF3" s="75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5"/>
      <c r="AT3" s="75"/>
      <c r="AU3" s="75" t="s">
        <v>143</v>
      </c>
      <c r="AV3" s="75"/>
      <c r="AW3" s="75"/>
    </row>
    <row r="4" spans="1:50" ht="30.6" customHeight="1" thickTop="1" thickBot="1" x14ac:dyDescent="0.35">
      <c r="A4" s="78" t="s">
        <v>19</v>
      </c>
      <c r="B4" s="78" t="s">
        <v>164</v>
      </c>
      <c r="C4" s="78" t="s">
        <v>0</v>
      </c>
      <c r="D4" s="78" t="s">
        <v>1</v>
      </c>
      <c r="E4" s="78" t="s">
        <v>2</v>
      </c>
      <c r="F4" s="78" t="s">
        <v>156</v>
      </c>
      <c r="G4" s="78" t="s">
        <v>14</v>
      </c>
      <c r="H4" s="78" t="s">
        <v>10</v>
      </c>
      <c r="I4" s="78" t="s">
        <v>11</v>
      </c>
      <c r="J4" s="70" t="s">
        <v>3</v>
      </c>
      <c r="K4" s="70" t="s">
        <v>12</v>
      </c>
      <c r="L4" s="70" t="s">
        <v>13</v>
      </c>
      <c r="M4" s="70" t="s">
        <v>4</v>
      </c>
      <c r="N4" s="70" t="s">
        <v>155</v>
      </c>
      <c r="O4" s="80" t="s">
        <v>6</v>
      </c>
      <c r="P4" s="84" t="s">
        <v>147</v>
      </c>
      <c r="Q4" s="82" t="s">
        <v>7</v>
      </c>
      <c r="R4" s="70" t="s">
        <v>8</v>
      </c>
      <c r="S4" s="80" t="s">
        <v>9</v>
      </c>
      <c r="T4" s="85" t="s">
        <v>153</v>
      </c>
      <c r="V4" s="100" t="s">
        <v>162</v>
      </c>
      <c r="AB4" s="103" t="s">
        <v>14</v>
      </c>
      <c r="AC4" s="104" t="s">
        <v>5</v>
      </c>
      <c r="AD4" s="5"/>
      <c r="AE4" s="64" t="s">
        <v>26</v>
      </c>
      <c r="AF4" s="64" t="s">
        <v>28</v>
      </c>
      <c r="AG4" s="73" t="s">
        <v>129</v>
      </c>
      <c r="AH4" s="73" t="s">
        <v>130</v>
      </c>
      <c r="AI4" s="73" t="s">
        <v>131</v>
      </c>
      <c r="AJ4" s="73" t="s">
        <v>132</v>
      </c>
      <c r="AK4" s="73" t="s">
        <v>133</v>
      </c>
      <c r="AL4" s="73" t="s">
        <v>134</v>
      </c>
      <c r="AM4" s="73" t="s">
        <v>135</v>
      </c>
      <c r="AN4" s="73" t="s">
        <v>136</v>
      </c>
      <c r="AO4" s="73" t="s">
        <v>137</v>
      </c>
      <c r="AP4" s="73" t="s">
        <v>138</v>
      </c>
      <c r="AQ4" s="73" t="s">
        <v>139</v>
      </c>
      <c r="AR4" s="73" t="s">
        <v>140</v>
      </c>
      <c r="AS4" s="65" t="s">
        <v>27</v>
      </c>
      <c r="AU4" s="68" t="s">
        <v>167</v>
      </c>
      <c r="AV4" s="68" t="s">
        <v>168</v>
      </c>
      <c r="AW4" s="68" t="s">
        <v>169</v>
      </c>
      <c r="AX4" s="68" t="s">
        <v>126</v>
      </c>
    </row>
    <row r="5" spans="1:50" ht="18" thickTop="1" thickBot="1" x14ac:dyDescent="0.3">
      <c r="A5" s="69">
        <f>ROW()-4</f>
        <v>1</v>
      </c>
      <c r="B5" s="69" t="s">
        <v>184</v>
      </c>
      <c r="C5" s="118" t="str" cm="1">
        <f t="array" ref="C5">IFERROR(_xlfn.IFS(MID(C7,1,1)="1","ABS",MID(C7,1,1)="2","PP",MID(C7,1,1)="3","PE",MID(C7,1,1)="4","SAN"),"ABS")</f>
        <v>ABS</v>
      </c>
      <c r="D5" s="111" t="str" cm="1">
        <f t="array" ref="D5">IFERROR(_xlfn.IFS(MID(C7,1,2)="11","HF380",MID(C7,1,2)="12","HI121",MID(C7,1,2)="13","SG175",MID(C7,1,2)="21","344RK",MID(C7,1,2)="22",4017,MID(C7,1,2)="23","J-550A",MID(C7,1,2)="24","J-560S",MID(C7,1,2)="31","M850",MID(C7,1,2)="32",5321,MID(C7,1,2)="33","XJ700",MID(C7,1,2)="41","80HF",MID(C7,1,2)="42","82TR"),"HF380")</f>
        <v>HF380</v>
      </c>
      <c r="E5" s="120">
        <f>VALUE(IF(MID(C7,3,3)="000", "500", MID(C7,3,3)))</f>
        <v>500</v>
      </c>
      <c r="F5" s="120">
        <f>VALUE(IF(MID(C7,6,3)="000", "500", MID(C7,6,3)))</f>
        <v>500</v>
      </c>
      <c r="G5" s="111" cm="1">
        <f t="array" ref="G5">VALUE(IFERROR(_xlfn.IFS(MID(C7,9,3)="100",100,MID(C7,9,3)="120",120,MID(C7,9,3)="130",130,MID(C7,9,3)="150",150,MID(C7,9,3)="160",160,MID(C7,9,3)="170",170,MID(C7,9,3)="180",180,MID(C7,9,3)="200",200,MID(C7,9,3)="220",220,MID(C7,9,3)="240",240,MID(C7,9,3)="280",280,MID(C7,9,3)="380",380,MID(C7,9,3)="400",400),100))</f>
        <v>100</v>
      </c>
      <c r="H5" s="119">
        <f>VALUE(IF(MID(C7,12,1)="0", "2", MID(C7,12,1)))</f>
        <v>2</v>
      </c>
      <c r="I5" s="111">
        <f>VALUE(IF(MID(C7,13,2)="00", "10", MID(C7,13,2)))</f>
        <v>60</v>
      </c>
      <c r="J5" s="87">
        <f>IFERROR((E5+F5)/H5,"")</f>
        <v>500</v>
      </c>
      <c r="K5" s="79">
        <f>IF($D5="","",VLOOKUP($D5,$AF$4:$AS$16,14,0))</f>
        <v>2600</v>
      </c>
      <c r="L5" s="72">
        <f>IFERROR((K5/1000)*J5,"")</f>
        <v>1300</v>
      </c>
      <c r="M5" s="71">
        <f>IFERROR(79200/I5*H5,"")</f>
        <v>2640</v>
      </c>
      <c r="N5" s="107">
        <f>IFERROR(VLOOKUP(G5,$AB$5:$AC$17,2,0),"")</f>
        <v>160000</v>
      </c>
      <c r="O5" s="81">
        <f>IFERROR(N5/M5,"")</f>
        <v>60.606060606060609</v>
      </c>
      <c r="P5" s="110">
        <f>IFERROR(L5+O5,"")</f>
        <v>1360.6060606060605</v>
      </c>
      <c r="Q5" s="83">
        <f>IFERROR((L5+O5)*$Q$3,"")</f>
        <v>136.06060606060606</v>
      </c>
      <c r="R5" s="72">
        <f>IFERROR((L5+O5+Q5)*$R$3,"")</f>
        <v>149.66666666666666</v>
      </c>
      <c r="S5" s="81">
        <f>IFERROR((L5+O5+Q5+R5)*$S$3,"")</f>
        <v>164.63333333333333</v>
      </c>
      <c r="T5" s="86">
        <f>IFERROR(L5+O5+Q5+R5+S5,"")</f>
        <v>1810.9666666666667</v>
      </c>
      <c r="U5" s="9"/>
      <c r="V5" s="1" t="s">
        <v>15</v>
      </c>
      <c r="AB5" s="101">
        <v>100</v>
      </c>
      <c r="AC5" s="102">
        <v>160000</v>
      </c>
      <c r="AD5" s="6"/>
      <c r="AE5" s="67" t="s">
        <v>24</v>
      </c>
      <c r="AF5" s="66" t="s">
        <v>148</v>
      </c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10">
        <v>2600</v>
      </c>
      <c r="AS5" s="10">
        <f>AVERAGE(AG5:AR5)</f>
        <v>2600</v>
      </c>
      <c r="AU5" s="66" t="s">
        <v>148</v>
      </c>
      <c r="AV5" s="66" t="s">
        <v>178</v>
      </c>
      <c r="AW5" s="66" t="s">
        <v>124</v>
      </c>
      <c r="AX5" s="66" t="s">
        <v>182</v>
      </c>
    </row>
    <row r="6" spans="1:50" ht="17.25" thickBot="1" x14ac:dyDescent="0.3">
      <c r="C6" s="112" t="s">
        <v>170</v>
      </c>
      <c r="D6" s="113" t="s">
        <v>171</v>
      </c>
      <c r="E6" s="114" t="s">
        <v>172</v>
      </c>
      <c r="F6" s="114" t="s">
        <v>172</v>
      </c>
      <c r="G6" s="115" t="s">
        <v>173</v>
      </c>
      <c r="H6" s="117" t="s">
        <v>174</v>
      </c>
      <c r="I6" s="116" t="s">
        <v>175</v>
      </c>
      <c r="U6" s="9"/>
      <c r="V6" s="2" t="s">
        <v>16</v>
      </c>
      <c r="AB6" s="101">
        <v>120</v>
      </c>
      <c r="AC6" s="102">
        <v>180000</v>
      </c>
      <c r="AD6" s="6"/>
      <c r="AE6" s="67" t="s">
        <v>24</v>
      </c>
      <c r="AF6" s="66" t="s">
        <v>29</v>
      </c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10">
        <v>2400</v>
      </c>
      <c r="AS6" s="10">
        <f t="shared" ref="AS6:AS16" si="0">AVERAGE(AG6:AR6)</f>
        <v>2400</v>
      </c>
      <c r="AU6" s="66" t="s">
        <v>176</v>
      </c>
      <c r="AV6" s="66">
        <v>4017</v>
      </c>
      <c r="AW6" s="66">
        <v>5321</v>
      </c>
      <c r="AX6" s="66" t="s">
        <v>183</v>
      </c>
    </row>
    <row r="7" spans="1:50" ht="17.25" thickBot="1" x14ac:dyDescent="0.3">
      <c r="C7" s="122">
        <v>11500500100260</v>
      </c>
      <c r="D7" s="123"/>
      <c r="E7" s="123"/>
      <c r="F7" s="123"/>
      <c r="G7" s="123"/>
      <c r="H7" s="123"/>
      <c r="I7" s="124"/>
      <c r="U7" s="9"/>
      <c r="V7" s="2" t="s">
        <v>17</v>
      </c>
      <c r="AB7" s="101">
        <v>130</v>
      </c>
      <c r="AC7" s="102">
        <v>200000</v>
      </c>
      <c r="AD7" s="6"/>
      <c r="AE7" s="95" t="s">
        <v>24</v>
      </c>
      <c r="AF7" s="96" t="s">
        <v>119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>
        <v>2600</v>
      </c>
      <c r="AS7" s="98">
        <f t="shared" si="0"/>
        <v>2600</v>
      </c>
      <c r="AU7" s="66" t="s">
        <v>177</v>
      </c>
      <c r="AV7" s="66" t="s">
        <v>179</v>
      </c>
      <c r="AW7" s="66" t="s">
        <v>181</v>
      </c>
    </row>
    <row r="8" spans="1:50" x14ac:dyDescent="0.25">
      <c r="U8" s="9"/>
      <c r="V8" s="2" t="s">
        <v>18</v>
      </c>
      <c r="AB8" s="101">
        <v>150</v>
      </c>
      <c r="AC8" s="102">
        <v>250000</v>
      </c>
      <c r="AD8" s="6"/>
      <c r="AE8" s="91" t="s">
        <v>120</v>
      </c>
      <c r="AF8" s="92" t="s">
        <v>121</v>
      </c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4">
        <v>1600</v>
      </c>
      <c r="AS8" s="94">
        <f t="shared" si="0"/>
        <v>1600</v>
      </c>
      <c r="AV8" s="66" t="s">
        <v>180</v>
      </c>
    </row>
    <row r="9" spans="1:50" x14ac:dyDescent="0.25">
      <c r="U9" s="9"/>
      <c r="V9" s="2" t="s">
        <v>149</v>
      </c>
      <c r="AB9" s="101">
        <v>160</v>
      </c>
      <c r="AC9" s="102">
        <v>250000</v>
      </c>
      <c r="AD9" s="6"/>
      <c r="AE9" s="67" t="s">
        <v>30</v>
      </c>
      <c r="AF9" s="66">
        <v>4017</v>
      </c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10">
        <v>1600</v>
      </c>
      <c r="AS9" s="10">
        <f t="shared" si="0"/>
        <v>1600</v>
      </c>
    </row>
    <row r="10" spans="1:50" x14ac:dyDescent="0.25">
      <c r="U10" s="9"/>
      <c r="V10" s="2" t="s">
        <v>150</v>
      </c>
      <c r="AB10" s="101">
        <v>170</v>
      </c>
      <c r="AC10" s="102">
        <v>250000</v>
      </c>
      <c r="AD10" s="6"/>
      <c r="AE10" s="67" t="s">
        <v>30</v>
      </c>
      <c r="AF10" s="66" t="s">
        <v>122</v>
      </c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10">
        <v>1800</v>
      </c>
      <c r="AS10" s="10">
        <f t="shared" si="0"/>
        <v>1800</v>
      </c>
    </row>
    <row r="11" spans="1:50" ht="17.25" thickBot="1" x14ac:dyDescent="0.3">
      <c r="U11" s="9"/>
      <c r="V11" s="2" t="s">
        <v>151</v>
      </c>
      <c r="AB11" s="101">
        <v>180</v>
      </c>
      <c r="AC11" s="102">
        <v>270000</v>
      </c>
      <c r="AD11" s="6"/>
      <c r="AE11" s="95" t="s">
        <v>30</v>
      </c>
      <c r="AF11" s="96" t="s">
        <v>123</v>
      </c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>
        <v>1600</v>
      </c>
      <c r="AS11" s="98">
        <f t="shared" si="0"/>
        <v>1600</v>
      </c>
    </row>
    <row r="12" spans="1:50" x14ac:dyDescent="0.25">
      <c r="U12" s="9"/>
      <c r="V12" s="2" t="s">
        <v>152</v>
      </c>
      <c r="W12" s="3"/>
      <c r="AB12" s="101">
        <v>200</v>
      </c>
      <c r="AC12" s="102">
        <v>300000</v>
      </c>
      <c r="AD12" s="6"/>
      <c r="AE12" s="91" t="s">
        <v>127</v>
      </c>
      <c r="AF12" s="92" t="s">
        <v>124</v>
      </c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4">
        <v>1700</v>
      </c>
      <c r="AS12" s="94">
        <f t="shared" si="0"/>
        <v>1700</v>
      </c>
    </row>
    <row r="13" spans="1:50" x14ac:dyDescent="0.25">
      <c r="U13" s="9"/>
      <c r="V13" s="7" t="s">
        <v>21</v>
      </c>
      <c r="W13" s="11">
        <v>24</v>
      </c>
      <c r="X13" s="11">
        <v>22</v>
      </c>
      <c r="Y13" s="11">
        <v>10</v>
      </c>
      <c r="Z13" s="11">
        <v>8</v>
      </c>
      <c r="AB13" s="101">
        <v>220</v>
      </c>
      <c r="AC13" s="102">
        <v>300000</v>
      </c>
      <c r="AD13" s="6"/>
      <c r="AE13" s="67" t="s">
        <v>127</v>
      </c>
      <c r="AF13" s="66">
        <v>5321</v>
      </c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10">
        <v>2100</v>
      </c>
      <c r="AS13" s="10">
        <f t="shared" si="0"/>
        <v>2100</v>
      </c>
    </row>
    <row r="14" spans="1:50" ht="17.25" thickBot="1" x14ac:dyDescent="0.3">
      <c r="U14" s="9"/>
      <c r="V14" s="7" t="s">
        <v>22</v>
      </c>
      <c r="W14" s="8">
        <f>+W13*60</f>
        <v>1440</v>
      </c>
      <c r="X14" s="8">
        <f t="shared" ref="X14:Z15" si="1">+X13*60</f>
        <v>1320</v>
      </c>
      <c r="Y14" s="8">
        <f t="shared" si="1"/>
        <v>600</v>
      </c>
      <c r="Z14" s="8">
        <f t="shared" si="1"/>
        <v>480</v>
      </c>
      <c r="AB14" s="101">
        <v>240</v>
      </c>
      <c r="AC14" s="102">
        <v>320000</v>
      </c>
      <c r="AD14" s="6"/>
      <c r="AE14" s="95" t="s">
        <v>127</v>
      </c>
      <c r="AF14" s="96" t="s">
        <v>125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>
        <v>2100</v>
      </c>
      <c r="AS14" s="98">
        <f t="shared" si="0"/>
        <v>2100</v>
      </c>
    </row>
    <row r="15" spans="1:50" x14ac:dyDescent="0.25">
      <c r="U15" s="9"/>
      <c r="V15" s="7" t="s">
        <v>23</v>
      </c>
      <c r="W15" s="8">
        <f>+W14*60</f>
        <v>86400</v>
      </c>
      <c r="X15" s="8">
        <f t="shared" si="1"/>
        <v>79200</v>
      </c>
      <c r="Y15" s="8">
        <f t="shared" si="1"/>
        <v>36000</v>
      </c>
      <c r="Z15" s="8">
        <f t="shared" si="1"/>
        <v>28800</v>
      </c>
      <c r="AB15" s="101">
        <v>280</v>
      </c>
      <c r="AC15" s="102">
        <v>350000</v>
      </c>
      <c r="AD15" s="6"/>
      <c r="AE15" s="91" t="s">
        <v>126</v>
      </c>
      <c r="AF15" s="92" t="s">
        <v>128</v>
      </c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4">
        <v>2300</v>
      </c>
      <c r="AS15" s="94">
        <f t="shared" si="0"/>
        <v>2300</v>
      </c>
    </row>
    <row r="16" spans="1:50" ht="20.25" thickBot="1" x14ac:dyDescent="0.3">
      <c r="B16" s="125" t="s">
        <v>185</v>
      </c>
      <c r="C16" s="125"/>
      <c r="U16" s="9"/>
      <c r="AB16" s="105">
        <v>380</v>
      </c>
      <c r="AC16" s="106">
        <v>400000</v>
      </c>
      <c r="AD16" s="6"/>
      <c r="AE16" s="95" t="s">
        <v>25</v>
      </c>
      <c r="AF16" s="96" t="s">
        <v>31</v>
      </c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>
        <v>2300</v>
      </c>
      <c r="AS16" s="98">
        <f t="shared" si="0"/>
        <v>2300</v>
      </c>
    </row>
    <row r="17" spans="21:44" ht="17.25" thickTop="1" x14ac:dyDescent="0.3">
      <c r="U17" s="9"/>
      <c r="AB17" s="105">
        <v>400</v>
      </c>
      <c r="AC17" s="106">
        <v>450000</v>
      </c>
      <c r="AG17"/>
      <c r="AH17"/>
      <c r="AI17"/>
      <c r="AJ17"/>
      <c r="AK17"/>
      <c r="AL17"/>
      <c r="AM17"/>
      <c r="AN17"/>
      <c r="AO17"/>
      <c r="AP17"/>
      <c r="AQ17"/>
      <c r="AR17"/>
    </row>
  </sheetData>
  <mergeCells count="3">
    <mergeCell ref="A1:T1"/>
    <mergeCell ref="C7:I7"/>
    <mergeCell ref="B16:C16"/>
  </mergeCells>
  <phoneticPr fontId="2" type="noConversion"/>
  <pageMargins left="0.7" right="0.7" top="0.75" bottom="0.75" header="0.3" footer="0.3"/>
  <pageSetup paperSize="9" orientation="portrait" r:id="rId1"/>
  <ignoredErrors>
    <ignoredError sqref="AS9 AS13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8"/>
  <sheetViews>
    <sheetView view="pageBreakPreview" zoomScaleNormal="100" zoomScaleSheetLayoutView="100" workbookViewId="0">
      <selection activeCell="N26" sqref="N26"/>
    </sheetView>
  </sheetViews>
  <sheetFormatPr defaultColWidth="8.75" defaultRowHeight="13.5" x14ac:dyDescent="0.3"/>
  <cols>
    <col min="1" max="1" width="1.75" style="14" customWidth="1"/>
    <col min="2" max="2" width="3.375" style="14" customWidth="1"/>
    <col min="3" max="3" width="8.25" style="14" customWidth="1"/>
    <col min="4" max="4" width="3.875" style="14" customWidth="1"/>
    <col min="5" max="5" width="10.25" style="14" customWidth="1"/>
    <col min="6" max="6" width="4.25" style="14" customWidth="1"/>
    <col min="7" max="7" width="2" style="14" customWidth="1"/>
    <col min="8" max="8" width="3" style="14" customWidth="1"/>
    <col min="9" max="10" width="3.75" style="14" customWidth="1"/>
    <col min="11" max="11" width="8.25" style="14" bestFit="1" customWidth="1"/>
    <col min="12" max="12" width="5.75" style="14" customWidth="1"/>
    <col min="13" max="13" width="12.625" style="14" customWidth="1"/>
    <col min="14" max="14" width="10.75" style="14" customWidth="1"/>
    <col min="15" max="15" width="7.75" style="14" customWidth="1"/>
    <col min="16" max="16" width="16.75" style="14" hidden="1" customWidth="1"/>
    <col min="17" max="17" width="15.125" style="14" hidden="1" customWidth="1"/>
    <col min="18" max="18" width="14.375" style="14" hidden="1" customWidth="1"/>
    <col min="19" max="19" width="20" style="14" hidden="1" customWidth="1"/>
    <col min="20" max="20" width="21.75" style="14" hidden="1" customWidth="1"/>
    <col min="21" max="22" width="15.25" style="14" hidden="1" customWidth="1"/>
    <col min="23" max="23" width="8.75" style="14" hidden="1" customWidth="1"/>
    <col min="24" max="24" width="5.375" style="14" hidden="1" customWidth="1"/>
    <col min="25" max="25" width="8.75" style="14" hidden="1" customWidth="1"/>
    <col min="26" max="29" width="8.75" style="14"/>
    <col min="30" max="30" width="15.75" style="14" customWidth="1"/>
    <col min="31" max="31" width="28.875" style="14" customWidth="1"/>
    <col min="32" max="32" width="24" style="14" customWidth="1"/>
    <col min="33" max="16384" width="8.75" style="14"/>
  </cols>
  <sheetData>
    <row r="1" spans="2:21" ht="10.5" customHeight="1" thickBot="1" x14ac:dyDescent="0.35"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21" ht="21" customHeight="1" thickTop="1" x14ac:dyDescent="0.3">
      <c r="B2" s="135"/>
      <c r="C2" s="136"/>
      <c r="D2" s="141" t="s">
        <v>117</v>
      </c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2"/>
    </row>
    <row r="3" spans="2:21" ht="24.75" customHeight="1" x14ac:dyDescent="0.3">
      <c r="B3" s="137"/>
      <c r="C3" s="138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2:21" ht="33.75" customHeight="1" thickBot="1" x14ac:dyDescent="0.35">
      <c r="B4" s="139"/>
      <c r="C4" s="140"/>
      <c r="D4" s="145"/>
      <c r="E4" s="145"/>
      <c r="F4" s="145"/>
      <c r="G4" s="145"/>
      <c r="H4" s="145"/>
      <c r="I4" s="145"/>
      <c r="J4" s="143"/>
      <c r="K4" s="143"/>
      <c r="L4" s="143"/>
      <c r="M4" s="143"/>
      <c r="N4" s="143"/>
      <c r="O4" s="144"/>
    </row>
    <row r="5" spans="2:21" ht="12.75" customHeight="1" thickTop="1" x14ac:dyDescent="0.3">
      <c r="B5" s="146" t="s">
        <v>146</v>
      </c>
      <c r="C5" s="147"/>
      <c r="D5" s="148" t="s">
        <v>165</v>
      </c>
      <c r="E5" s="148"/>
      <c r="F5" s="148"/>
      <c r="G5" s="148"/>
      <c r="H5" s="148"/>
      <c r="I5" s="149"/>
      <c r="J5" s="152" t="s">
        <v>32</v>
      </c>
      <c r="K5" s="153"/>
      <c r="L5" s="157" t="s">
        <v>33</v>
      </c>
      <c r="M5" s="158" t="s">
        <v>34</v>
      </c>
      <c r="N5" s="159">
        <v>180000</v>
      </c>
      <c r="O5" s="160"/>
    </row>
    <row r="6" spans="2:21" ht="12.75" customHeight="1" x14ac:dyDescent="0.3">
      <c r="B6" s="126"/>
      <c r="C6" s="127"/>
      <c r="D6" s="150"/>
      <c r="E6" s="150"/>
      <c r="F6" s="150"/>
      <c r="G6" s="150"/>
      <c r="H6" s="150"/>
      <c r="I6" s="151"/>
      <c r="J6" s="126"/>
      <c r="K6" s="154"/>
      <c r="L6" s="130"/>
      <c r="M6" s="132"/>
      <c r="N6" s="127"/>
      <c r="O6" s="134"/>
    </row>
    <row r="7" spans="2:21" ht="12.75" customHeight="1" x14ac:dyDescent="0.3">
      <c r="B7" s="126" t="s">
        <v>35</v>
      </c>
      <c r="C7" s="127"/>
      <c r="D7" s="127" t="s">
        <v>145</v>
      </c>
      <c r="E7" s="127"/>
      <c r="F7" s="127"/>
      <c r="G7" s="127"/>
      <c r="H7" s="127"/>
      <c r="I7" s="128"/>
      <c r="J7" s="126"/>
      <c r="K7" s="154"/>
      <c r="L7" s="129" t="s">
        <v>36</v>
      </c>
      <c r="M7" s="131" t="s">
        <v>37</v>
      </c>
      <c r="N7" s="133">
        <v>240000</v>
      </c>
      <c r="O7" s="134"/>
      <c r="Q7"/>
      <c r="R7"/>
      <c r="S7"/>
      <c r="T7"/>
      <c r="U7"/>
    </row>
    <row r="8" spans="2:21" ht="12.75" customHeight="1" x14ac:dyDescent="0.3">
      <c r="B8" s="126"/>
      <c r="C8" s="127"/>
      <c r="D8" s="127"/>
      <c r="E8" s="127"/>
      <c r="F8" s="127"/>
      <c r="G8" s="127"/>
      <c r="H8" s="127"/>
      <c r="I8" s="128"/>
      <c r="J8" s="126"/>
      <c r="K8" s="154"/>
      <c r="L8" s="130"/>
      <c r="M8" s="132"/>
      <c r="N8" s="127"/>
      <c r="O8" s="134"/>
      <c r="Q8"/>
      <c r="R8"/>
      <c r="S8"/>
      <c r="T8"/>
      <c r="U8"/>
    </row>
    <row r="9" spans="2:21" ht="12.75" customHeight="1" x14ac:dyDescent="0.3">
      <c r="B9" s="126" t="s">
        <v>38</v>
      </c>
      <c r="C9" s="127"/>
      <c r="D9" s="127" t="s">
        <v>39</v>
      </c>
      <c r="E9" s="127"/>
      <c r="F9" s="127"/>
      <c r="G9" s="127"/>
      <c r="H9" s="127"/>
      <c r="I9" s="128"/>
      <c r="J9" s="126"/>
      <c r="K9" s="154"/>
      <c r="L9" s="129" t="s">
        <v>40</v>
      </c>
      <c r="M9" s="131" t="s">
        <v>41</v>
      </c>
      <c r="N9" s="133">
        <v>300000</v>
      </c>
      <c r="O9" s="134"/>
      <c r="Q9"/>
      <c r="R9"/>
      <c r="S9"/>
      <c r="T9"/>
      <c r="U9"/>
    </row>
    <row r="10" spans="2:21" ht="12.75" customHeight="1" x14ac:dyDescent="0.3">
      <c r="B10" s="126"/>
      <c r="C10" s="127"/>
      <c r="D10" s="127"/>
      <c r="E10" s="127"/>
      <c r="F10" s="127"/>
      <c r="G10" s="127"/>
      <c r="H10" s="127"/>
      <c r="I10" s="128"/>
      <c r="J10" s="126"/>
      <c r="K10" s="154"/>
      <c r="L10" s="130"/>
      <c r="M10" s="132"/>
      <c r="N10" s="127"/>
      <c r="O10" s="134"/>
      <c r="Q10"/>
      <c r="R10"/>
      <c r="S10"/>
      <c r="T10"/>
      <c r="U10"/>
    </row>
    <row r="11" spans="2:21" ht="12.75" customHeight="1" x14ac:dyDescent="0.3">
      <c r="B11" s="126" t="s">
        <v>42</v>
      </c>
      <c r="C11" s="127"/>
      <c r="D11" s="127" t="s">
        <v>43</v>
      </c>
      <c r="E11" s="127"/>
      <c r="F11" s="127"/>
      <c r="G11" s="127"/>
      <c r="H11" s="127"/>
      <c r="I11" s="128"/>
      <c r="J11" s="126"/>
      <c r="K11" s="154"/>
      <c r="L11" s="129" t="s">
        <v>44</v>
      </c>
      <c r="M11" s="131" t="s">
        <v>45</v>
      </c>
      <c r="N11" s="133">
        <v>350000</v>
      </c>
      <c r="O11" s="134"/>
      <c r="Q11"/>
      <c r="R11"/>
      <c r="S11"/>
      <c r="T11"/>
      <c r="U11"/>
    </row>
    <row r="12" spans="2:21" ht="12.75" customHeight="1" x14ac:dyDescent="0.3">
      <c r="B12" s="126"/>
      <c r="C12" s="127"/>
      <c r="D12" s="127"/>
      <c r="E12" s="127"/>
      <c r="F12" s="127"/>
      <c r="G12" s="127"/>
      <c r="H12" s="127"/>
      <c r="I12" s="128"/>
      <c r="J12" s="126"/>
      <c r="K12" s="154"/>
      <c r="L12" s="130"/>
      <c r="M12" s="132"/>
      <c r="N12" s="127"/>
      <c r="O12" s="134"/>
      <c r="Q12"/>
      <c r="R12"/>
      <c r="S12"/>
      <c r="T12"/>
      <c r="U12"/>
    </row>
    <row r="13" spans="2:21" ht="12.75" customHeight="1" x14ac:dyDescent="0.3">
      <c r="B13" s="126" t="s">
        <v>46</v>
      </c>
      <c r="C13" s="127"/>
      <c r="D13" s="161" t="s">
        <v>47</v>
      </c>
      <c r="E13" s="161"/>
      <c r="F13" s="161"/>
      <c r="G13" s="161"/>
      <c r="H13" s="161"/>
      <c r="I13" s="162"/>
      <c r="J13" s="126"/>
      <c r="K13" s="154"/>
      <c r="L13" s="129" t="s">
        <v>48</v>
      </c>
      <c r="M13" s="131" t="s">
        <v>49</v>
      </c>
      <c r="N13" s="133">
        <v>380000</v>
      </c>
      <c r="O13" s="134"/>
      <c r="Q13"/>
      <c r="R13"/>
      <c r="S13"/>
      <c r="T13"/>
      <c r="U13"/>
    </row>
    <row r="14" spans="2:21" ht="12.75" customHeight="1" x14ac:dyDescent="0.3">
      <c r="B14" s="126"/>
      <c r="C14" s="127"/>
      <c r="D14" s="161"/>
      <c r="E14" s="161"/>
      <c r="F14" s="161"/>
      <c r="G14" s="161"/>
      <c r="H14" s="161"/>
      <c r="I14" s="162"/>
      <c r="J14" s="126"/>
      <c r="K14" s="154"/>
      <c r="L14" s="130"/>
      <c r="M14" s="132"/>
      <c r="N14" s="127"/>
      <c r="O14" s="134"/>
      <c r="Q14"/>
      <c r="R14"/>
      <c r="S14"/>
      <c r="T14"/>
      <c r="U14"/>
    </row>
    <row r="15" spans="2:21" ht="12.75" customHeight="1" x14ac:dyDescent="0.3">
      <c r="B15" s="126" t="s">
        <v>50</v>
      </c>
      <c r="C15" s="127"/>
      <c r="D15" s="171">
        <f ca="1">TODAY()</f>
        <v>45329</v>
      </c>
      <c r="E15" s="171"/>
      <c r="F15" s="171"/>
      <c r="G15" s="171"/>
      <c r="H15" s="171"/>
      <c r="I15" s="172"/>
      <c r="J15" s="126"/>
      <c r="K15" s="154"/>
      <c r="L15" s="129" t="s">
        <v>51</v>
      </c>
      <c r="M15" s="131" t="s">
        <v>52</v>
      </c>
      <c r="N15" s="133">
        <v>400000</v>
      </c>
      <c r="O15" s="134"/>
      <c r="Q15"/>
      <c r="R15"/>
      <c r="S15"/>
      <c r="T15"/>
      <c r="U15"/>
    </row>
    <row r="16" spans="2:21" ht="12.75" customHeight="1" thickBot="1" x14ac:dyDescent="0.35">
      <c r="B16" s="169"/>
      <c r="C16" s="170"/>
      <c r="D16" s="173"/>
      <c r="E16" s="173"/>
      <c r="F16" s="173"/>
      <c r="G16" s="173"/>
      <c r="H16" s="173"/>
      <c r="I16" s="174"/>
      <c r="J16" s="155"/>
      <c r="K16" s="156"/>
      <c r="L16" s="175"/>
      <c r="M16" s="176"/>
      <c r="N16" s="177"/>
      <c r="O16" s="178"/>
      <c r="Q16"/>
      <c r="R16"/>
      <c r="S16"/>
      <c r="T16"/>
      <c r="U16"/>
    </row>
    <row r="17" spans="1:24" ht="15.75" customHeight="1" thickTop="1" x14ac:dyDescent="0.3">
      <c r="B17" s="15"/>
      <c r="D17" s="16"/>
      <c r="E17" s="16"/>
      <c r="F17" s="16"/>
      <c r="G17" s="16"/>
      <c r="H17" s="16"/>
      <c r="I17" s="16"/>
      <c r="J17" s="16"/>
      <c r="K17" s="17"/>
      <c r="L17" s="18"/>
      <c r="M17" s="18"/>
      <c r="N17" s="18"/>
      <c r="O17" s="19"/>
      <c r="Q17"/>
      <c r="R17"/>
      <c r="S17"/>
      <c r="T17"/>
      <c r="U17"/>
    </row>
    <row r="18" spans="1:24" ht="21" customHeight="1" x14ac:dyDescent="0.3">
      <c r="A18" s="20"/>
      <c r="B18" s="21" t="s">
        <v>116</v>
      </c>
      <c r="C18" s="22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9"/>
    </row>
    <row r="19" spans="1:24" ht="15.75" customHeight="1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24" ht="24" customHeight="1" x14ac:dyDescent="0.3">
      <c r="B20" s="163" t="s">
        <v>53</v>
      </c>
      <c r="C20" s="164"/>
      <c r="D20" s="165" t="str">
        <f>사출원가분석!B5</f>
        <v>Hyungsup</v>
      </c>
      <c r="E20" s="165"/>
      <c r="F20" s="165"/>
      <c r="G20" s="164" t="s">
        <v>54</v>
      </c>
      <c r="H20" s="164"/>
      <c r="I20" s="164"/>
      <c r="J20" s="166" t="s">
        <v>166</v>
      </c>
      <c r="K20" s="167"/>
      <c r="L20" s="168"/>
      <c r="M20" s="26" t="s">
        <v>55</v>
      </c>
      <c r="N20" s="27" t="s">
        <v>56</v>
      </c>
      <c r="O20" s="109">
        <f>사출원가분석!H5</f>
        <v>2</v>
      </c>
    </row>
    <row r="21" spans="1:24" ht="30" customHeight="1" x14ac:dyDescent="0.3">
      <c r="B21" s="163" t="s">
        <v>57</v>
      </c>
      <c r="C21" s="164"/>
      <c r="D21" s="164"/>
      <c r="E21" s="28">
        <f>SUM(L26)</f>
        <v>3520</v>
      </c>
      <c r="F21" s="187" t="s">
        <v>58</v>
      </c>
      <c r="G21" s="187"/>
      <c r="H21" s="187"/>
      <c r="I21" s="187"/>
      <c r="J21" s="166" t="str">
        <f>사출원가분석!C5&amp;"-"&amp;사출원가분석!D5</f>
        <v>ABS-HF380</v>
      </c>
      <c r="K21" s="167"/>
      <c r="L21" s="168"/>
      <c r="M21" s="29" t="s">
        <v>59</v>
      </c>
      <c r="N21" s="188">
        <f>사출원가분석!K5</f>
        <v>2600</v>
      </c>
      <c r="O21" s="189"/>
    </row>
    <row r="22" spans="1:24" ht="20.25" customHeight="1" x14ac:dyDescent="0.3">
      <c r="B22" s="190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91"/>
    </row>
    <row r="23" spans="1:24" ht="24" customHeight="1" x14ac:dyDescent="0.3">
      <c r="B23" s="163" t="s">
        <v>60</v>
      </c>
      <c r="C23" s="164"/>
      <c r="D23" s="164"/>
      <c r="E23" s="164" t="s">
        <v>61</v>
      </c>
      <c r="F23" s="164"/>
      <c r="G23" s="192" t="s">
        <v>62</v>
      </c>
      <c r="H23" s="193"/>
      <c r="I23" s="193"/>
      <c r="J23" s="193"/>
      <c r="K23" s="193"/>
      <c r="L23" s="194"/>
      <c r="M23" s="164" t="s">
        <v>63</v>
      </c>
      <c r="N23" s="164"/>
      <c r="O23" s="195"/>
      <c r="P23" s="18" t="s">
        <v>64</v>
      </c>
    </row>
    <row r="24" spans="1:24" ht="24" customHeight="1" x14ac:dyDescent="0.3">
      <c r="B24" s="179">
        <f>사출원가분석!E5</f>
        <v>500</v>
      </c>
      <c r="C24" s="180"/>
      <c r="D24" s="30" t="s">
        <v>66</v>
      </c>
      <c r="E24" s="108">
        <f>사출원가분석!F5</f>
        <v>500</v>
      </c>
      <c r="F24" s="30" t="s">
        <v>66</v>
      </c>
      <c r="G24" s="181">
        <f>SUM(B24,P24)</f>
        <v>750</v>
      </c>
      <c r="H24" s="182"/>
      <c r="I24" s="182"/>
      <c r="J24" s="182"/>
      <c r="K24" s="182"/>
      <c r="L24" s="30" t="s">
        <v>66</v>
      </c>
      <c r="M24" s="183">
        <f>(N21/1000)*G24</f>
        <v>1950</v>
      </c>
      <c r="N24" s="183"/>
      <c r="O24" s="196"/>
      <c r="P24" s="31">
        <f>IF(E24="","",(E24/O20))</f>
        <v>250</v>
      </c>
    </row>
    <row r="25" spans="1:24" ht="33" customHeight="1" x14ac:dyDescent="0.3">
      <c r="B25" s="32"/>
      <c r="C25" s="164" t="s">
        <v>67</v>
      </c>
      <c r="D25" s="164"/>
      <c r="E25" s="164" t="s">
        <v>68</v>
      </c>
      <c r="F25" s="164"/>
      <c r="G25" s="184" t="s">
        <v>69</v>
      </c>
      <c r="H25" s="185"/>
      <c r="I25" s="185"/>
      <c r="J25" s="185"/>
      <c r="K25" s="186"/>
      <c r="L25" s="187" t="s">
        <v>70</v>
      </c>
      <c r="M25" s="187"/>
      <c r="N25" s="33" t="s">
        <v>71</v>
      </c>
      <c r="O25" s="34" t="s">
        <v>72</v>
      </c>
    </row>
    <row r="26" spans="1:24" ht="24" customHeight="1" x14ac:dyDescent="0.3">
      <c r="B26" s="35"/>
      <c r="C26" s="200" t="s">
        <v>73</v>
      </c>
      <c r="D26" s="200"/>
      <c r="E26" s="36">
        <f>사출원가분석!G5</f>
        <v>100</v>
      </c>
      <c r="F26" s="37" t="s">
        <v>74</v>
      </c>
      <c r="G26" s="166">
        <v>45</v>
      </c>
      <c r="H26" s="167"/>
      <c r="I26" s="167"/>
      <c r="J26" s="167"/>
      <c r="K26" s="168"/>
      <c r="L26" s="206">
        <f>IF(G26="","",(79200/G26)*O20)</f>
        <v>3520</v>
      </c>
      <c r="M26" s="206"/>
      <c r="N26" s="38">
        <f>IF(E26="","",IF(E26=80,180000,IF(E26=90,180000,IF(E26=100,180000,IF(E26=110,180000,IF(E26=120,240000,IF(E26=130,240000,IF(E26=140,240000,IF(E26=150,300000,IF(E26=160,300000,IF(E26=170,300000,IF(E26=200,350000,IF(E26=200,350000,IF(E26=200,350000,IF(E26=210,380000,IF(E26=220,380000,IF(E26=230,380000,IF(E26=240,400000,IF(E26=250,400000,IF(E26=260,400000,IF(E26=270,400000,IF(E26=280,400000,IF(E26=290,400000,IF(E26=300,400000,IF(E26=310,400000,IF(E26=320,400000,IF(E26=330,400000,IF(E26=340,400000,IF(E26=350,400000,IF(E26=360,400000,IF(E26=370,400000,IF(E26=380,400000))))))))))))))))))))))))))))))))</f>
        <v>180000</v>
      </c>
      <c r="O26" s="39">
        <f>IF(N26="","",(N26/L26))</f>
        <v>51.136363636363633</v>
      </c>
    </row>
    <row r="27" spans="1:24" ht="24" customHeight="1" thickBot="1" x14ac:dyDescent="0.35">
      <c r="B27" s="32"/>
      <c r="C27" s="192" t="s">
        <v>75</v>
      </c>
      <c r="D27" s="193"/>
      <c r="E27" s="192" t="s">
        <v>76</v>
      </c>
      <c r="F27" s="193"/>
      <c r="G27" s="193"/>
      <c r="H27" s="193"/>
      <c r="I27" s="193"/>
      <c r="J27" s="193"/>
      <c r="K27" s="193"/>
      <c r="L27" s="194"/>
      <c r="M27" s="26" t="s">
        <v>77</v>
      </c>
      <c r="N27" s="164" t="s">
        <v>78</v>
      </c>
      <c r="O27" s="207"/>
    </row>
    <row r="28" spans="1:24" ht="24" customHeight="1" x14ac:dyDescent="0.3">
      <c r="B28" s="35">
        <v>1</v>
      </c>
      <c r="C28" s="166" t="s">
        <v>63</v>
      </c>
      <c r="D28" s="167"/>
      <c r="E28" s="197" t="s">
        <v>79</v>
      </c>
      <c r="F28" s="198"/>
      <c r="G28" s="198"/>
      <c r="H28" s="198"/>
      <c r="I28" s="198"/>
      <c r="J28" s="198"/>
      <c r="K28" s="198"/>
      <c r="L28" s="199"/>
      <c r="M28" s="40">
        <f>SUM(M24)</f>
        <v>1950</v>
      </c>
      <c r="N28" s="200"/>
      <c r="O28" s="201"/>
      <c r="Q28" s="202" t="s">
        <v>80</v>
      </c>
      <c r="R28" s="203"/>
      <c r="S28" s="41" t="s">
        <v>81</v>
      </c>
      <c r="T28" s="41" t="s">
        <v>82</v>
      </c>
    </row>
    <row r="29" spans="1:24" ht="24" customHeight="1" thickBot="1" x14ac:dyDescent="0.35">
      <c r="B29" s="35">
        <v>2</v>
      </c>
      <c r="C29" s="166" t="s">
        <v>83</v>
      </c>
      <c r="D29" s="167"/>
      <c r="E29" s="166" t="s">
        <v>84</v>
      </c>
      <c r="F29" s="167"/>
      <c r="G29" s="167"/>
      <c r="H29" s="167"/>
      <c r="I29" s="167"/>
      <c r="J29" s="167"/>
      <c r="K29" s="167"/>
      <c r="L29" s="168"/>
      <c r="M29" s="40">
        <f>SUM(O26)</f>
        <v>51.136363636363633</v>
      </c>
      <c r="N29" s="200"/>
      <c r="O29" s="201"/>
      <c r="Q29" s="204">
        <v>1000</v>
      </c>
      <c r="R29" s="205"/>
      <c r="S29" s="42">
        <f>H30</f>
        <v>0</v>
      </c>
      <c r="T29" s="43">
        <f>G24</f>
        <v>750</v>
      </c>
      <c r="U29" s="44"/>
      <c r="V29" s="44"/>
      <c r="W29" s="44"/>
      <c r="X29" s="44"/>
    </row>
    <row r="30" spans="1:24" ht="24" customHeight="1" x14ac:dyDescent="0.3">
      <c r="B30" s="35">
        <v>3</v>
      </c>
      <c r="C30" s="166" t="s">
        <v>85</v>
      </c>
      <c r="D30" s="167"/>
      <c r="E30" s="197" t="s">
        <v>86</v>
      </c>
      <c r="F30" s="198"/>
      <c r="G30" s="198"/>
      <c r="H30" s="208"/>
      <c r="I30" s="209"/>
      <c r="J30" s="45" t="s">
        <v>87</v>
      </c>
      <c r="K30" s="46" t="s">
        <v>88</v>
      </c>
      <c r="L30" s="47"/>
      <c r="M30" s="40">
        <f>T31</f>
        <v>0</v>
      </c>
      <c r="N30" s="200"/>
      <c r="O30" s="201"/>
      <c r="Q30" s="210" t="s">
        <v>89</v>
      </c>
      <c r="R30" s="211"/>
      <c r="S30" s="212">
        <f>S29/Q29</f>
        <v>0</v>
      </c>
      <c r="T30" s="48" t="s">
        <v>90</v>
      </c>
      <c r="U30" s="44"/>
      <c r="V30" s="44"/>
      <c r="W30" s="44"/>
      <c r="X30" s="44"/>
    </row>
    <row r="31" spans="1:24" ht="24" customHeight="1" thickBot="1" x14ac:dyDescent="0.35">
      <c r="B31" s="35"/>
      <c r="C31" s="166" t="s">
        <v>91</v>
      </c>
      <c r="D31" s="168"/>
      <c r="E31" s="197" t="s">
        <v>92</v>
      </c>
      <c r="F31" s="198"/>
      <c r="G31" s="198"/>
      <c r="H31" s="208">
        <v>4500</v>
      </c>
      <c r="I31" s="209"/>
      <c r="J31" s="45" t="s">
        <v>87</v>
      </c>
      <c r="K31" s="46" t="s">
        <v>93</v>
      </c>
      <c r="L31" s="47">
        <v>0.03</v>
      </c>
      <c r="M31" s="40">
        <f>T37</f>
        <v>101.25</v>
      </c>
      <c r="N31" s="166"/>
      <c r="O31" s="191"/>
      <c r="Q31" s="214" t="s">
        <v>94</v>
      </c>
      <c r="R31" s="215"/>
      <c r="S31" s="213"/>
      <c r="T31" s="49">
        <f>S32*T29</f>
        <v>0</v>
      </c>
      <c r="U31" s="44"/>
      <c r="V31" s="44"/>
      <c r="W31" s="44"/>
      <c r="X31" s="44"/>
    </row>
    <row r="32" spans="1:24" ht="24" customHeight="1" thickBot="1" x14ac:dyDescent="0.35">
      <c r="B32" s="35">
        <v>4</v>
      </c>
      <c r="C32" s="166" t="s">
        <v>95</v>
      </c>
      <c r="D32" s="167"/>
      <c r="E32" s="166" t="s">
        <v>96</v>
      </c>
      <c r="F32" s="167"/>
      <c r="G32" s="167"/>
      <c r="H32" s="167"/>
      <c r="I32" s="167"/>
      <c r="J32" s="167"/>
      <c r="K32" s="167"/>
      <c r="L32" s="50">
        <v>0.1</v>
      </c>
      <c r="M32" s="40">
        <f>(M28+M29)*L32</f>
        <v>200.11363636363637</v>
      </c>
      <c r="N32" s="200"/>
      <c r="O32" s="201"/>
      <c r="Q32" s="51" t="s">
        <v>97</v>
      </c>
      <c r="R32" s="52">
        <f>L30</f>
        <v>0</v>
      </c>
      <c r="S32" s="53">
        <f>S30*R32</f>
        <v>0</v>
      </c>
      <c r="T32" s="54"/>
      <c r="U32" s="44"/>
      <c r="V32" s="44"/>
      <c r="W32" s="55" t="s">
        <v>65</v>
      </c>
      <c r="X32" s="56"/>
    </row>
    <row r="33" spans="2:31" ht="24" customHeight="1" thickBot="1" x14ac:dyDescent="0.35">
      <c r="B33" s="35">
        <v>5</v>
      </c>
      <c r="C33" s="166" t="s">
        <v>98</v>
      </c>
      <c r="D33" s="167"/>
      <c r="E33" s="216" t="s">
        <v>96</v>
      </c>
      <c r="F33" s="217"/>
      <c r="G33" s="217"/>
      <c r="H33" s="217"/>
      <c r="I33" s="217"/>
      <c r="J33" s="217"/>
      <c r="K33" s="217"/>
      <c r="L33" s="50">
        <v>0.1</v>
      </c>
      <c r="M33" s="40">
        <f>(M28+M29)*L33</f>
        <v>200.11363636363637</v>
      </c>
      <c r="N33" s="200"/>
      <c r="O33" s="201"/>
      <c r="Q33" s="18"/>
      <c r="U33" s="44"/>
      <c r="V33" s="44">
        <v>1000</v>
      </c>
      <c r="W33" s="55">
        <v>25</v>
      </c>
      <c r="X33" s="57">
        <f>W33/V33</f>
        <v>2.5000000000000001E-2</v>
      </c>
    </row>
    <row r="34" spans="2:31" ht="24" customHeight="1" x14ac:dyDescent="0.3">
      <c r="B34" s="35">
        <v>6</v>
      </c>
      <c r="C34" s="166" t="s">
        <v>99</v>
      </c>
      <c r="D34" s="167"/>
      <c r="E34" s="166" t="s">
        <v>100</v>
      </c>
      <c r="F34" s="167"/>
      <c r="G34" s="167"/>
      <c r="H34" s="167"/>
      <c r="I34" s="167"/>
      <c r="J34" s="167"/>
      <c r="K34" s="167"/>
      <c r="L34" s="50">
        <v>0.1</v>
      </c>
      <c r="M34" s="40">
        <f>(M28+M29+M32+M33)*L34</f>
        <v>240.13636363636365</v>
      </c>
      <c r="N34" s="200"/>
      <c r="O34" s="201"/>
      <c r="Q34" s="202" t="s">
        <v>101</v>
      </c>
      <c r="R34" s="203"/>
      <c r="S34" s="41" t="s">
        <v>102</v>
      </c>
      <c r="T34" s="41" t="s">
        <v>82</v>
      </c>
      <c r="U34" s="44"/>
      <c r="V34" s="44">
        <v>1000</v>
      </c>
      <c r="W34" s="44">
        <v>13</v>
      </c>
      <c r="X34" s="57">
        <f>W34/V34</f>
        <v>1.2999999999999999E-2</v>
      </c>
    </row>
    <row r="35" spans="2:31" ht="24" customHeight="1" thickBot="1" x14ac:dyDescent="0.35">
      <c r="B35" s="35">
        <v>7</v>
      </c>
      <c r="C35" s="166" t="s">
        <v>103</v>
      </c>
      <c r="D35" s="167"/>
      <c r="E35" s="166" t="s">
        <v>104</v>
      </c>
      <c r="F35" s="167"/>
      <c r="G35" s="167"/>
      <c r="H35" s="167"/>
      <c r="I35" s="167"/>
      <c r="J35" s="167"/>
      <c r="K35" s="58">
        <v>5</v>
      </c>
      <c r="L35" s="59" t="s">
        <v>87</v>
      </c>
      <c r="M35" s="40">
        <f>K35</f>
        <v>5</v>
      </c>
      <c r="N35" s="200"/>
      <c r="O35" s="201"/>
      <c r="Q35" s="204">
        <v>1000</v>
      </c>
      <c r="R35" s="205"/>
      <c r="S35" s="60">
        <f>H31</f>
        <v>4500</v>
      </c>
      <c r="T35" s="43">
        <f>G24</f>
        <v>750</v>
      </c>
    </row>
    <row r="36" spans="2:31" ht="20.25" x14ac:dyDescent="0.3">
      <c r="B36" s="234" t="s">
        <v>105</v>
      </c>
      <c r="C36" s="235"/>
      <c r="D36" s="235"/>
      <c r="E36" s="235"/>
      <c r="F36" s="235"/>
      <c r="G36" s="235"/>
      <c r="H36" s="235"/>
      <c r="I36" s="235"/>
      <c r="J36" s="235"/>
      <c r="K36" s="235"/>
      <c r="L36" s="236"/>
      <c r="M36" s="240" t="s">
        <v>106</v>
      </c>
      <c r="N36" s="242">
        <f>SUM(M28:M35)</f>
        <v>2747.7500000000005</v>
      </c>
      <c r="O36" s="243"/>
      <c r="Q36" s="210" t="s">
        <v>89</v>
      </c>
      <c r="R36" s="211"/>
      <c r="S36" s="212">
        <f>S35/Q35</f>
        <v>4.5</v>
      </c>
      <c r="T36" s="48" t="s">
        <v>107</v>
      </c>
    </row>
    <row r="37" spans="2:31" ht="21" thickBot="1" x14ac:dyDescent="0.35">
      <c r="B37" s="237"/>
      <c r="C37" s="238"/>
      <c r="D37" s="238"/>
      <c r="E37" s="238"/>
      <c r="F37" s="238"/>
      <c r="G37" s="238"/>
      <c r="H37" s="238"/>
      <c r="I37" s="238"/>
      <c r="J37" s="238"/>
      <c r="K37" s="238"/>
      <c r="L37" s="239"/>
      <c r="M37" s="241"/>
      <c r="N37" s="244"/>
      <c r="O37" s="245"/>
      <c r="Q37" s="214" t="s">
        <v>94</v>
      </c>
      <c r="R37" s="215"/>
      <c r="S37" s="213"/>
      <c r="T37" s="49">
        <f>S38*T35</f>
        <v>101.25</v>
      </c>
      <c r="AD37" s="18"/>
      <c r="AE37" s="18"/>
    </row>
    <row r="38" spans="2:31" ht="21" thickBot="1" x14ac:dyDescent="0.35">
      <c r="B38" s="219" t="s">
        <v>163</v>
      </c>
      <c r="C38" s="220"/>
      <c r="D38" s="220"/>
      <c r="E38" s="220"/>
      <c r="F38" s="220"/>
      <c r="G38" s="220"/>
      <c r="H38" s="220"/>
      <c r="I38" s="220"/>
      <c r="J38" s="220"/>
      <c r="K38" s="220"/>
      <c r="L38" s="221"/>
      <c r="M38" s="164" t="s">
        <v>108</v>
      </c>
      <c r="N38" s="228">
        <f>ROUNDUP(N36,0)</f>
        <v>2748</v>
      </c>
      <c r="O38" s="229"/>
      <c r="Q38" s="51" t="s">
        <v>97</v>
      </c>
      <c r="R38" s="61">
        <f>L31</f>
        <v>0.03</v>
      </c>
      <c r="S38" s="53">
        <f>S36*R38</f>
        <v>0.13500000000000001</v>
      </c>
      <c r="T38" s="54"/>
    </row>
    <row r="39" spans="2:31" x14ac:dyDescent="0.3">
      <c r="B39" s="222"/>
      <c r="C39" s="223"/>
      <c r="D39" s="223"/>
      <c r="E39" s="223"/>
      <c r="F39" s="223"/>
      <c r="G39" s="223"/>
      <c r="H39" s="223"/>
      <c r="I39" s="223"/>
      <c r="J39" s="223"/>
      <c r="K39" s="223"/>
      <c r="L39" s="224"/>
      <c r="M39" s="164"/>
      <c r="N39" s="228"/>
      <c r="O39" s="229"/>
    </row>
    <row r="40" spans="2:31" x14ac:dyDescent="0.3">
      <c r="B40" s="222"/>
      <c r="C40" s="223"/>
      <c r="D40" s="223"/>
      <c r="E40" s="223"/>
      <c r="F40" s="223"/>
      <c r="G40" s="223"/>
      <c r="H40" s="223"/>
      <c r="I40" s="223"/>
      <c r="J40" s="223"/>
      <c r="K40" s="223"/>
      <c r="L40" s="224"/>
      <c r="M40" s="164" t="s">
        <v>109</v>
      </c>
      <c r="N40" s="228">
        <f>ROUNDDOWN(N38,-2)</f>
        <v>2700</v>
      </c>
      <c r="O40" s="229"/>
    </row>
    <row r="41" spans="2:31" ht="14.25" thickBot="1" x14ac:dyDescent="0.35">
      <c r="B41" s="225"/>
      <c r="C41" s="226"/>
      <c r="D41" s="226"/>
      <c r="E41" s="226"/>
      <c r="F41" s="226"/>
      <c r="G41" s="226"/>
      <c r="H41" s="226"/>
      <c r="I41" s="226"/>
      <c r="J41" s="226"/>
      <c r="K41" s="226"/>
      <c r="L41" s="227"/>
      <c r="M41" s="230"/>
      <c r="N41" s="231"/>
      <c r="O41" s="232"/>
      <c r="Q41" s="18"/>
      <c r="R41" s="18"/>
      <c r="S41" s="18"/>
    </row>
    <row r="42" spans="2:31" ht="14.25" thickTop="1" x14ac:dyDescent="0.3">
      <c r="B42" s="233"/>
      <c r="C42" s="233"/>
      <c r="D42" s="233"/>
      <c r="E42" s="233"/>
      <c r="F42" s="233"/>
      <c r="G42" s="233"/>
      <c r="H42" s="233"/>
      <c r="I42" s="233"/>
      <c r="J42" s="233"/>
      <c r="K42" s="233"/>
      <c r="L42" s="233"/>
      <c r="M42" s="233"/>
      <c r="N42" s="233"/>
      <c r="O42" s="233"/>
    </row>
    <row r="43" spans="2:31" x14ac:dyDescent="0.3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2:31" x14ac:dyDescent="0.3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2:31" x14ac:dyDescent="0.3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2:31" x14ac:dyDescent="0.3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31" x14ac:dyDescent="0.3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31" x14ac:dyDescent="0.3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3:14" x14ac:dyDescent="0.3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3:14" x14ac:dyDescent="0.3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3:14" x14ac:dyDescent="0.3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3:14" x14ac:dyDescent="0.3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3:14" x14ac:dyDescent="0.3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3:14" x14ac:dyDescent="0.3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3:14" x14ac:dyDescent="0.3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3:14" x14ac:dyDescent="0.3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3:14" x14ac:dyDescent="0.3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3:14" x14ac:dyDescent="0.3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3:14" x14ac:dyDescent="0.3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3:14" x14ac:dyDescent="0.3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74" spans="24:28" ht="21.75" customHeight="1" x14ac:dyDescent="0.3">
      <c r="X74" s="218" t="s">
        <v>110</v>
      </c>
      <c r="Y74" s="62" t="s">
        <v>111</v>
      </c>
      <c r="Z74" s="62" t="s">
        <v>112</v>
      </c>
      <c r="AA74" s="62" t="s">
        <v>113</v>
      </c>
      <c r="AB74" s="62" t="s">
        <v>114</v>
      </c>
    </row>
    <row r="75" spans="24:28" ht="48" customHeight="1" x14ac:dyDescent="0.3">
      <c r="X75" s="218"/>
      <c r="Y75" s="62"/>
      <c r="Z75" s="62"/>
      <c r="AA75" s="62"/>
      <c r="AB75" s="62"/>
    </row>
    <row r="76" spans="24:28" ht="21.75" customHeight="1" x14ac:dyDescent="0.3">
      <c r="X76" s="218"/>
      <c r="Y76" s="63" t="s">
        <v>115</v>
      </c>
      <c r="Z76" s="63" t="s">
        <v>115</v>
      </c>
      <c r="AA76" s="63" t="s">
        <v>115</v>
      </c>
      <c r="AB76" s="63" t="s">
        <v>115</v>
      </c>
    </row>
    <row r="77" spans="24:28" x14ac:dyDescent="0.3">
      <c r="Y77" s="18"/>
      <c r="Z77" s="18"/>
      <c r="AA77" s="18"/>
      <c r="AB77" s="18"/>
    </row>
    <row r="78" spans="24:28" x14ac:dyDescent="0.3">
      <c r="Y78" s="18"/>
      <c r="Z78" s="18"/>
      <c r="AA78" s="18"/>
      <c r="AB78" s="18"/>
    </row>
  </sheetData>
  <mergeCells count="106">
    <mergeCell ref="X74:X76"/>
    <mergeCell ref="B38:L41"/>
    <mergeCell ref="M38:M39"/>
    <mergeCell ref="N38:O39"/>
    <mergeCell ref="M40:M41"/>
    <mergeCell ref="N40:O41"/>
    <mergeCell ref="B42:O42"/>
    <mergeCell ref="B36:L37"/>
    <mergeCell ref="M36:M37"/>
    <mergeCell ref="N36:O37"/>
    <mergeCell ref="Q36:R36"/>
    <mergeCell ref="S36:S37"/>
    <mergeCell ref="Q37:R37"/>
    <mergeCell ref="C34:D34"/>
    <mergeCell ref="E34:K34"/>
    <mergeCell ref="N34:O34"/>
    <mergeCell ref="Q34:R34"/>
    <mergeCell ref="C35:D35"/>
    <mergeCell ref="E35:J35"/>
    <mergeCell ref="N35:O35"/>
    <mergeCell ref="Q35:R35"/>
    <mergeCell ref="Q31:R31"/>
    <mergeCell ref="C32:D32"/>
    <mergeCell ref="E32:K32"/>
    <mergeCell ref="N32:O32"/>
    <mergeCell ref="C33:D33"/>
    <mergeCell ref="E33:K33"/>
    <mergeCell ref="N33:O33"/>
    <mergeCell ref="C30:D30"/>
    <mergeCell ref="E30:G30"/>
    <mergeCell ref="H30:I30"/>
    <mergeCell ref="N30:O30"/>
    <mergeCell ref="Q30:R30"/>
    <mergeCell ref="S30:S31"/>
    <mergeCell ref="C31:D31"/>
    <mergeCell ref="E31:G31"/>
    <mergeCell ref="H31:I31"/>
    <mergeCell ref="N31:O31"/>
    <mergeCell ref="C28:D28"/>
    <mergeCell ref="E28:L28"/>
    <mergeCell ref="N28:O28"/>
    <mergeCell ref="Q28:R28"/>
    <mergeCell ref="C29:D29"/>
    <mergeCell ref="E29:L29"/>
    <mergeCell ref="N29:O29"/>
    <mergeCell ref="Q29:R29"/>
    <mergeCell ref="C26:D26"/>
    <mergeCell ref="G26:K26"/>
    <mergeCell ref="L26:M26"/>
    <mergeCell ref="C27:D27"/>
    <mergeCell ref="E27:L27"/>
    <mergeCell ref="N27:O27"/>
    <mergeCell ref="B24:C24"/>
    <mergeCell ref="G24:K24"/>
    <mergeCell ref="M24:N24"/>
    <mergeCell ref="C25:D25"/>
    <mergeCell ref="E25:F25"/>
    <mergeCell ref="G25:K25"/>
    <mergeCell ref="L25:M25"/>
    <mergeCell ref="B21:D21"/>
    <mergeCell ref="F21:I21"/>
    <mergeCell ref="J21:L21"/>
    <mergeCell ref="N21:O21"/>
    <mergeCell ref="B22:O22"/>
    <mergeCell ref="B23:D23"/>
    <mergeCell ref="E23:F23"/>
    <mergeCell ref="G23:L23"/>
    <mergeCell ref="M23:N23"/>
    <mergeCell ref="O23:O24"/>
    <mergeCell ref="D11:I12"/>
    <mergeCell ref="L11:L12"/>
    <mergeCell ref="M11:M12"/>
    <mergeCell ref="N11:O12"/>
    <mergeCell ref="B20:C20"/>
    <mergeCell ref="D20:F20"/>
    <mergeCell ref="G20:I20"/>
    <mergeCell ref="J20:L20"/>
    <mergeCell ref="B15:C16"/>
    <mergeCell ref="D15:I16"/>
    <mergeCell ref="L15:L16"/>
    <mergeCell ref="M15:M16"/>
    <mergeCell ref="N15:O16"/>
    <mergeCell ref="B9:C10"/>
    <mergeCell ref="D9:I10"/>
    <mergeCell ref="L9:L10"/>
    <mergeCell ref="M9:M10"/>
    <mergeCell ref="N9:O10"/>
    <mergeCell ref="L7:L8"/>
    <mergeCell ref="M7:M8"/>
    <mergeCell ref="N7:O8"/>
    <mergeCell ref="B2:C4"/>
    <mergeCell ref="D2:O4"/>
    <mergeCell ref="B5:C6"/>
    <mergeCell ref="D5:I6"/>
    <mergeCell ref="J5:K16"/>
    <mergeCell ref="L5:L6"/>
    <mergeCell ref="M5:M6"/>
    <mergeCell ref="N5:O6"/>
    <mergeCell ref="B7:C8"/>
    <mergeCell ref="D7:I8"/>
    <mergeCell ref="B13:C14"/>
    <mergeCell ref="D13:I14"/>
    <mergeCell ref="L13:L14"/>
    <mergeCell ref="M13:M14"/>
    <mergeCell ref="N13:O14"/>
    <mergeCell ref="B11:C12"/>
  </mergeCells>
  <phoneticPr fontId="2" type="noConversion"/>
  <printOptions horizontalCentered="1" verticalCentered="1"/>
  <pageMargins left="0" right="0" top="0" bottom="0" header="0" footer="0"/>
  <pageSetup paperSize="9" scale="105" orientation="portrait" r:id="rId1"/>
  <headerFooter alignWithMargins="0">
    <oddFooter>&amp;LTEL 000-000-0000&amp;R상군TV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6</vt:i4>
      </vt:variant>
    </vt:vector>
  </HeadingPairs>
  <TitlesOfParts>
    <vt:vector size="8" baseType="lpstr">
      <vt:lpstr>사출원가분석</vt:lpstr>
      <vt:lpstr>사출견적서양식</vt:lpstr>
      <vt:lpstr>ABS</vt:lpstr>
      <vt:lpstr>pdf</vt:lpstr>
      <vt:lpstr>PE</vt:lpstr>
      <vt:lpstr>PP</vt:lpstr>
      <vt:lpstr>사출견적서양식!Print_Area</vt:lpstr>
      <vt:lpstr>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2class_17</dc:creator>
  <cp:lastModifiedBy>2class_17</cp:lastModifiedBy>
  <cp:lastPrinted>2024-02-06T07:51:17Z</cp:lastPrinted>
  <dcterms:created xsi:type="dcterms:W3CDTF">2018-07-19T02:35:01Z</dcterms:created>
  <dcterms:modified xsi:type="dcterms:W3CDTF">2024-02-07T02:44:18Z</dcterms:modified>
</cp:coreProperties>
</file>